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Lafe Engenharia\Sudoeste\Tree\Controle\"/>
    </mc:Choice>
  </mc:AlternateContent>
  <bookViews>
    <workbookView xWindow="-15" yWindow="105" windowWidth="12015" windowHeight="4230" tabRatio="943" firstSheet="6" activeTab="13"/>
  </bookViews>
  <sheets>
    <sheet name="Plan3" sheetId="163" r:id="rId1"/>
    <sheet name="Orçamento" sheetId="19" r:id="rId2"/>
    <sheet name="DADOS" sheetId="158" r:id="rId3"/>
    <sheet name="Análise Física Macro" sheetId="159" r:id="rId4"/>
    <sheet name="Análise Física Detalhada" sheetId="161" r:id="rId5"/>
    <sheet name="Ata Set20" sheetId="205" r:id="rId6"/>
    <sheet name="AtaOut20" sheetId="206" r:id="rId7"/>
    <sheet name="Principais Impactos do Mês" sheetId="164" r:id="rId8"/>
    <sheet name="Suprimentos Próximos 03 Meses" sheetId="190" state="hidden" r:id="rId9"/>
    <sheet name="Plan1" sheetId="202" r:id="rId10"/>
    <sheet name="Painel de Indicadores 2" sheetId="199" r:id="rId11"/>
    <sheet name="Relatório Gerencial" sheetId="201" r:id="rId12"/>
    <sheet name="Econômico Detalhado" sheetId="189" r:id="rId13"/>
    <sheet name="Econômico Macro" sheetId="180" r:id="rId14"/>
    <sheet name="Dados Finan" sheetId="195" r:id="rId15"/>
  </sheets>
  <externalReferences>
    <externalReference r:id="rId16"/>
    <externalReference r:id="rId17"/>
    <externalReference r:id="rId18"/>
    <externalReference r:id="rId19"/>
  </externalReferences>
  <definedNames>
    <definedName name="\A" localSheetId="5">#REF!</definedName>
    <definedName name="\A" localSheetId="6">#REF!</definedName>
    <definedName name="\A" localSheetId="14">#REF!</definedName>
    <definedName name="\A" localSheetId="12">#REF!</definedName>
    <definedName name="\A" localSheetId="10">#REF!</definedName>
    <definedName name="\A">#REF!</definedName>
    <definedName name="_Fill" localSheetId="5" hidden="1">#REF!</definedName>
    <definedName name="_Fill" localSheetId="6" hidden="1">#REF!</definedName>
    <definedName name="_Fill" localSheetId="14" hidden="1">#REF!</definedName>
    <definedName name="_Fill" localSheetId="12" hidden="1">#REF!</definedName>
    <definedName name="_Fill" localSheetId="10" hidden="1">#REF!</definedName>
    <definedName name="_Fill" hidden="1">#REF!</definedName>
    <definedName name="_xlnm._FilterDatabase" localSheetId="4" hidden="1">'Análise Física Detalhada'!$C$13:$AB$481</definedName>
    <definedName name="_xlnm._FilterDatabase" localSheetId="12" hidden="1">'Econômico Detalhado'!$A$8:$F$476</definedName>
    <definedName name="_xlnm._FilterDatabase" localSheetId="1" hidden="1">Orçamento!$D$4:$D$420</definedName>
    <definedName name="_xlnm._FilterDatabase" localSheetId="9" hidden="1">Plan1!$A$1:$B$65</definedName>
    <definedName name="_xlnm._FilterDatabase" localSheetId="0" hidden="1">Plan3!$A$1523:$I$1974</definedName>
    <definedName name="_Key1" localSheetId="5" hidden="1">#REF!</definedName>
    <definedName name="_Key1" localSheetId="6" hidden="1">#REF!</definedName>
    <definedName name="_Key1" localSheetId="14" hidden="1">#REF!</definedName>
    <definedName name="_Key1" localSheetId="12" hidden="1">#REF!</definedName>
    <definedName name="_Key1" localSheetId="10" hidden="1">#REF!</definedName>
    <definedName name="_Key1" hidden="1">#REF!</definedName>
    <definedName name="_Order1" hidden="1">255</definedName>
    <definedName name="_Order2" hidden="1">0</definedName>
    <definedName name="_Sort" localSheetId="5" hidden="1">#REF!</definedName>
    <definedName name="_Sort" localSheetId="6" hidden="1">#REF!</definedName>
    <definedName name="_Sort" localSheetId="14" hidden="1">#REF!</definedName>
    <definedName name="_Sort" localSheetId="12" hidden="1">#REF!</definedName>
    <definedName name="_Sort" localSheetId="10" hidden="1">#REF!</definedName>
    <definedName name="_Sort" hidden="1">#REF!</definedName>
    <definedName name="_Table1_In1" localSheetId="5" hidden="1">#REF!</definedName>
    <definedName name="_Table1_In1" localSheetId="6" hidden="1">#REF!</definedName>
    <definedName name="_Table1_In1" localSheetId="14" hidden="1">#REF!</definedName>
    <definedName name="_Table1_In1" localSheetId="12" hidden="1">#REF!</definedName>
    <definedName name="_Table1_In1" localSheetId="10" hidden="1">#REF!</definedName>
    <definedName name="_Table1_In1" hidden="1">#REF!</definedName>
    <definedName name="_Table1_Out" localSheetId="5" hidden="1">#REF!</definedName>
    <definedName name="_Table1_Out" localSheetId="6" hidden="1">#REF!</definedName>
    <definedName name="_Table1_Out" localSheetId="14" hidden="1">#REF!</definedName>
    <definedName name="_Table1_Out" localSheetId="12" hidden="1">#REF!</definedName>
    <definedName name="_Table1_Out" localSheetId="10" hidden="1">#REF!</definedName>
    <definedName name="_Table1_Out" hidden="1">#REF!</definedName>
    <definedName name="AMARCIO" localSheetId="5">#REF!</definedName>
    <definedName name="AMARCIO" localSheetId="6">#REF!</definedName>
    <definedName name="AMARCIO" localSheetId="14">#REF!</definedName>
    <definedName name="AMARCIO" localSheetId="12">#REF!</definedName>
    <definedName name="AMARCIO" localSheetId="10">#REF!</definedName>
    <definedName name="AMARCIO">#REF!</definedName>
    <definedName name="_xlnm.Print_Area" localSheetId="3">'Análise Física Macro'!$B$2:$O$82</definedName>
    <definedName name="_xlnm.Print_Area" localSheetId="5">#REF!</definedName>
    <definedName name="_xlnm.Print_Area" localSheetId="6">#REF!</definedName>
    <definedName name="_xlnm.Print_Area" localSheetId="2">DADOS!$B$2:$AD$20</definedName>
    <definedName name="_xlnm.Print_Area" localSheetId="14">'Dados Finan'!$B$2:$AB$14</definedName>
    <definedName name="_xlnm.Print_Area" localSheetId="12">#REF!</definedName>
    <definedName name="_xlnm.Print_Area" localSheetId="10">'Painel de Indicadores 2'!$B$2:$J$22</definedName>
    <definedName name="_xlnm.Print_Area" localSheetId="7">'Principais Impactos do Mês'!$B$2:$V$91</definedName>
    <definedName name="_xlnm.Print_Area" localSheetId="8">'Suprimentos Próximos 03 Meses'!$B$1:$K$116</definedName>
    <definedName name="_xlnm.Print_Area">#REF!</definedName>
    <definedName name="Área_de_impressão2" localSheetId="5">#REF!</definedName>
    <definedName name="Área_de_impressão2" localSheetId="6">#REF!</definedName>
    <definedName name="Área_de_impressão2" localSheetId="14">#REF!</definedName>
    <definedName name="Área_de_impressão2" localSheetId="12">#REF!</definedName>
    <definedName name="Área_de_impressão2" localSheetId="10">#REF!</definedName>
    <definedName name="Área_de_impressão2">#REF!</definedName>
    <definedName name="_xlnm.Database" localSheetId="5">#REF!</definedName>
    <definedName name="_xlnm.Database" localSheetId="6">#REF!</definedName>
    <definedName name="_xlnm.Database" localSheetId="14">#REF!</definedName>
    <definedName name="_xlnm.Database" localSheetId="12">#REF!</definedName>
    <definedName name="_xlnm.Database" localSheetId="10">#REF!</definedName>
    <definedName name="_xlnm.Database">#REF!</definedName>
    <definedName name="HGHG" localSheetId="5" hidden="1">#REF!</definedName>
    <definedName name="HGHG" localSheetId="6" hidden="1">#REF!</definedName>
    <definedName name="HGHG" localSheetId="14" hidden="1">#REF!</definedName>
    <definedName name="HGHG" localSheetId="12" hidden="1">#REF!</definedName>
    <definedName name="HGHG" localSheetId="10" hidden="1">#REF!</definedName>
    <definedName name="HGHG" hidden="1">#REF!</definedName>
    <definedName name="teste" localSheetId="5">'[1]MEDIÇÃO FISICA'!#REF!</definedName>
    <definedName name="teste" localSheetId="6">'[1]MEDIÇÃO FISICA'!#REF!</definedName>
    <definedName name="teste" localSheetId="14">'[1]MEDIÇÃO FISICA'!#REF!</definedName>
    <definedName name="teste" localSheetId="12">'[1]MEDIÇÃO FISICA'!#REF!</definedName>
    <definedName name="teste" localSheetId="10">'[1]MEDIÇÃO FISICA'!#REF!</definedName>
    <definedName name="teste">'[1]MEDIÇÃO FISICA'!#REF!</definedName>
    <definedName name="_xlnm.Print_Titles" localSheetId="7">'Principais Impactos do Mês'!$2:$6</definedName>
    <definedName name="_xlnm.Print_Titles" localSheetId="8">'Suprimentos Próximos 03 Meses'!$1:$4</definedName>
    <definedName name="Z_23805D63_F34F_11D7_9D73_00D00903EC29_.wvu.PrintArea" localSheetId="3" hidden="1">'Análise Física Macro'!$B$2:$O$56</definedName>
    <definedName name="Z_23805D63_F34F_11D7_9D73_00D00903EC29_.wvu.PrintArea" localSheetId="2" hidden="1">DADOS!$B$2:$AD$20</definedName>
    <definedName name="Z_23805D63_F34F_11D7_9D73_00D00903EC29_.wvu.PrintArea" localSheetId="14" hidden="1">'Dados Finan'!$B$2:$AB$14</definedName>
    <definedName name="Z_23805D63_F34F_11D7_9D73_00D00903EC29_.wvu.PrintArea" localSheetId="10" hidden="1">'Painel de Indicadores 2'!$B$2:$J$22</definedName>
    <definedName name="Z_2CD9712B_F350_11D7_A4DA_00E04C6C1C80_.wvu.PrintArea" localSheetId="3" hidden="1">'Análise Física Macro'!$B$2:$O$56</definedName>
    <definedName name="Z_2CD9712B_F350_11D7_A4DA_00E04C6C1C80_.wvu.PrintArea" localSheetId="2" hidden="1">DADOS!$B$2:$AD$20</definedName>
    <definedName name="Z_2CD9712B_F350_11D7_A4DA_00E04C6C1C80_.wvu.PrintArea" localSheetId="14" hidden="1">'Dados Finan'!$B$2:$AB$14</definedName>
    <definedName name="Z_2CD9712B_F350_11D7_A4DA_00E04C6C1C80_.wvu.PrintArea" localSheetId="10" hidden="1">'Painel de Indicadores 2'!$B$2:$J$22</definedName>
    <definedName name="Z_2E9F4221_6932_11D8_B698_00E07DABB78E_.wvu.PrintArea" localSheetId="3" hidden="1">'Análise Física Macro'!$B$2:$O$56</definedName>
    <definedName name="Z_2E9F4221_6932_11D8_B698_00E07DABB78E_.wvu.PrintArea" localSheetId="2" hidden="1">DADOS!$B$2:$AD$20</definedName>
    <definedName name="Z_2E9F4221_6932_11D8_B698_00E07DABB78E_.wvu.PrintArea" localSheetId="14" hidden="1">'Dados Finan'!$B$2:$AB$14</definedName>
    <definedName name="Z_2E9F4221_6932_11D8_B698_00E07DABB78E_.wvu.PrintArea" localSheetId="10" hidden="1">'Painel de Indicadores 2'!$B$2:$J$22</definedName>
    <definedName name="Z_D999990A_AFF5_11D8_8963_0007955F51CD_.wvu.PrintArea" localSheetId="3" hidden="1">'Análise Física Macro'!$B$2:$O$56</definedName>
    <definedName name="Z_D999990A_AFF5_11D8_8963_0007955F51CD_.wvu.PrintArea" localSheetId="2" hidden="1">DADOS!$B$2:$AD$20</definedName>
    <definedName name="Z_D999990A_AFF5_11D8_8963_0007955F51CD_.wvu.PrintArea" localSheetId="14" hidden="1">'Dados Finan'!$B$2:$AB$14</definedName>
    <definedName name="Z_D999990A_AFF5_11D8_8963_0007955F51CD_.wvu.PrintArea" localSheetId="10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P4" i="189" l="1"/>
  <c r="P450" i="161" l="1"/>
  <c r="P398" i="161"/>
  <c r="P384" i="161"/>
  <c r="E285" i="189" l="1"/>
  <c r="P477" i="161" l="1"/>
  <c r="P476" i="161"/>
  <c r="P475" i="161"/>
  <c r="P474" i="161"/>
  <c r="P462" i="161"/>
  <c r="P461" i="161"/>
  <c r="P460" i="161"/>
  <c r="P459" i="161"/>
  <c r="P458" i="161"/>
  <c r="P457" i="161"/>
  <c r="P456" i="161"/>
  <c r="P455" i="161"/>
  <c r="P454" i="161"/>
  <c r="P453" i="161"/>
  <c r="P439" i="161"/>
  <c r="P438" i="161"/>
  <c r="P437" i="161"/>
  <c r="P436" i="161"/>
  <c r="P435" i="161"/>
  <c r="P429" i="161"/>
  <c r="P428" i="161"/>
  <c r="P426" i="161"/>
  <c r="P425" i="161"/>
  <c r="P424" i="161"/>
  <c r="P423" i="161"/>
  <c r="P421" i="161"/>
  <c r="P420" i="161"/>
  <c r="P417" i="161"/>
  <c r="P416" i="161"/>
  <c r="P415" i="161"/>
  <c r="P414" i="161"/>
  <c r="P412" i="161"/>
  <c r="P411" i="161"/>
  <c r="P409" i="161"/>
  <c r="P408" i="161"/>
  <c r="P407" i="161"/>
  <c r="P406" i="161"/>
  <c r="P405" i="161"/>
  <c r="P404" i="161"/>
  <c r="P401" i="161"/>
  <c r="P400" i="161"/>
  <c r="P399" i="161"/>
  <c r="P392" i="161"/>
  <c r="P391" i="161"/>
  <c r="P386" i="161"/>
  <c r="P385" i="161"/>
  <c r="P16" i="161"/>
  <c r="F8" i="180" l="1"/>
  <c r="I46" i="180" l="1"/>
  <c r="C46" i="180"/>
  <c r="I45" i="180"/>
  <c r="C45" i="180"/>
  <c r="I44" i="180"/>
  <c r="C44" i="180"/>
  <c r="I43" i="180"/>
  <c r="C43" i="180"/>
  <c r="I42" i="180"/>
  <c r="C42" i="180"/>
  <c r="C41" i="180"/>
  <c r="I41" i="180"/>
  <c r="J47" i="180"/>
  <c r="J37" i="180"/>
  <c r="I37" i="180"/>
  <c r="H37" i="180"/>
  <c r="C37" i="180"/>
  <c r="J36" i="180"/>
  <c r="I36" i="180"/>
  <c r="H36" i="180"/>
  <c r="C36" i="180"/>
  <c r="J35" i="180"/>
  <c r="I35" i="180"/>
  <c r="H35" i="180"/>
  <c r="C35" i="180"/>
  <c r="J34" i="180"/>
  <c r="I34" i="180"/>
  <c r="H34" i="180"/>
  <c r="C34" i="180"/>
  <c r="J33" i="180"/>
  <c r="I33" i="180"/>
  <c r="H33" i="180"/>
  <c r="C33" i="180"/>
  <c r="J32" i="180"/>
  <c r="I32" i="180"/>
  <c r="H32" i="180"/>
  <c r="C32" i="180"/>
  <c r="J31" i="180"/>
  <c r="I31" i="180"/>
  <c r="H31" i="180"/>
  <c r="C31" i="180"/>
  <c r="J30" i="180"/>
  <c r="I30" i="180"/>
  <c r="H30" i="180"/>
  <c r="C30" i="180"/>
  <c r="J29" i="180"/>
  <c r="I29" i="180"/>
  <c r="H29" i="180"/>
  <c r="C29" i="180"/>
  <c r="J28" i="180"/>
  <c r="I28" i="180"/>
  <c r="H28" i="180"/>
  <c r="C28" i="180"/>
  <c r="J27" i="180"/>
  <c r="I27" i="180"/>
  <c r="H27" i="180"/>
  <c r="C27" i="180"/>
  <c r="J26" i="180"/>
  <c r="I26" i="180"/>
  <c r="H26" i="180"/>
  <c r="C26" i="180"/>
  <c r="J25" i="180"/>
  <c r="I25" i="180"/>
  <c r="H25" i="180"/>
  <c r="C25" i="180"/>
  <c r="J24" i="180"/>
  <c r="I24" i="180"/>
  <c r="H24" i="180"/>
  <c r="C24" i="180"/>
  <c r="J23" i="180"/>
  <c r="I23" i="180"/>
  <c r="H23" i="180"/>
  <c r="C23" i="180"/>
  <c r="J22" i="180"/>
  <c r="I22" i="180"/>
  <c r="H22" i="180"/>
  <c r="C22" i="180"/>
  <c r="J21" i="180"/>
  <c r="I21" i="180"/>
  <c r="H21" i="180"/>
  <c r="C21" i="180"/>
  <c r="J20" i="180"/>
  <c r="I20" i="180"/>
  <c r="H20" i="180"/>
  <c r="C20" i="180"/>
  <c r="J19" i="180"/>
  <c r="I19" i="180"/>
  <c r="H19" i="180"/>
  <c r="C19" i="180"/>
  <c r="C18" i="180"/>
  <c r="J18" i="180"/>
  <c r="I18" i="180"/>
  <c r="H18" i="180"/>
  <c r="I38" i="180" l="1"/>
  <c r="J38" i="180"/>
  <c r="J48" i="180" s="1"/>
  <c r="H38" i="180"/>
  <c r="I47" i="180"/>
  <c r="I48" i="180" l="1"/>
  <c r="H43" i="180"/>
  <c r="H45" i="180"/>
  <c r="H42" i="180"/>
  <c r="H41" i="180"/>
  <c r="H44" i="180"/>
  <c r="H46" i="180"/>
  <c r="H47" i="180" l="1"/>
  <c r="H48" i="180" s="1"/>
  <c r="G31" i="180" l="1"/>
  <c r="K31" i="180" s="1"/>
  <c r="G28" i="180"/>
  <c r="K28" i="180" s="1"/>
  <c r="G22" i="180"/>
  <c r="K22" i="180" s="1"/>
  <c r="G37" i="180"/>
  <c r="K37" i="180" s="1"/>
  <c r="G34" i="180"/>
  <c r="K34" i="180" s="1"/>
  <c r="G26" i="180"/>
  <c r="K26" i="180" s="1"/>
  <c r="G23" i="180"/>
  <c r="K23" i="180" s="1"/>
  <c r="G20" i="180"/>
  <c r="K20" i="180" s="1"/>
  <c r="G35" i="180"/>
  <c r="K35" i="180" s="1"/>
  <c r="G32" i="180"/>
  <c r="K32" i="180" s="1"/>
  <c r="G29" i="180"/>
  <c r="K29" i="180" s="1"/>
  <c r="G18" i="180"/>
  <c r="G27" i="180"/>
  <c r="K27" i="180" s="1"/>
  <c r="G24" i="180"/>
  <c r="K24" i="180" s="1"/>
  <c r="G36" i="180"/>
  <c r="K36" i="180" s="1"/>
  <c r="G33" i="180"/>
  <c r="K33" i="180" s="1"/>
  <c r="G30" i="180"/>
  <c r="K30" i="180" s="1"/>
  <c r="G19" i="180"/>
  <c r="K19" i="180" s="1"/>
  <c r="G25" i="180"/>
  <c r="K25" i="180" s="1"/>
  <c r="G21" i="180"/>
  <c r="K21" i="180" s="1"/>
  <c r="G46" i="180" l="1"/>
  <c r="K46" i="180" s="1"/>
  <c r="G44" i="180"/>
  <c r="K44" i="180" s="1"/>
  <c r="G42" i="180"/>
  <c r="K42" i="180" s="1"/>
  <c r="G45" i="180"/>
  <c r="K45" i="180" s="1"/>
  <c r="G43" i="180"/>
  <c r="K43" i="180" s="1"/>
  <c r="G41" i="180"/>
  <c r="G38" i="180"/>
  <c r="K18" i="180"/>
  <c r="K38" i="180" s="1"/>
  <c r="G47" i="180" l="1"/>
  <c r="G48" i="180" s="1"/>
  <c r="K41" i="180"/>
  <c r="K47" i="180" s="1"/>
  <c r="K48" i="180" s="1"/>
  <c r="G14" i="195" s="1"/>
  <c r="J473" i="189" l="1"/>
  <c r="J446" i="189"/>
  <c r="J425" i="189"/>
  <c r="J397" i="189"/>
  <c r="J385" i="189"/>
  <c r="J377" i="189"/>
  <c r="I449" i="189"/>
  <c r="H449" i="189"/>
  <c r="G449" i="189"/>
  <c r="E449" i="189"/>
  <c r="Q424" i="189"/>
  <c r="R424" i="189" s="1"/>
  <c r="L424" i="189"/>
  <c r="I424" i="189"/>
  <c r="H424" i="189"/>
  <c r="G424" i="189"/>
  <c r="I396" i="189"/>
  <c r="H396" i="189"/>
  <c r="G396" i="189"/>
  <c r="E396" i="189"/>
  <c r="I395" i="189"/>
  <c r="H395" i="189"/>
  <c r="G395" i="189"/>
  <c r="E395" i="189"/>
  <c r="I394" i="189"/>
  <c r="H394" i="189"/>
  <c r="G394" i="189"/>
  <c r="E394" i="189"/>
  <c r="I393" i="189"/>
  <c r="H393" i="189"/>
  <c r="G393" i="189"/>
  <c r="I392" i="189"/>
  <c r="H392" i="189"/>
  <c r="G392" i="189"/>
  <c r="I391" i="189"/>
  <c r="H391" i="189"/>
  <c r="G391" i="189"/>
  <c r="I390" i="189"/>
  <c r="H390" i="189"/>
  <c r="G390" i="189"/>
  <c r="I389" i="189"/>
  <c r="H389" i="189"/>
  <c r="G389" i="189"/>
  <c r="I388" i="189"/>
  <c r="H388" i="189"/>
  <c r="G388" i="189"/>
  <c r="I387" i="189"/>
  <c r="H387" i="189"/>
  <c r="G387" i="189"/>
  <c r="E387" i="189"/>
  <c r="E15" i="189"/>
  <c r="E14" i="189"/>
  <c r="E13" i="189"/>
  <c r="E11" i="189"/>
  <c r="J374" i="189"/>
  <c r="I374" i="189"/>
  <c r="H374" i="189"/>
  <c r="G374" i="189"/>
  <c r="J373" i="189"/>
  <c r="I373" i="189"/>
  <c r="H373" i="189"/>
  <c r="G373" i="189"/>
  <c r="J372" i="189"/>
  <c r="I372" i="189"/>
  <c r="H372" i="189"/>
  <c r="G372" i="189"/>
  <c r="J371" i="189"/>
  <c r="I371" i="189"/>
  <c r="H371" i="189"/>
  <c r="G371" i="189"/>
  <c r="J370" i="189"/>
  <c r="I370" i="189"/>
  <c r="H370" i="189"/>
  <c r="G370" i="189"/>
  <c r="J369" i="189"/>
  <c r="I369" i="189"/>
  <c r="H369" i="189"/>
  <c r="G369" i="189"/>
  <c r="J368" i="189"/>
  <c r="I368" i="189"/>
  <c r="H368" i="189"/>
  <c r="G368" i="189"/>
  <c r="J367" i="189"/>
  <c r="I367" i="189"/>
  <c r="H367" i="189"/>
  <c r="G367" i="189"/>
  <c r="J366" i="189"/>
  <c r="I366" i="189"/>
  <c r="H366" i="189"/>
  <c r="G366" i="189"/>
  <c r="J365" i="189"/>
  <c r="I365" i="189"/>
  <c r="H365" i="189"/>
  <c r="G365" i="189"/>
  <c r="J364" i="189"/>
  <c r="I364" i="189"/>
  <c r="H364" i="189"/>
  <c r="G364" i="189"/>
  <c r="J363" i="189"/>
  <c r="I363" i="189"/>
  <c r="H363" i="189"/>
  <c r="G363" i="189"/>
  <c r="J362" i="189"/>
  <c r="I362" i="189"/>
  <c r="H362" i="189"/>
  <c r="G362" i="189"/>
  <c r="J361" i="189"/>
  <c r="I361" i="189"/>
  <c r="H361" i="189"/>
  <c r="G361" i="189"/>
  <c r="J360" i="189"/>
  <c r="I360" i="189"/>
  <c r="H360" i="189"/>
  <c r="G360" i="189"/>
  <c r="J359" i="189"/>
  <c r="I359" i="189"/>
  <c r="H359" i="189"/>
  <c r="G359" i="189"/>
  <c r="J358" i="189"/>
  <c r="I358" i="189"/>
  <c r="H358" i="189"/>
  <c r="G358" i="189"/>
  <c r="J357" i="189"/>
  <c r="I357" i="189"/>
  <c r="H357" i="189"/>
  <c r="G357" i="189"/>
  <c r="J355" i="189"/>
  <c r="I355" i="189"/>
  <c r="H355" i="189"/>
  <c r="G355" i="189"/>
  <c r="J354" i="189"/>
  <c r="I354" i="189"/>
  <c r="H354" i="189"/>
  <c r="G354" i="189"/>
  <c r="J353" i="189"/>
  <c r="I353" i="189"/>
  <c r="H353" i="189"/>
  <c r="G353" i="189"/>
  <c r="J352" i="189"/>
  <c r="I352" i="189"/>
  <c r="H352" i="189"/>
  <c r="G352" i="189"/>
  <c r="J351" i="189"/>
  <c r="I351" i="189"/>
  <c r="H351" i="189"/>
  <c r="G351" i="189"/>
  <c r="J350" i="189"/>
  <c r="I350" i="189"/>
  <c r="H350" i="189"/>
  <c r="G350" i="189"/>
  <c r="J349" i="189"/>
  <c r="I349" i="189"/>
  <c r="H349" i="189"/>
  <c r="G349" i="189"/>
  <c r="J348" i="189"/>
  <c r="I348" i="189"/>
  <c r="H348" i="189"/>
  <c r="G348" i="189"/>
  <c r="J347" i="189"/>
  <c r="I347" i="189"/>
  <c r="H347" i="189"/>
  <c r="G347" i="189"/>
  <c r="J346" i="189"/>
  <c r="I346" i="189"/>
  <c r="H346" i="189"/>
  <c r="G346" i="189"/>
  <c r="J345" i="189"/>
  <c r="I345" i="189"/>
  <c r="H345" i="189"/>
  <c r="G345" i="189"/>
  <c r="J344" i="189"/>
  <c r="I344" i="189"/>
  <c r="H344" i="189"/>
  <c r="G344" i="189"/>
  <c r="J343" i="189"/>
  <c r="I343" i="189"/>
  <c r="H343" i="189"/>
  <c r="G343" i="189"/>
  <c r="J342" i="189"/>
  <c r="I342" i="189"/>
  <c r="H342" i="189"/>
  <c r="G342" i="189"/>
  <c r="J341" i="189"/>
  <c r="I341" i="189"/>
  <c r="H341" i="189"/>
  <c r="G341" i="189"/>
  <c r="J340" i="189"/>
  <c r="I340" i="189"/>
  <c r="H340" i="189"/>
  <c r="G340" i="189"/>
  <c r="J339" i="189"/>
  <c r="I339" i="189"/>
  <c r="H339" i="189"/>
  <c r="G339" i="189"/>
  <c r="J338" i="189"/>
  <c r="I338" i="189"/>
  <c r="H338" i="189"/>
  <c r="G338" i="189"/>
  <c r="J337" i="189"/>
  <c r="I337" i="189"/>
  <c r="H337" i="189"/>
  <c r="G337" i="189"/>
  <c r="J336" i="189"/>
  <c r="I336" i="189"/>
  <c r="H336" i="189"/>
  <c r="G336" i="189"/>
  <c r="J335" i="189"/>
  <c r="I335" i="189"/>
  <c r="H335" i="189"/>
  <c r="G335" i="189"/>
  <c r="J334" i="189"/>
  <c r="I334" i="189"/>
  <c r="H334" i="189"/>
  <c r="G334" i="189"/>
  <c r="J333" i="189"/>
  <c r="I333" i="189"/>
  <c r="H333" i="189"/>
  <c r="G333" i="189"/>
  <c r="J332" i="189"/>
  <c r="I332" i="189"/>
  <c r="H332" i="189"/>
  <c r="G332" i="189"/>
  <c r="J331" i="189"/>
  <c r="I331" i="189"/>
  <c r="H331" i="189"/>
  <c r="G331" i="189"/>
  <c r="J330" i="189"/>
  <c r="I330" i="189"/>
  <c r="H330" i="189"/>
  <c r="G330" i="189"/>
  <c r="J329" i="189"/>
  <c r="I329" i="189"/>
  <c r="H329" i="189"/>
  <c r="G329" i="189"/>
  <c r="J328" i="189"/>
  <c r="I328" i="189"/>
  <c r="H328" i="189"/>
  <c r="G328" i="189"/>
  <c r="J327" i="189"/>
  <c r="I327" i="189"/>
  <c r="H327" i="189"/>
  <c r="G327" i="189"/>
  <c r="J326" i="189"/>
  <c r="I326" i="189"/>
  <c r="H326" i="189"/>
  <c r="G326" i="189"/>
  <c r="J325" i="189"/>
  <c r="I325" i="189"/>
  <c r="H325" i="189"/>
  <c r="G325" i="189"/>
  <c r="J323" i="189"/>
  <c r="I323" i="189"/>
  <c r="H323" i="189"/>
  <c r="G323" i="189"/>
  <c r="J322" i="189"/>
  <c r="I322" i="189"/>
  <c r="H322" i="189"/>
  <c r="G322" i="189"/>
  <c r="J321" i="189"/>
  <c r="I321" i="189"/>
  <c r="H321" i="189"/>
  <c r="G321" i="189"/>
  <c r="J320" i="189"/>
  <c r="I320" i="189"/>
  <c r="H320" i="189"/>
  <c r="G320" i="189"/>
  <c r="J319" i="189"/>
  <c r="I319" i="189"/>
  <c r="H319" i="189"/>
  <c r="G319" i="189"/>
  <c r="J318" i="189"/>
  <c r="I318" i="189"/>
  <c r="H318" i="189"/>
  <c r="G318" i="189"/>
  <c r="J317" i="189"/>
  <c r="I317" i="189"/>
  <c r="H317" i="189"/>
  <c r="G317" i="189"/>
  <c r="J316" i="189"/>
  <c r="I316" i="189"/>
  <c r="H316" i="189"/>
  <c r="G316" i="189"/>
  <c r="J315" i="189"/>
  <c r="I315" i="189"/>
  <c r="H315" i="189"/>
  <c r="G315" i="189"/>
  <c r="J314" i="189"/>
  <c r="I314" i="189"/>
  <c r="H314" i="189"/>
  <c r="G314" i="189"/>
  <c r="J313" i="189"/>
  <c r="I313" i="189"/>
  <c r="H313" i="189"/>
  <c r="G313" i="189"/>
  <c r="J312" i="189"/>
  <c r="I312" i="189"/>
  <c r="H312" i="189"/>
  <c r="G312" i="189"/>
  <c r="J311" i="189"/>
  <c r="I311" i="189"/>
  <c r="H311" i="189"/>
  <c r="G311" i="189"/>
  <c r="J310" i="189"/>
  <c r="I310" i="189"/>
  <c r="H310" i="189"/>
  <c r="G310" i="189"/>
  <c r="J309" i="189"/>
  <c r="I309" i="189"/>
  <c r="H309" i="189"/>
  <c r="G309" i="189"/>
  <c r="J308" i="189"/>
  <c r="I308" i="189"/>
  <c r="H308" i="189"/>
  <c r="G308" i="189"/>
  <c r="J307" i="189"/>
  <c r="I307" i="189"/>
  <c r="H307" i="189"/>
  <c r="G307" i="189"/>
  <c r="J306" i="189"/>
  <c r="I306" i="189"/>
  <c r="H306" i="189"/>
  <c r="G306" i="189"/>
  <c r="J305" i="189"/>
  <c r="I305" i="189"/>
  <c r="H305" i="189"/>
  <c r="G305" i="189"/>
  <c r="J304" i="189"/>
  <c r="I304" i="189"/>
  <c r="H304" i="189"/>
  <c r="G304" i="189"/>
  <c r="J303" i="189"/>
  <c r="I303" i="189"/>
  <c r="H303" i="189"/>
  <c r="G303" i="189"/>
  <c r="J302" i="189"/>
  <c r="I302" i="189"/>
  <c r="H302" i="189"/>
  <c r="G302" i="189"/>
  <c r="J301" i="189"/>
  <c r="I301" i="189"/>
  <c r="H301" i="189"/>
  <c r="G301" i="189"/>
  <c r="J300" i="189"/>
  <c r="I300" i="189"/>
  <c r="H300" i="189"/>
  <c r="G300" i="189"/>
  <c r="J299" i="189"/>
  <c r="I299" i="189"/>
  <c r="H299" i="189"/>
  <c r="G299" i="189"/>
  <c r="J297" i="189"/>
  <c r="I297" i="189"/>
  <c r="H297" i="189"/>
  <c r="G297" i="189"/>
  <c r="J296" i="189"/>
  <c r="I296" i="189"/>
  <c r="H296" i="189"/>
  <c r="G296" i="189"/>
  <c r="J295" i="189"/>
  <c r="I295" i="189"/>
  <c r="H295" i="189"/>
  <c r="G295" i="189"/>
  <c r="J294" i="189"/>
  <c r="I294" i="189"/>
  <c r="H294" i="189"/>
  <c r="G294" i="189"/>
  <c r="J292" i="189"/>
  <c r="I292" i="189"/>
  <c r="H292" i="189"/>
  <c r="G292" i="189"/>
  <c r="J291" i="189"/>
  <c r="I291" i="189"/>
  <c r="H291" i="189"/>
  <c r="G291" i="189"/>
  <c r="J290" i="189"/>
  <c r="I290" i="189"/>
  <c r="H290" i="189"/>
  <c r="G290" i="189"/>
  <c r="J289" i="189"/>
  <c r="I289" i="189"/>
  <c r="H289" i="189"/>
  <c r="G289" i="189"/>
  <c r="J288" i="189"/>
  <c r="I288" i="189"/>
  <c r="H288" i="189"/>
  <c r="G288" i="189"/>
  <c r="J287" i="189"/>
  <c r="I287" i="189"/>
  <c r="H287" i="189"/>
  <c r="G287" i="189"/>
  <c r="J286" i="189"/>
  <c r="I286" i="189"/>
  <c r="H286" i="189"/>
  <c r="G286" i="189"/>
  <c r="J285" i="189"/>
  <c r="I285" i="189"/>
  <c r="H285" i="189"/>
  <c r="G285" i="189"/>
  <c r="J284" i="189"/>
  <c r="I284" i="189"/>
  <c r="H284" i="189"/>
  <c r="G284" i="189"/>
  <c r="J283" i="189"/>
  <c r="I283" i="189"/>
  <c r="H283" i="189"/>
  <c r="G283" i="189"/>
  <c r="J282" i="189"/>
  <c r="I282" i="189"/>
  <c r="H282" i="189"/>
  <c r="G282" i="189"/>
  <c r="J281" i="189"/>
  <c r="I281" i="189"/>
  <c r="H281" i="189"/>
  <c r="G281" i="189"/>
  <c r="J280" i="189"/>
  <c r="I280" i="189"/>
  <c r="H280" i="189"/>
  <c r="G280" i="189"/>
  <c r="J279" i="189"/>
  <c r="I279" i="189"/>
  <c r="H279" i="189"/>
  <c r="G279" i="189"/>
  <c r="J278" i="189"/>
  <c r="I278" i="189"/>
  <c r="H278" i="189"/>
  <c r="G278" i="189"/>
  <c r="J277" i="189"/>
  <c r="I277" i="189"/>
  <c r="H277" i="189"/>
  <c r="G277" i="189"/>
  <c r="J276" i="189"/>
  <c r="I276" i="189"/>
  <c r="H276" i="189"/>
  <c r="G276" i="189"/>
  <c r="J275" i="189"/>
  <c r="I275" i="189"/>
  <c r="H275" i="189"/>
  <c r="G275" i="189"/>
  <c r="J273" i="189"/>
  <c r="I273" i="189"/>
  <c r="H273" i="189"/>
  <c r="G273" i="189"/>
  <c r="J272" i="189"/>
  <c r="I272" i="189"/>
  <c r="H272" i="189"/>
  <c r="G272" i="189"/>
  <c r="J271" i="189"/>
  <c r="I271" i="189"/>
  <c r="H271" i="189"/>
  <c r="G271" i="189"/>
  <c r="J270" i="189"/>
  <c r="I270" i="189"/>
  <c r="H270" i="189"/>
  <c r="G270" i="189"/>
  <c r="J269" i="189"/>
  <c r="I269" i="189"/>
  <c r="H269" i="189"/>
  <c r="G269" i="189"/>
  <c r="J268" i="189"/>
  <c r="I268" i="189"/>
  <c r="H268" i="189"/>
  <c r="G268" i="189"/>
  <c r="J267" i="189"/>
  <c r="I267" i="189"/>
  <c r="H267" i="189"/>
  <c r="G267" i="189"/>
  <c r="J266" i="189"/>
  <c r="I266" i="189"/>
  <c r="H266" i="189"/>
  <c r="G266" i="189"/>
  <c r="J265" i="189"/>
  <c r="I265" i="189"/>
  <c r="H265" i="189"/>
  <c r="G265" i="189"/>
  <c r="J264" i="189"/>
  <c r="I264" i="189"/>
  <c r="H264" i="189"/>
  <c r="G264" i="189"/>
  <c r="J263" i="189"/>
  <c r="I263" i="189"/>
  <c r="H263" i="189"/>
  <c r="G263" i="189"/>
  <c r="J262" i="189"/>
  <c r="I262" i="189"/>
  <c r="H262" i="189"/>
  <c r="G262" i="189"/>
  <c r="J261" i="189"/>
  <c r="I261" i="189"/>
  <c r="H261" i="189"/>
  <c r="G261" i="189"/>
  <c r="J260" i="189"/>
  <c r="I260" i="189"/>
  <c r="H260" i="189"/>
  <c r="G260" i="189"/>
  <c r="J258" i="189"/>
  <c r="I258" i="189"/>
  <c r="H258" i="189"/>
  <c r="G258" i="189"/>
  <c r="J257" i="189"/>
  <c r="I257" i="189"/>
  <c r="H257" i="189"/>
  <c r="G257" i="189"/>
  <c r="J256" i="189"/>
  <c r="I256" i="189"/>
  <c r="H256" i="189"/>
  <c r="G256" i="189"/>
  <c r="J255" i="189"/>
  <c r="I255" i="189"/>
  <c r="H255" i="189"/>
  <c r="G255" i="189"/>
  <c r="J254" i="189"/>
  <c r="I254" i="189"/>
  <c r="H254" i="189"/>
  <c r="G254" i="189"/>
  <c r="J253" i="189"/>
  <c r="I253" i="189"/>
  <c r="H253" i="189"/>
  <c r="G253" i="189"/>
  <c r="J252" i="189"/>
  <c r="I252" i="189"/>
  <c r="H252" i="189"/>
  <c r="G252" i="189"/>
  <c r="J251" i="189"/>
  <c r="I251" i="189"/>
  <c r="H251" i="189"/>
  <c r="G251" i="189"/>
  <c r="J250" i="189"/>
  <c r="I250" i="189"/>
  <c r="H250" i="189"/>
  <c r="G250" i="189"/>
  <c r="J248" i="189"/>
  <c r="I248" i="189"/>
  <c r="H248" i="189"/>
  <c r="G248" i="189"/>
  <c r="J247" i="189"/>
  <c r="I247" i="189"/>
  <c r="H247" i="189"/>
  <c r="G247" i="189"/>
  <c r="J246" i="189"/>
  <c r="I246" i="189"/>
  <c r="H246" i="189"/>
  <c r="G246" i="189"/>
  <c r="J244" i="189"/>
  <c r="I244" i="189"/>
  <c r="H244" i="189"/>
  <c r="G244" i="189"/>
  <c r="J243" i="189"/>
  <c r="I243" i="189"/>
  <c r="H243" i="189"/>
  <c r="G243" i="189"/>
  <c r="J242" i="189"/>
  <c r="I242" i="189"/>
  <c r="H242" i="189"/>
  <c r="G242" i="189"/>
  <c r="J241" i="189"/>
  <c r="I241" i="189"/>
  <c r="H241" i="189"/>
  <c r="G241" i="189"/>
  <c r="J240" i="189"/>
  <c r="I240" i="189"/>
  <c r="H240" i="189"/>
  <c r="G240" i="189"/>
  <c r="J239" i="189"/>
  <c r="I239" i="189"/>
  <c r="H239" i="189"/>
  <c r="G239" i="189"/>
  <c r="J238" i="189"/>
  <c r="I238" i="189"/>
  <c r="H238" i="189"/>
  <c r="G238" i="189"/>
  <c r="J237" i="189"/>
  <c r="I237" i="189"/>
  <c r="H237" i="189"/>
  <c r="G237" i="189"/>
  <c r="J236" i="189"/>
  <c r="I236" i="189"/>
  <c r="H236" i="189"/>
  <c r="G236" i="189"/>
  <c r="J235" i="189"/>
  <c r="I235" i="189"/>
  <c r="H235" i="189"/>
  <c r="G235" i="189"/>
  <c r="J234" i="189"/>
  <c r="I234" i="189"/>
  <c r="H234" i="189"/>
  <c r="G234" i="189"/>
  <c r="J233" i="189"/>
  <c r="I233" i="189"/>
  <c r="H233" i="189"/>
  <c r="G233" i="189"/>
  <c r="J232" i="189"/>
  <c r="I232" i="189"/>
  <c r="H232" i="189"/>
  <c r="G232" i="189"/>
  <c r="J231" i="189"/>
  <c r="I231" i="189"/>
  <c r="H231" i="189"/>
  <c r="G231" i="189"/>
  <c r="J230" i="189"/>
  <c r="I230" i="189"/>
  <c r="H230" i="189"/>
  <c r="G230" i="189"/>
  <c r="J229" i="189"/>
  <c r="I229" i="189"/>
  <c r="H229" i="189"/>
  <c r="G229" i="189"/>
  <c r="J228" i="189"/>
  <c r="I228" i="189"/>
  <c r="H228" i="189"/>
  <c r="G228" i="189"/>
  <c r="J227" i="189"/>
  <c r="I227" i="189"/>
  <c r="H227" i="189"/>
  <c r="G227" i="189"/>
  <c r="J226" i="189"/>
  <c r="I226" i="189"/>
  <c r="H226" i="189"/>
  <c r="G226" i="189"/>
  <c r="J225" i="189"/>
  <c r="I225" i="189"/>
  <c r="H225" i="189"/>
  <c r="G225" i="189"/>
  <c r="J224" i="189"/>
  <c r="I224" i="189"/>
  <c r="H224" i="189"/>
  <c r="G224" i="189"/>
  <c r="J223" i="189"/>
  <c r="I223" i="189"/>
  <c r="H223" i="189"/>
  <c r="G223" i="189"/>
  <c r="J222" i="189"/>
  <c r="I222" i="189"/>
  <c r="H222" i="189"/>
  <c r="G222" i="189"/>
  <c r="J221" i="189"/>
  <c r="I221" i="189"/>
  <c r="H221" i="189"/>
  <c r="G221" i="189"/>
  <c r="J219" i="189"/>
  <c r="I219" i="189"/>
  <c r="H219" i="189"/>
  <c r="G219" i="189"/>
  <c r="J218" i="189"/>
  <c r="I218" i="189"/>
  <c r="H218" i="189"/>
  <c r="G218" i="189"/>
  <c r="J217" i="189"/>
  <c r="I217" i="189"/>
  <c r="H217" i="189"/>
  <c r="G217" i="189"/>
  <c r="J216" i="189"/>
  <c r="I216" i="189"/>
  <c r="H216" i="189"/>
  <c r="G216" i="189"/>
  <c r="J215" i="189"/>
  <c r="I215" i="189"/>
  <c r="H215" i="189"/>
  <c r="G215" i="189"/>
  <c r="J213" i="189"/>
  <c r="I213" i="189"/>
  <c r="H213" i="189"/>
  <c r="G213" i="189"/>
  <c r="J212" i="189"/>
  <c r="I212" i="189"/>
  <c r="H212" i="189"/>
  <c r="G212" i="189"/>
  <c r="J211" i="189"/>
  <c r="I211" i="189"/>
  <c r="H211" i="189"/>
  <c r="G211" i="189"/>
  <c r="J210" i="189"/>
  <c r="I210" i="189"/>
  <c r="H210" i="189"/>
  <c r="G210" i="189"/>
  <c r="J209" i="189"/>
  <c r="I209" i="189"/>
  <c r="H209" i="189"/>
  <c r="G209" i="189"/>
  <c r="J208" i="189"/>
  <c r="I208" i="189"/>
  <c r="H208" i="189"/>
  <c r="G208" i="189"/>
  <c r="J207" i="189"/>
  <c r="I207" i="189"/>
  <c r="H207" i="189"/>
  <c r="G207" i="189"/>
  <c r="J206" i="189"/>
  <c r="I206" i="189"/>
  <c r="H206" i="189"/>
  <c r="G206" i="189"/>
  <c r="J205" i="189"/>
  <c r="I205" i="189"/>
  <c r="H205" i="189"/>
  <c r="G205" i="189"/>
  <c r="J204" i="189"/>
  <c r="I204" i="189"/>
  <c r="H204" i="189"/>
  <c r="G204" i="189"/>
  <c r="J203" i="189"/>
  <c r="I203" i="189"/>
  <c r="H203" i="189"/>
  <c r="G203" i="189"/>
  <c r="J202" i="189"/>
  <c r="I202" i="189"/>
  <c r="H202" i="189"/>
  <c r="G202" i="189"/>
  <c r="J201" i="189"/>
  <c r="I201" i="189"/>
  <c r="H201" i="189"/>
  <c r="G201" i="189"/>
  <c r="J200" i="189"/>
  <c r="I200" i="189"/>
  <c r="H200" i="189"/>
  <c r="G200" i="189"/>
  <c r="J199" i="189"/>
  <c r="I199" i="189"/>
  <c r="H199" i="189"/>
  <c r="G199" i="189"/>
  <c r="J198" i="189"/>
  <c r="I198" i="189"/>
  <c r="H198" i="189"/>
  <c r="G198" i="189"/>
  <c r="J197" i="189"/>
  <c r="I197" i="189"/>
  <c r="H197" i="189"/>
  <c r="G197" i="189"/>
  <c r="J196" i="189"/>
  <c r="I196" i="189"/>
  <c r="H196" i="189"/>
  <c r="G196" i="189"/>
  <c r="J195" i="189"/>
  <c r="I195" i="189"/>
  <c r="H195" i="189"/>
  <c r="G195" i="189"/>
  <c r="J194" i="189"/>
  <c r="I194" i="189"/>
  <c r="H194" i="189"/>
  <c r="G194" i="189"/>
  <c r="J193" i="189"/>
  <c r="I193" i="189"/>
  <c r="H193" i="189"/>
  <c r="G193" i="189"/>
  <c r="J192" i="189"/>
  <c r="I192" i="189"/>
  <c r="H192" i="189"/>
  <c r="G192" i="189"/>
  <c r="J191" i="189"/>
  <c r="I191" i="189"/>
  <c r="H191" i="189"/>
  <c r="G191" i="189"/>
  <c r="J190" i="189"/>
  <c r="I190" i="189"/>
  <c r="H190" i="189"/>
  <c r="G190" i="189"/>
  <c r="J189" i="189"/>
  <c r="I189" i="189"/>
  <c r="H189" i="189"/>
  <c r="G189" i="189"/>
  <c r="J188" i="189"/>
  <c r="I188" i="189"/>
  <c r="H188" i="189"/>
  <c r="G188" i="189"/>
  <c r="J187" i="189"/>
  <c r="I187" i="189"/>
  <c r="H187" i="189"/>
  <c r="G187" i="189"/>
  <c r="J186" i="189"/>
  <c r="I186" i="189"/>
  <c r="H186" i="189"/>
  <c r="G186" i="189"/>
  <c r="J185" i="189"/>
  <c r="I185" i="189"/>
  <c r="H185" i="189"/>
  <c r="G185" i="189"/>
  <c r="J184" i="189"/>
  <c r="I184" i="189"/>
  <c r="H184" i="189"/>
  <c r="G184" i="189"/>
  <c r="J183" i="189"/>
  <c r="I183" i="189"/>
  <c r="H183" i="189"/>
  <c r="G183" i="189"/>
  <c r="J182" i="189"/>
  <c r="I182" i="189"/>
  <c r="H182" i="189"/>
  <c r="G182" i="189"/>
  <c r="J181" i="189"/>
  <c r="I181" i="189"/>
  <c r="H181" i="189"/>
  <c r="G181" i="189"/>
  <c r="J180" i="189"/>
  <c r="I180" i="189"/>
  <c r="H180" i="189"/>
  <c r="G180" i="189"/>
  <c r="J179" i="189"/>
  <c r="I179" i="189"/>
  <c r="H179" i="189"/>
  <c r="G179" i="189"/>
  <c r="J178" i="189"/>
  <c r="I178" i="189"/>
  <c r="H178" i="189"/>
  <c r="G178" i="189"/>
  <c r="J177" i="189"/>
  <c r="I177" i="189"/>
  <c r="H177" i="189"/>
  <c r="G177" i="189"/>
  <c r="J176" i="189"/>
  <c r="I176" i="189"/>
  <c r="H176" i="189"/>
  <c r="G176" i="189"/>
  <c r="J174" i="189"/>
  <c r="I174" i="189"/>
  <c r="H174" i="189"/>
  <c r="G174" i="189"/>
  <c r="J173" i="189"/>
  <c r="I173" i="189"/>
  <c r="H173" i="189"/>
  <c r="G173" i="189"/>
  <c r="J172" i="189"/>
  <c r="I172" i="189"/>
  <c r="H172" i="189"/>
  <c r="G172" i="189"/>
  <c r="J171" i="189"/>
  <c r="I171" i="189"/>
  <c r="H171" i="189"/>
  <c r="G171" i="189"/>
  <c r="J170" i="189"/>
  <c r="I170" i="189"/>
  <c r="H170" i="189"/>
  <c r="G170" i="189"/>
  <c r="J169" i="189"/>
  <c r="I169" i="189"/>
  <c r="H169" i="189"/>
  <c r="G169" i="189"/>
  <c r="J168" i="189"/>
  <c r="I168" i="189"/>
  <c r="H168" i="189"/>
  <c r="G168" i="189"/>
  <c r="J167" i="189"/>
  <c r="I167" i="189"/>
  <c r="H167" i="189"/>
  <c r="G167" i="189"/>
  <c r="J166" i="189"/>
  <c r="I166" i="189"/>
  <c r="H166" i="189"/>
  <c r="G166" i="189"/>
  <c r="J165" i="189"/>
  <c r="I165" i="189"/>
  <c r="H165" i="189"/>
  <c r="G165" i="189"/>
  <c r="J164" i="189"/>
  <c r="I164" i="189"/>
  <c r="H164" i="189"/>
  <c r="G164" i="189"/>
  <c r="J163" i="189"/>
  <c r="I163" i="189"/>
  <c r="H163" i="189"/>
  <c r="G163" i="189"/>
  <c r="J162" i="189"/>
  <c r="I162" i="189"/>
  <c r="H162" i="189"/>
  <c r="G162" i="189"/>
  <c r="J161" i="189"/>
  <c r="I161" i="189"/>
  <c r="H161" i="189"/>
  <c r="G161" i="189"/>
  <c r="J160" i="189"/>
  <c r="I160" i="189"/>
  <c r="H160" i="189"/>
  <c r="G160" i="189"/>
  <c r="J159" i="189"/>
  <c r="I159" i="189"/>
  <c r="H159" i="189"/>
  <c r="G159" i="189"/>
  <c r="J158" i="189"/>
  <c r="I158" i="189"/>
  <c r="H158" i="189"/>
  <c r="G158" i="189"/>
  <c r="J157" i="189"/>
  <c r="I157" i="189"/>
  <c r="H157" i="189"/>
  <c r="G157" i="189"/>
  <c r="J156" i="189"/>
  <c r="I156" i="189"/>
  <c r="H156" i="189"/>
  <c r="G156" i="189"/>
  <c r="J155" i="189"/>
  <c r="I155" i="189"/>
  <c r="H155" i="189"/>
  <c r="G155" i="189"/>
  <c r="J154" i="189"/>
  <c r="I154" i="189"/>
  <c r="H154" i="189"/>
  <c r="G154" i="189"/>
  <c r="J153" i="189"/>
  <c r="I153" i="189"/>
  <c r="H153" i="189"/>
  <c r="G153" i="189"/>
  <c r="J152" i="189"/>
  <c r="I152" i="189"/>
  <c r="H152" i="189"/>
  <c r="G152" i="189"/>
  <c r="J151" i="189"/>
  <c r="I151" i="189"/>
  <c r="H151" i="189"/>
  <c r="G151" i="189"/>
  <c r="J150" i="189"/>
  <c r="I150" i="189"/>
  <c r="H150" i="189"/>
  <c r="G150" i="189"/>
  <c r="J149" i="189"/>
  <c r="I149" i="189"/>
  <c r="H149" i="189"/>
  <c r="G149" i="189"/>
  <c r="J148" i="189"/>
  <c r="I148" i="189"/>
  <c r="H148" i="189"/>
  <c r="G148" i="189"/>
  <c r="J147" i="189"/>
  <c r="I147" i="189"/>
  <c r="H147" i="189"/>
  <c r="G147" i="189"/>
  <c r="J146" i="189"/>
  <c r="I146" i="189"/>
  <c r="H146" i="189"/>
  <c r="G146" i="189"/>
  <c r="J145" i="189"/>
  <c r="I145" i="189"/>
  <c r="H145" i="189"/>
  <c r="G145" i="189"/>
  <c r="J144" i="189"/>
  <c r="I144" i="189"/>
  <c r="H144" i="189"/>
  <c r="G144" i="189"/>
  <c r="J143" i="189"/>
  <c r="I143" i="189"/>
  <c r="H143" i="189"/>
  <c r="G143" i="189"/>
  <c r="J142" i="189"/>
  <c r="I142" i="189"/>
  <c r="H142" i="189"/>
  <c r="G142" i="189"/>
  <c r="J141" i="189"/>
  <c r="I141" i="189"/>
  <c r="H141" i="189"/>
  <c r="G141" i="189"/>
  <c r="J140" i="189"/>
  <c r="I140" i="189"/>
  <c r="H140" i="189"/>
  <c r="G140" i="189"/>
  <c r="J139" i="189"/>
  <c r="I139" i="189"/>
  <c r="H139" i="189"/>
  <c r="G139" i="189"/>
  <c r="J138" i="189"/>
  <c r="I138" i="189"/>
  <c r="H138" i="189"/>
  <c r="G138" i="189"/>
  <c r="J137" i="189"/>
  <c r="I137" i="189"/>
  <c r="H137" i="189"/>
  <c r="G137" i="189"/>
  <c r="J136" i="189"/>
  <c r="I136" i="189"/>
  <c r="H136" i="189"/>
  <c r="G136" i="189"/>
  <c r="J135" i="189"/>
  <c r="I135" i="189"/>
  <c r="H135" i="189"/>
  <c r="G135" i="189"/>
  <c r="J134" i="189"/>
  <c r="I134" i="189"/>
  <c r="H134" i="189"/>
  <c r="G134" i="189"/>
  <c r="J133" i="189"/>
  <c r="I133" i="189"/>
  <c r="H133" i="189"/>
  <c r="G133" i="189"/>
  <c r="J132" i="189"/>
  <c r="I132" i="189"/>
  <c r="H132" i="189"/>
  <c r="G132" i="189"/>
  <c r="J131" i="189"/>
  <c r="I131" i="189"/>
  <c r="H131" i="189"/>
  <c r="G131" i="189"/>
  <c r="J130" i="189"/>
  <c r="I130" i="189"/>
  <c r="H130" i="189"/>
  <c r="G130" i="189"/>
  <c r="J129" i="189"/>
  <c r="I129" i="189"/>
  <c r="H129" i="189"/>
  <c r="G129" i="189"/>
  <c r="J128" i="189"/>
  <c r="I128" i="189"/>
  <c r="H128" i="189"/>
  <c r="G128" i="189"/>
  <c r="J127" i="189"/>
  <c r="I127" i="189"/>
  <c r="H127" i="189"/>
  <c r="G127" i="189"/>
  <c r="J126" i="189"/>
  <c r="I126" i="189"/>
  <c r="H126" i="189"/>
  <c r="G126" i="189"/>
  <c r="J125" i="189"/>
  <c r="I125" i="189"/>
  <c r="H125" i="189"/>
  <c r="G125" i="189"/>
  <c r="J124" i="189"/>
  <c r="I124" i="189"/>
  <c r="H124" i="189"/>
  <c r="G124" i="189"/>
  <c r="J123" i="189"/>
  <c r="I123" i="189"/>
  <c r="H123" i="189"/>
  <c r="G123" i="189"/>
  <c r="J122" i="189"/>
  <c r="I122" i="189"/>
  <c r="H122" i="189"/>
  <c r="G122" i="189"/>
  <c r="J121" i="189"/>
  <c r="I121" i="189"/>
  <c r="H121" i="189"/>
  <c r="G121" i="189"/>
  <c r="J120" i="189"/>
  <c r="I120" i="189"/>
  <c r="H120" i="189"/>
  <c r="G120" i="189"/>
  <c r="J119" i="189"/>
  <c r="I119" i="189"/>
  <c r="H119" i="189"/>
  <c r="G119" i="189"/>
  <c r="J118" i="189"/>
  <c r="I118" i="189"/>
  <c r="H118" i="189"/>
  <c r="G118" i="189"/>
  <c r="J117" i="189"/>
  <c r="I117" i="189"/>
  <c r="H117" i="189"/>
  <c r="G117" i="189"/>
  <c r="J116" i="189"/>
  <c r="I116" i="189"/>
  <c r="H116" i="189"/>
  <c r="G116" i="189"/>
  <c r="J115" i="189"/>
  <c r="I115" i="189"/>
  <c r="H115" i="189"/>
  <c r="G115" i="189"/>
  <c r="J114" i="189"/>
  <c r="I114" i="189"/>
  <c r="H114" i="189"/>
  <c r="G114" i="189"/>
  <c r="J113" i="189"/>
  <c r="I113" i="189"/>
  <c r="H113" i="189"/>
  <c r="G113" i="189"/>
  <c r="J112" i="189"/>
  <c r="I112" i="189"/>
  <c r="H112" i="189"/>
  <c r="G112" i="189"/>
  <c r="J111" i="189"/>
  <c r="I111" i="189"/>
  <c r="H111" i="189"/>
  <c r="G111" i="189"/>
  <c r="J110" i="189"/>
  <c r="I110" i="189"/>
  <c r="H110" i="189"/>
  <c r="G110" i="189"/>
  <c r="J109" i="189"/>
  <c r="I109" i="189"/>
  <c r="H109" i="189"/>
  <c r="G109" i="189"/>
  <c r="J108" i="189"/>
  <c r="I108" i="189"/>
  <c r="H108" i="189"/>
  <c r="G108" i="189"/>
  <c r="J107" i="189"/>
  <c r="I107" i="189"/>
  <c r="H107" i="189"/>
  <c r="G107" i="189"/>
  <c r="J105" i="189"/>
  <c r="I105" i="189"/>
  <c r="H105" i="189"/>
  <c r="G105" i="189"/>
  <c r="J104" i="189"/>
  <c r="I104" i="189"/>
  <c r="H104" i="189"/>
  <c r="G104" i="189"/>
  <c r="J103" i="189"/>
  <c r="I103" i="189"/>
  <c r="H103" i="189"/>
  <c r="G103" i="189"/>
  <c r="J102" i="189"/>
  <c r="I102" i="189"/>
  <c r="H102" i="189"/>
  <c r="G102" i="189"/>
  <c r="J101" i="189"/>
  <c r="I101" i="189"/>
  <c r="H101" i="189"/>
  <c r="G101" i="189"/>
  <c r="J100" i="189"/>
  <c r="I100" i="189"/>
  <c r="H100" i="189"/>
  <c r="G100" i="189"/>
  <c r="J98" i="189"/>
  <c r="I98" i="189"/>
  <c r="H98" i="189"/>
  <c r="G98" i="189"/>
  <c r="J97" i="189"/>
  <c r="I97" i="189"/>
  <c r="H97" i="189"/>
  <c r="G97" i="189"/>
  <c r="J96" i="189"/>
  <c r="I96" i="189"/>
  <c r="H96" i="189"/>
  <c r="G96" i="189"/>
  <c r="J95" i="189"/>
  <c r="I95" i="189"/>
  <c r="H95" i="189"/>
  <c r="G95" i="189"/>
  <c r="J94" i="189"/>
  <c r="I94" i="189"/>
  <c r="H94" i="189"/>
  <c r="G94" i="189"/>
  <c r="J93" i="189"/>
  <c r="I93" i="189"/>
  <c r="H93" i="189"/>
  <c r="G93" i="189"/>
  <c r="J92" i="189"/>
  <c r="I92" i="189"/>
  <c r="H92" i="189"/>
  <c r="G92" i="189"/>
  <c r="J91" i="189"/>
  <c r="I91" i="189"/>
  <c r="H91" i="189"/>
  <c r="G91" i="189"/>
  <c r="J90" i="189"/>
  <c r="I90" i="189"/>
  <c r="H90" i="189"/>
  <c r="G90" i="189"/>
  <c r="J89" i="189"/>
  <c r="I89" i="189"/>
  <c r="H89" i="189"/>
  <c r="G89" i="189"/>
  <c r="J88" i="189"/>
  <c r="I88" i="189"/>
  <c r="H88" i="189"/>
  <c r="G88" i="189"/>
  <c r="J87" i="189"/>
  <c r="I87" i="189"/>
  <c r="H87" i="189"/>
  <c r="G87" i="189"/>
  <c r="J86" i="189"/>
  <c r="I86" i="189"/>
  <c r="H86" i="189"/>
  <c r="G86" i="189"/>
  <c r="J85" i="189"/>
  <c r="I85" i="189"/>
  <c r="H85" i="189"/>
  <c r="G85" i="189"/>
  <c r="J84" i="189"/>
  <c r="I84" i="189"/>
  <c r="H84" i="189"/>
  <c r="G84" i="189"/>
  <c r="J83" i="189"/>
  <c r="I83" i="189"/>
  <c r="H83" i="189"/>
  <c r="G83" i="189"/>
  <c r="J82" i="189"/>
  <c r="I82" i="189"/>
  <c r="H82" i="189"/>
  <c r="G82" i="189"/>
  <c r="J81" i="189"/>
  <c r="I81" i="189"/>
  <c r="H81" i="189"/>
  <c r="G81" i="189"/>
  <c r="J80" i="189"/>
  <c r="I80" i="189"/>
  <c r="H80" i="189"/>
  <c r="G80" i="189"/>
  <c r="J78" i="189"/>
  <c r="I78" i="189"/>
  <c r="H78" i="189"/>
  <c r="G78" i="189"/>
  <c r="J77" i="189"/>
  <c r="I77" i="189"/>
  <c r="H77" i="189"/>
  <c r="G77" i="189"/>
  <c r="J76" i="189"/>
  <c r="I76" i="189"/>
  <c r="H76" i="189"/>
  <c r="G76" i="189"/>
  <c r="J75" i="189"/>
  <c r="I75" i="189"/>
  <c r="H75" i="189"/>
  <c r="G75" i="189"/>
  <c r="J73" i="189"/>
  <c r="I73" i="189"/>
  <c r="H73" i="189"/>
  <c r="G73" i="189"/>
  <c r="J72" i="189"/>
  <c r="I72" i="189"/>
  <c r="H72" i="189"/>
  <c r="G72" i="189"/>
  <c r="J71" i="189"/>
  <c r="I71" i="189"/>
  <c r="H71" i="189"/>
  <c r="G71" i="189"/>
  <c r="J70" i="189"/>
  <c r="I70" i="189"/>
  <c r="H70" i="189"/>
  <c r="G70" i="189"/>
  <c r="J69" i="189"/>
  <c r="I69" i="189"/>
  <c r="H69" i="189"/>
  <c r="G69" i="189"/>
  <c r="J68" i="189"/>
  <c r="I68" i="189"/>
  <c r="H68" i="189"/>
  <c r="G68" i="189"/>
  <c r="J67" i="189"/>
  <c r="I67" i="189"/>
  <c r="H67" i="189"/>
  <c r="G67" i="189"/>
  <c r="J66" i="189"/>
  <c r="I66" i="189"/>
  <c r="H66" i="189"/>
  <c r="G66" i="189"/>
  <c r="J65" i="189"/>
  <c r="I65" i="189"/>
  <c r="H65" i="189"/>
  <c r="G65" i="189"/>
  <c r="J64" i="189"/>
  <c r="I64" i="189"/>
  <c r="H64" i="189"/>
  <c r="G64" i="189"/>
  <c r="J63" i="189"/>
  <c r="I63" i="189"/>
  <c r="H63" i="189"/>
  <c r="G63" i="189"/>
  <c r="J62" i="189"/>
  <c r="I62" i="189"/>
  <c r="H62" i="189"/>
  <c r="G62" i="189"/>
  <c r="J61" i="189"/>
  <c r="I61" i="189"/>
  <c r="H61" i="189"/>
  <c r="G61" i="189"/>
  <c r="J60" i="189"/>
  <c r="I60" i="189"/>
  <c r="H60" i="189"/>
  <c r="G60" i="189"/>
  <c r="J59" i="189"/>
  <c r="I59" i="189"/>
  <c r="H59" i="189"/>
  <c r="G59" i="189"/>
  <c r="J58" i="189"/>
  <c r="I58" i="189"/>
  <c r="H58" i="189"/>
  <c r="G58" i="189"/>
  <c r="J57" i="189"/>
  <c r="I57" i="189"/>
  <c r="H57" i="189"/>
  <c r="G57" i="189"/>
  <c r="J56" i="189"/>
  <c r="I56" i="189"/>
  <c r="H56" i="189"/>
  <c r="G56" i="189"/>
  <c r="J55" i="189"/>
  <c r="I55" i="189"/>
  <c r="H55" i="189"/>
  <c r="G55" i="189"/>
  <c r="J54" i="189"/>
  <c r="I54" i="189"/>
  <c r="H54" i="189"/>
  <c r="G54" i="189"/>
  <c r="J53" i="189"/>
  <c r="I53" i="189"/>
  <c r="H53" i="189"/>
  <c r="G53" i="189"/>
  <c r="J52" i="189"/>
  <c r="I52" i="189"/>
  <c r="H52" i="189"/>
  <c r="G52" i="189"/>
  <c r="J51" i="189"/>
  <c r="I51" i="189"/>
  <c r="H51" i="189"/>
  <c r="G51" i="189"/>
  <c r="J49" i="189"/>
  <c r="I49" i="189"/>
  <c r="H49" i="189"/>
  <c r="G49" i="189"/>
  <c r="J48" i="189"/>
  <c r="I48" i="189"/>
  <c r="H48" i="189"/>
  <c r="G48" i="189"/>
  <c r="J46" i="189"/>
  <c r="I46" i="189"/>
  <c r="H46" i="189"/>
  <c r="G46" i="189"/>
  <c r="J45" i="189"/>
  <c r="I45" i="189"/>
  <c r="H45" i="189"/>
  <c r="G45" i="189"/>
  <c r="J44" i="189"/>
  <c r="I44" i="189"/>
  <c r="H44" i="189"/>
  <c r="G44" i="189"/>
  <c r="J43" i="189"/>
  <c r="I43" i="189"/>
  <c r="H43" i="189"/>
  <c r="G43" i="189"/>
  <c r="J42" i="189"/>
  <c r="I42" i="189"/>
  <c r="H42" i="189"/>
  <c r="G42" i="189"/>
  <c r="J41" i="189"/>
  <c r="I41" i="189"/>
  <c r="H41" i="189"/>
  <c r="G41" i="189"/>
  <c r="J40" i="189"/>
  <c r="I40" i="189"/>
  <c r="H40" i="189"/>
  <c r="G40" i="189"/>
  <c r="J39" i="189"/>
  <c r="I39" i="189"/>
  <c r="H39" i="189"/>
  <c r="G39" i="189"/>
  <c r="J38" i="189"/>
  <c r="I38" i="189"/>
  <c r="H38" i="189"/>
  <c r="G38" i="189"/>
  <c r="J37" i="189"/>
  <c r="I37" i="189"/>
  <c r="H37" i="189"/>
  <c r="G37" i="189"/>
  <c r="J36" i="189"/>
  <c r="I36" i="189"/>
  <c r="H36" i="189"/>
  <c r="G36" i="189"/>
  <c r="J35" i="189"/>
  <c r="I35" i="189"/>
  <c r="H35" i="189"/>
  <c r="G35" i="189"/>
  <c r="J34" i="189"/>
  <c r="I34" i="189"/>
  <c r="H34" i="189"/>
  <c r="G34" i="189"/>
  <c r="J33" i="189"/>
  <c r="I33" i="189"/>
  <c r="H33" i="189"/>
  <c r="G33" i="189"/>
  <c r="J32" i="189"/>
  <c r="I32" i="189"/>
  <c r="H32" i="189"/>
  <c r="G32" i="189"/>
  <c r="J31" i="189"/>
  <c r="I31" i="189"/>
  <c r="H31" i="189"/>
  <c r="G31" i="189"/>
  <c r="J30" i="189"/>
  <c r="I30" i="189"/>
  <c r="H30" i="189"/>
  <c r="G30" i="189"/>
  <c r="J29" i="189"/>
  <c r="I29" i="189"/>
  <c r="H29" i="189"/>
  <c r="G29" i="189"/>
  <c r="J27" i="189"/>
  <c r="I27" i="189"/>
  <c r="H27" i="189"/>
  <c r="G27" i="189"/>
  <c r="J26" i="189"/>
  <c r="I26" i="189"/>
  <c r="H26" i="189"/>
  <c r="G26" i="189"/>
  <c r="J25" i="189"/>
  <c r="I25" i="189"/>
  <c r="H25" i="189"/>
  <c r="G25" i="189"/>
  <c r="J24" i="189"/>
  <c r="I24" i="189"/>
  <c r="H24" i="189"/>
  <c r="G24" i="189"/>
  <c r="J23" i="189"/>
  <c r="I23" i="189"/>
  <c r="H23" i="189"/>
  <c r="G23" i="189"/>
  <c r="J22" i="189"/>
  <c r="I22" i="189"/>
  <c r="H22" i="189"/>
  <c r="G22" i="189"/>
  <c r="J21" i="189"/>
  <c r="I21" i="189"/>
  <c r="H21" i="189"/>
  <c r="G21" i="189"/>
  <c r="J19" i="189"/>
  <c r="I19" i="189"/>
  <c r="H19" i="189"/>
  <c r="G19" i="189"/>
  <c r="J18" i="189"/>
  <c r="I18" i="189"/>
  <c r="H18" i="189"/>
  <c r="G18" i="189"/>
  <c r="J17" i="189"/>
  <c r="I17" i="189"/>
  <c r="H17" i="189"/>
  <c r="G17" i="189"/>
  <c r="J16" i="189"/>
  <c r="I16" i="189"/>
  <c r="H16" i="189"/>
  <c r="G16" i="189"/>
  <c r="J15" i="189"/>
  <c r="I15" i="189"/>
  <c r="H15" i="189"/>
  <c r="G15" i="189"/>
  <c r="J14" i="189"/>
  <c r="I14" i="189"/>
  <c r="H14" i="189"/>
  <c r="G14" i="189"/>
  <c r="J13" i="189"/>
  <c r="I13" i="189"/>
  <c r="H13" i="189"/>
  <c r="G13" i="189"/>
  <c r="J12" i="189"/>
  <c r="I12" i="189"/>
  <c r="H12" i="189"/>
  <c r="G12" i="189"/>
  <c r="J11" i="189"/>
  <c r="I11" i="189"/>
  <c r="H11" i="189"/>
  <c r="G11" i="189"/>
  <c r="J10" i="189"/>
  <c r="I10" i="189"/>
  <c r="H10" i="189"/>
  <c r="G10" i="189"/>
  <c r="J99" i="189" l="1"/>
  <c r="G20" i="189"/>
  <c r="G79" i="189"/>
  <c r="G74" i="189"/>
  <c r="I293" i="189"/>
  <c r="K38" i="189"/>
  <c r="K101" i="189"/>
  <c r="K287" i="189"/>
  <c r="K319" i="189"/>
  <c r="K359" i="189"/>
  <c r="G28" i="189"/>
  <c r="G47" i="189"/>
  <c r="K113" i="189"/>
  <c r="K263" i="189"/>
  <c r="G50" i="189"/>
  <c r="K267" i="189"/>
  <c r="I214" i="189"/>
  <c r="K327" i="189"/>
  <c r="K449" i="189"/>
  <c r="K59" i="189"/>
  <c r="K93" i="189"/>
  <c r="K165" i="189"/>
  <c r="K299" i="189"/>
  <c r="K291" i="189"/>
  <c r="K188" i="189"/>
  <c r="K193" i="189"/>
  <c r="K353" i="189"/>
  <c r="K18" i="189"/>
  <c r="K178" i="189"/>
  <c r="J245" i="189"/>
  <c r="K103" i="189"/>
  <c r="K112" i="189"/>
  <c r="K114" i="189"/>
  <c r="K119" i="189"/>
  <c r="K128" i="189"/>
  <c r="K325" i="189"/>
  <c r="K10" i="189"/>
  <c r="K54" i="189"/>
  <c r="K71" i="189"/>
  <c r="K154" i="189"/>
  <c r="K170" i="189"/>
  <c r="K196" i="189"/>
  <c r="K203" i="189"/>
  <c r="K362" i="189"/>
  <c r="H175" i="189"/>
  <c r="K142" i="189"/>
  <c r="K208" i="189"/>
  <c r="K251" i="189"/>
  <c r="K326" i="189"/>
  <c r="K11" i="189"/>
  <c r="K13" i="189"/>
  <c r="K19" i="189"/>
  <c r="K27" i="189"/>
  <c r="K69" i="189"/>
  <c r="J50" i="189"/>
  <c r="K14" i="189"/>
  <c r="K30" i="189"/>
  <c r="K44" i="189"/>
  <c r="K46" i="189"/>
  <c r="K56" i="189"/>
  <c r="K58" i="189"/>
  <c r="K153" i="189"/>
  <c r="K173" i="189"/>
  <c r="K181" i="189"/>
  <c r="J249" i="189"/>
  <c r="K253" i="189"/>
  <c r="J298" i="189"/>
  <c r="K307" i="189"/>
  <c r="K313" i="189"/>
  <c r="K351" i="189"/>
  <c r="K391" i="189"/>
  <c r="K35" i="189"/>
  <c r="K34" i="189"/>
  <c r="K36" i="189"/>
  <c r="K60" i="189"/>
  <c r="K102" i="189"/>
  <c r="K120" i="189"/>
  <c r="K131" i="189"/>
  <c r="K145" i="189"/>
  <c r="K185" i="189"/>
  <c r="K194" i="189"/>
  <c r="K226" i="189"/>
  <c r="K230" i="189"/>
  <c r="K243" i="189"/>
  <c r="K247" i="189"/>
  <c r="K282" i="189"/>
  <c r="K332" i="189"/>
  <c r="K335" i="189"/>
  <c r="K363" i="189"/>
  <c r="K374" i="189"/>
  <c r="K62" i="189"/>
  <c r="K70" i="189"/>
  <c r="K88" i="189"/>
  <c r="K96" i="189"/>
  <c r="H106" i="189"/>
  <c r="K110" i="189"/>
  <c r="K189" i="189"/>
  <c r="K198" i="189"/>
  <c r="H214" i="189"/>
  <c r="H293" i="189"/>
  <c r="K393" i="189"/>
  <c r="K213" i="189"/>
  <c r="K218" i="189"/>
  <c r="K222" i="189"/>
  <c r="K242" i="189"/>
  <c r="H259" i="189"/>
  <c r="K278" i="189"/>
  <c r="G324" i="189"/>
  <c r="K329" i="189"/>
  <c r="K340" i="189"/>
  <c r="H356" i="189"/>
  <c r="K390" i="189"/>
  <c r="K16" i="189"/>
  <c r="K22" i="189"/>
  <c r="K26" i="189"/>
  <c r="K33" i="189"/>
  <c r="K55" i="189"/>
  <c r="K66" i="189"/>
  <c r="K84" i="189"/>
  <c r="K122" i="189"/>
  <c r="K132" i="189"/>
  <c r="K146" i="189"/>
  <c r="K151" i="189"/>
  <c r="K159" i="189"/>
  <c r="K180" i="189"/>
  <c r="K197" i="189"/>
  <c r="K209" i="189"/>
  <c r="K255" i="189"/>
  <c r="K258" i="189"/>
  <c r="J274" i="189"/>
  <c r="I356" i="189"/>
  <c r="K387" i="189"/>
  <c r="K68" i="189"/>
  <c r="K78" i="189"/>
  <c r="K87" i="189"/>
  <c r="K92" i="189"/>
  <c r="K104" i="189"/>
  <c r="K127" i="189"/>
  <c r="K137" i="189"/>
  <c r="K150" i="189"/>
  <c r="K195" i="189"/>
  <c r="K212" i="189"/>
  <c r="K217" i="189"/>
  <c r="K235" i="189"/>
  <c r="K238" i="189"/>
  <c r="K277" i="189"/>
  <c r="K343" i="189"/>
  <c r="I47" i="189"/>
  <c r="K82" i="189"/>
  <c r="I99" i="189"/>
  <c r="K111" i="189"/>
  <c r="K123" i="189"/>
  <c r="K42" i="189"/>
  <c r="K73" i="189"/>
  <c r="K115" i="189"/>
  <c r="K179" i="189"/>
  <c r="K186" i="189"/>
  <c r="K187" i="189"/>
  <c r="K204" i="189"/>
  <c r="K234" i="189"/>
  <c r="I249" i="189"/>
  <c r="K271" i="189"/>
  <c r="K279" i="189"/>
  <c r="K280" i="189"/>
  <c r="K283" i="189"/>
  <c r="I298" i="189"/>
  <c r="K358" i="189"/>
  <c r="H20" i="189"/>
  <c r="K41" i="189"/>
  <c r="K51" i="189"/>
  <c r="I50" i="189"/>
  <c r="K75" i="189"/>
  <c r="I74" i="189"/>
  <c r="K77" i="189"/>
  <c r="J79" i="189"/>
  <c r="K83" i="189"/>
  <c r="K91" i="189"/>
  <c r="K98" i="189"/>
  <c r="J106" i="189"/>
  <c r="K109" i="189"/>
  <c r="K118" i="189"/>
  <c r="K126" i="189"/>
  <c r="K133" i="189"/>
  <c r="K149" i="189"/>
  <c r="K169" i="189"/>
  <c r="G175" i="189"/>
  <c r="K182" i="189"/>
  <c r="K190" i="189"/>
  <c r="K206" i="189"/>
  <c r="K211" i="189"/>
  <c r="J220" i="189"/>
  <c r="K244" i="189"/>
  <c r="K250" i="189"/>
  <c r="G249" i="189"/>
  <c r="K252" i="189"/>
  <c r="K266" i="189"/>
  <c r="G274" i="189"/>
  <c r="K281" i="189"/>
  <c r="K295" i="189"/>
  <c r="K296" i="189"/>
  <c r="K303" i="189"/>
  <c r="I324" i="189"/>
  <c r="H28" i="189"/>
  <c r="I28" i="189"/>
  <c r="J47" i="189"/>
  <c r="J74" i="189"/>
  <c r="K116" i="189"/>
  <c r="K164" i="189"/>
  <c r="K174" i="189"/>
  <c r="K201" i="189"/>
  <c r="K205" i="189"/>
  <c r="K215" i="189"/>
  <c r="G214" i="189"/>
  <c r="K219" i="189"/>
  <c r="K223" i="189"/>
  <c r="K227" i="189"/>
  <c r="K231" i="189"/>
  <c r="K239" i="189"/>
  <c r="H249" i="189"/>
  <c r="K269" i="189"/>
  <c r="H274" i="189"/>
  <c r="K276" i="189"/>
  <c r="K315" i="189"/>
  <c r="J324" i="189"/>
  <c r="G356" i="189"/>
  <c r="I20" i="189"/>
  <c r="K15" i="189"/>
  <c r="J20" i="189"/>
  <c r="K23" i="189"/>
  <c r="K25" i="189"/>
  <c r="J28" i="189"/>
  <c r="K31" i="189"/>
  <c r="K40" i="189"/>
  <c r="K49" i="189"/>
  <c r="K53" i="189"/>
  <c r="K72" i="189"/>
  <c r="K76" i="189"/>
  <c r="K90" i="189"/>
  <c r="K97" i="189"/>
  <c r="K105" i="189"/>
  <c r="K108" i="189"/>
  <c r="K117" i="189"/>
  <c r="K125" i="189"/>
  <c r="K135" i="189"/>
  <c r="K139" i="189"/>
  <c r="K148" i="189"/>
  <c r="I175" i="189"/>
  <c r="K210" i="189"/>
  <c r="K254" i="189"/>
  <c r="K256" i="189"/>
  <c r="G259" i="189"/>
  <c r="K265" i="189"/>
  <c r="K273" i="189"/>
  <c r="I274" i="189"/>
  <c r="K294" i="189"/>
  <c r="G293" i="189"/>
  <c r="G298" i="189"/>
  <c r="K323" i="189"/>
  <c r="K57" i="189"/>
  <c r="K64" i="189"/>
  <c r="K67" i="189"/>
  <c r="K100" i="189"/>
  <c r="G99" i="189"/>
  <c r="K176" i="189"/>
  <c r="J175" i="189"/>
  <c r="K17" i="189"/>
  <c r="K24" i="189"/>
  <c r="K32" i="189"/>
  <c r="K52" i="189"/>
  <c r="K61" i="189"/>
  <c r="K81" i="189"/>
  <c r="K86" i="189"/>
  <c r="K95" i="189"/>
  <c r="H99" i="189"/>
  <c r="K121" i="189"/>
  <c r="K124" i="189"/>
  <c r="K138" i="189"/>
  <c r="K160" i="189"/>
  <c r="K163" i="189"/>
  <c r="K167" i="189"/>
  <c r="K184" i="189"/>
  <c r="K192" i="189"/>
  <c r="J214" i="189"/>
  <c r="K246" i="189"/>
  <c r="G245" i="189"/>
  <c r="K248" i="189"/>
  <c r="I259" i="189"/>
  <c r="K275" i="189"/>
  <c r="K311" i="189"/>
  <c r="J356" i="189"/>
  <c r="K45" i="189"/>
  <c r="K107" i="189"/>
  <c r="G106" i="189"/>
  <c r="K130" i="189"/>
  <c r="K144" i="189"/>
  <c r="K168" i="189"/>
  <c r="K221" i="189"/>
  <c r="G220" i="189"/>
  <c r="K225" i="189"/>
  <c r="K229" i="189"/>
  <c r="K233" i="189"/>
  <c r="K237" i="189"/>
  <c r="K241" i="189"/>
  <c r="H245" i="189"/>
  <c r="J259" i="189"/>
  <c r="K268" i="189"/>
  <c r="K284" i="189"/>
  <c r="K285" i="189"/>
  <c r="K288" i="189"/>
  <c r="K289" i="189"/>
  <c r="K292" i="189"/>
  <c r="J293" i="189"/>
  <c r="K48" i="189"/>
  <c r="H79" i="189"/>
  <c r="K85" i="189"/>
  <c r="K134" i="189"/>
  <c r="K141" i="189"/>
  <c r="K157" i="189"/>
  <c r="K162" i="189"/>
  <c r="K183" i="189"/>
  <c r="K191" i="189"/>
  <c r="K199" i="189"/>
  <c r="K207" i="189"/>
  <c r="H220" i="189"/>
  <c r="I245" i="189"/>
  <c r="K260" i="189"/>
  <c r="K264" i="189"/>
  <c r="K272" i="189"/>
  <c r="K305" i="189"/>
  <c r="K39" i="189"/>
  <c r="K12" i="189"/>
  <c r="K21" i="189"/>
  <c r="K29" i="189"/>
  <c r="K37" i="189"/>
  <c r="K43" i="189"/>
  <c r="H47" i="189"/>
  <c r="H50" i="189"/>
  <c r="K63" i="189"/>
  <c r="K65" i="189"/>
  <c r="H74" i="189"/>
  <c r="K80" i="189"/>
  <c r="I79" i="189"/>
  <c r="K89" i="189"/>
  <c r="K94" i="189"/>
  <c r="I106" i="189"/>
  <c r="K129" i="189"/>
  <c r="K143" i="189"/>
  <c r="K202" i="189"/>
  <c r="K216" i="189"/>
  <c r="I220" i="189"/>
  <c r="K224" i="189"/>
  <c r="K228" i="189"/>
  <c r="K232" i="189"/>
  <c r="K236" i="189"/>
  <c r="K240" i="189"/>
  <c r="K262" i="189"/>
  <c r="K270" i="189"/>
  <c r="K286" i="189"/>
  <c r="H324" i="189"/>
  <c r="K310" i="189"/>
  <c r="K312" i="189"/>
  <c r="K322" i="189"/>
  <c r="K345" i="189"/>
  <c r="K348" i="189"/>
  <c r="K354" i="189"/>
  <c r="K365" i="189"/>
  <c r="K388" i="189"/>
  <c r="K396" i="189"/>
  <c r="K301" i="189"/>
  <c r="K317" i="189"/>
  <c r="K338" i="189"/>
  <c r="K341" i="189"/>
  <c r="K355" i="189"/>
  <c r="K424" i="189"/>
  <c r="M424" i="189" s="1"/>
  <c r="P424" i="189" s="1"/>
  <c r="K300" i="189"/>
  <c r="K314" i="189"/>
  <c r="K316" i="189"/>
  <c r="K328" i="189"/>
  <c r="K334" i="189"/>
  <c r="K339" i="189"/>
  <c r="K344" i="189"/>
  <c r="K350" i="189"/>
  <c r="K368" i="189"/>
  <c r="K370" i="189"/>
  <c r="K371" i="189"/>
  <c r="K373" i="189"/>
  <c r="K395" i="189"/>
  <c r="K302" i="189"/>
  <c r="K304" i="189"/>
  <c r="K318" i="189"/>
  <c r="K321" i="189"/>
  <c r="K337" i="189"/>
  <c r="K372" i="189"/>
  <c r="K392" i="189"/>
  <c r="H298" i="189"/>
  <c r="K290" i="189"/>
  <c r="K309" i="189"/>
  <c r="K320" i="189"/>
  <c r="K330" i="189"/>
  <c r="K333" i="189"/>
  <c r="K346" i="189"/>
  <c r="K349" i="189"/>
  <c r="K366" i="189"/>
  <c r="K369" i="189"/>
  <c r="K389" i="189"/>
  <c r="K297" i="189"/>
  <c r="K306" i="189"/>
  <c r="K308" i="189"/>
  <c r="K331" i="189"/>
  <c r="K336" i="189"/>
  <c r="K342" i="189"/>
  <c r="K347" i="189"/>
  <c r="K352" i="189"/>
  <c r="K361" i="189"/>
  <c r="K367" i="189"/>
  <c r="K394" i="189"/>
  <c r="K140" i="189"/>
  <c r="K152" i="189"/>
  <c r="K158" i="189"/>
  <c r="K166" i="189"/>
  <c r="K156" i="189"/>
  <c r="K172" i="189"/>
  <c r="K200" i="189"/>
  <c r="K155" i="189"/>
  <c r="K177" i="189"/>
  <c r="K136" i="189"/>
  <c r="K147" i="189"/>
  <c r="K161" i="189"/>
  <c r="K171" i="189"/>
  <c r="K257" i="189"/>
  <c r="K261" i="189"/>
  <c r="K364" i="189"/>
  <c r="K357" i="189"/>
  <c r="K360" i="189"/>
  <c r="K47" i="189" l="1"/>
  <c r="K20" i="189"/>
  <c r="K249" i="189"/>
  <c r="K293" i="189"/>
  <c r="K214" i="189"/>
  <c r="K106" i="189"/>
  <c r="K274" i="189"/>
  <c r="K79" i="189"/>
  <c r="K220" i="189"/>
  <c r="K175" i="189"/>
  <c r="K356" i="189"/>
  <c r="K28" i="189"/>
  <c r="K298" i="189"/>
  <c r="K324" i="189"/>
  <c r="K74" i="189"/>
  <c r="K259" i="189"/>
  <c r="K245" i="189"/>
  <c r="K99" i="189"/>
  <c r="K50" i="189"/>
  <c r="AI20" i="158" l="1"/>
  <c r="AI19" i="158"/>
  <c r="AI18" i="158"/>
  <c r="AI6" i="158"/>
  <c r="AI7" i="158"/>
  <c r="C9" i="158"/>
  <c r="AA9" i="158"/>
  <c r="Z9" i="158"/>
  <c r="Y9" i="158"/>
  <c r="X9" i="158"/>
  <c r="W9" i="158"/>
  <c r="V9" i="158"/>
  <c r="U9" i="158"/>
  <c r="T9" i="158"/>
  <c r="T8" i="158" s="1"/>
  <c r="S9" i="158"/>
  <c r="S8" i="158" s="1"/>
  <c r="R9" i="158"/>
  <c r="R8" i="158" s="1"/>
  <c r="Q9" i="158"/>
  <c r="P9" i="158"/>
  <c r="P8" i="158" s="1"/>
  <c r="N9" i="158"/>
  <c r="N8" i="158" s="1"/>
  <c r="M9" i="158"/>
  <c r="M8" i="158" s="1"/>
  <c r="L9" i="158"/>
  <c r="L8" i="158" s="1"/>
  <c r="K9" i="158"/>
  <c r="K8" i="158" s="1"/>
  <c r="J9" i="158"/>
  <c r="J8" i="158" s="1"/>
  <c r="I9" i="158"/>
  <c r="I8" i="158" s="1"/>
  <c r="H9" i="158"/>
  <c r="G9" i="158"/>
  <c r="G8" i="158" s="1"/>
  <c r="F9" i="158"/>
  <c r="F8" i="158" s="1"/>
  <c r="E9" i="158"/>
  <c r="E8" i="158" s="1"/>
  <c r="D9" i="158"/>
  <c r="D8" i="158" s="1"/>
  <c r="C8" i="158"/>
  <c r="AA8" i="158"/>
  <c r="Z8" i="158"/>
  <c r="Y8" i="158"/>
  <c r="X8" i="158"/>
  <c r="W8" i="158"/>
  <c r="V8" i="158"/>
  <c r="U8" i="158"/>
  <c r="Q8" i="158"/>
  <c r="H8" i="158"/>
  <c r="B479" i="161"/>
  <c r="A479" i="161"/>
  <c r="D478" i="161"/>
  <c r="D479" i="161" s="1"/>
  <c r="C479" i="161" s="1"/>
  <c r="B478" i="161"/>
  <c r="A478" i="161"/>
  <c r="B477" i="161"/>
  <c r="A477" i="161"/>
  <c r="B476" i="161"/>
  <c r="A476" i="161"/>
  <c r="B475" i="161"/>
  <c r="A475" i="161"/>
  <c r="B474" i="161"/>
  <c r="A474" i="161"/>
  <c r="B473" i="161"/>
  <c r="A473" i="161"/>
  <c r="B472" i="161"/>
  <c r="A472" i="161"/>
  <c r="B471" i="161"/>
  <c r="A471" i="161"/>
  <c r="B470" i="161"/>
  <c r="A470" i="161"/>
  <c r="B469" i="161"/>
  <c r="A469" i="161"/>
  <c r="B468" i="161"/>
  <c r="A468" i="161"/>
  <c r="B467" i="161"/>
  <c r="A467" i="161"/>
  <c r="B466" i="161"/>
  <c r="A466" i="161"/>
  <c r="B465" i="161"/>
  <c r="A465" i="161"/>
  <c r="B464" i="161"/>
  <c r="A464" i="161"/>
  <c r="B463" i="161"/>
  <c r="A463" i="161"/>
  <c r="B462" i="161"/>
  <c r="A462" i="161"/>
  <c r="B461" i="161"/>
  <c r="A461" i="161"/>
  <c r="B460" i="161"/>
  <c r="A460" i="161"/>
  <c r="B459" i="161"/>
  <c r="A459" i="161"/>
  <c r="B458" i="161"/>
  <c r="A458" i="161"/>
  <c r="B457" i="161"/>
  <c r="A457" i="161"/>
  <c r="B456" i="161"/>
  <c r="A456" i="161"/>
  <c r="B455" i="161"/>
  <c r="A455" i="161"/>
  <c r="B454" i="161"/>
  <c r="A454" i="161"/>
  <c r="B453" i="161"/>
  <c r="A453" i="161"/>
  <c r="B452" i="161"/>
  <c r="A452" i="161"/>
  <c r="D451" i="161"/>
  <c r="D452" i="161" s="1"/>
  <c r="C452" i="161" s="1"/>
  <c r="B451" i="161"/>
  <c r="A451" i="161"/>
  <c r="B450" i="161"/>
  <c r="A450" i="161"/>
  <c r="B449" i="161"/>
  <c r="A449" i="161"/>
  <c r="B448" i="161"/>
  <c r="A448" i="161"/>
  <c r="B447" i="161"/>
  <c r="A447" i="161"/>
  <c r="B446" i="161"/>
  <c r="A446" i="161"/>
  <c r="B445" i="161"/>
  <c r="A445" i="161"/>
  <c r="B444" i="161"/>
  <c r="A444" i="161"/>
  <c r="B443" i="161"/>
  <c r="A443" i="161"/>
  <c r="B442" i="161"/>
  <c r="A442" i="161"/>
  <c r="B441" i="161"/>
  <c r="A441" i="161"/>
  <c r="B440" i="161"/>
  <c r="A440" i="161"/>
  <c r="B439" i="161"/>
  <c r="A439" i="161"/>
  <c r="B438" i="161"/>
  <c r="A438" i="161"/>
  <c r="B437" i="161"/>
  <c r="A437" i="161"/>
  <c r="B436" i="161"/>
  <c r="A436" i="161"/>
  <c r="B435" i="161"/>
  <c r="A435" i="161"/>
  <c r="B434" i="161"/>
  <c r="A434" i="161"/>
  <c r="B433" i="161"/>
  <c r="A433" i="161"/>
  <c r="B432" i="161"/>
  <c r="A432" i="161"/>
  <c r="B431" i="161"/>
  <c r="A431" i="161"/>
  <c r="D430" i="161"/>
  <c r="D431" i="161" s="1"/>
  <c r="B430" i="161"/>
  <c r="A430" i="161"/>
  <c r="B429" i="161"/>
  <c r="A429" i="161"/>
  <c r="B428" i="161"/>
  <c r="A428" i="161"/>
  <c r="B427" i="161"/>
  <c r="A427" i="161"/>
  <c r="B426" i="161"/>
  <c r="A426" i="161"/>
  <c r="B425" i="161"/>
  <c r="A425" i="161"/>
  <c r="B424" i="161"/>
  <c r="A424" i="161"/>
  <c r="B423" i="161"/>
  <c r="A423" i="161"/>
  <c r="B422" i="161"/>
  <c r="A422" i="161"/>
  <c r="B421" i="161"/>
  <c r="A421" i="161"/>
  <c r="B420" i="161"/>
  <c r="A420" i="161"/>
  <c r="B419" i="161"/>
  <c r="A419" i="161"/>
  <c r="B418" i="161"/>
  <c r="A418" i="161"/>
  <c r="B417" i="161"/>
  <c r="A417" i="161"/>
  <c r="B416" i="161"/>
  <c r="A416" i="161"/>
  <c r="B415" i="161"/>
  <c r="A415" i="161"/>
  <c r="B414" i="161"/>
  <c r="A414" i="161"/>
  <c r="B413" i="161"/>
  <c r="A413" i="161"/>
  <c r="B412" i="161"/>
  <c r="A412" i="161"/>
  <c r="B411" i="161"/>
  <c r="A411" i="161"/>
  <c r="B410" i="161"/>
  <c r="A410" i="161"/>
  <c r="B409" i="161"/>
  <c r="A409" i="161"/>
  <c r="B408" i="161"/>
  <c r="A408" i="161"/>
  <c r="B407" i="161"/>
  <c r="A407" i="161"/>
  <c r="B406" i="161"/>
  <c r="A406" i="161"/>
  <c r="B405" i="161"/>
  <c r="A405" i="161"/>
  <c r="B404" i="161"/>
  <c r="A404" i="161"/>
  <c r="B403" i="161"/>
  <c r="A403" i="161"/>
  <c r="D402" i="161"/>
  <c r="B402" i="161"/>
  <c r="A402" i="161"/>
  <c r="B401" i="161"/>
  <c r="A401" i="161"/>
  <c r="B400" i="161"/>
  <c r="A400" i="161"/>
  <c r="B399" i="161"/>
  <c r="A399" i="161"/>
  <c r="B398" i="161"/>
  <c r="A398" i="161"/>
  <c r="B397" i="161"/>
  <c r="A397" i="161"/>
  <c r="B396" i="161"/>
  <c r="A396" i="161"/>
  <c r="B395" i="161"/>
  <c r="A395" i="161"/>
  <c r="B394" i="161"/>
  <c r="A394" i="161"/>
  <c r="B393" i="161"/>
  <c r="A393" i="161"/>
  <c r="B392" i="161"/>
  <c r="A392" i="161"/>
  <c r="B391" i="161"/>
  <c r="A391" i="161"/>
  <c r="D390" i="161"/>
  <c r="D391" i="161" s="1"/>
  <c r="B390" i="161"/>
  <c r="A390" i="161"/>
  <c r="B389" i="161"/>
  <c r="A389" i="161"/>
  <c r="B388" i="161"/>
  <c r="A388" i="161"/>
  <c r="B387" i="161"/>
  <c r="A387" i="161"/>
  <c r="B386" i="161"/>
  <c r="A386" i="161"/>
  <c r="B385" i="161"/>
  <c r="A385" i="161"/>
  <c r="B384" i="161"/>
  <c r="A384" i="161"/>
  <c r="B383" i="161"/>
  <c r="A383" i="161"/>
  <c r="D361" i="161"/>
  <c r="D362" i="161" s="1"/>
  <c r="B361" i="161"/>
  <c r="A361" i="161"/>
  <c r="D329" i="161"/>
  <c r="D330" i="161" s="1"/>
  <c r="D331" i="161" s="1"/>
  <c r="B329" i="161"/>
  <c r="A329" i="161"/>
  <c r="D303" i="161"/>
  <c r="B303" i="161"/>
  <c r="A303" i="161"/>
  <c r="D298" i="161"/>
  <c r="B298" i="161"/>
  <c r="A298" i="161"/>
  <c r="D279" i="161"/>
  <c r="D280" i="161" s="1"/>
  <c r="BL280" i="161" s="1"/>
  <c r="B279" i="161"/>
  <c r="A279" i="161"/>
  <c r="D264" i="161"/>
  <c r="B264" i="161"/>
  <c r="A264" i="161"/>
  <c r="D254" i="161"/>
  <c r="D255" i="161" s="1"/>
  <c r="D256" i="161" s="1"/>
  <c r="B254" i="161"/>
  <c r="A254" i="161"/>
  <c r="D250" i="161"/>
  <c r="D251" i="161" s="1"/>
  <c r="B250" i="161"/>
  <c r="A250" i="161"/>
  <c r="D225" i="161"/>
  <c r="B225" i="161"/>
  <c r="A225" i="161"/>
  <c r="D219" i="161"/>
  <c r="D220" i="161" s="1"/>
  <c r="B219" i="161"/>
  <c r="A219" i="161"/>
  <c r="D180" i="161"/>
  <c r="B180" i="161"/>
  <c r="A180" i="161"/>
  <c r="D111" i="161"/>
  <c r="D112" i="161" s="1"/>
  <c r="B111" i="161"/>
  <c r="A111" i="161"/>
  <c r="D104" i="161"/>
  <c r="D105" i="161" s="1"/>
  <c r="D106" i="161" s="1"/>
  <c r="B104" i="161"/>
  <c r="A104" i="161"/>
  <c r="D84" i="161"/>
  <c r="D85" i="161" s="1"/>
  <c r="D86" i="161" s="1"/>
  <c r="B84" i="161"/>
  <c r="A84" i="161"/>
  <c r="D79" i="161"/>
  <c r="D80" i="161" s="1"/>
  <c r="B79" i="161"/>
  <c r="A79" i="161"/>
  <c r="D55" i="161"/>
  <c r="B55" i="161"/>
  <c r="A55" i="161"/>
  <c r="D52" i="161"/>
  <c r="D53" i="161" s="1"/>
  <c r="D54" i="161" s="1"/>
  <c r="C54" i="161" s="1"/>
  <c r="B52" i="161"/>
  <c r="A52" i="161"/>
  <c r="D33" i="161"/>
  <c r="D34" i="161" s="1"/>
  <c r="B33" i="161"/>
  <c r="A33" i="161"/>
  <c r="D25" i="161"/>
  <c r="B25" i="161"/>
  <c r="A25" i="161"/>
  <c r="AZ361" i="161"/>
  <c r="AZ329" i="161"/>
  <c r="AZ303" i="161"/>
  <c r="AZ298" i="161"/>
  <c r="AZ279" i="161"/>
  <c r="AZ264" i="161"/>
  <c r="AZ254" i="161"/>
  <c r="AZ250" i="161"/>
  <c r="AZ225" i="161"/>
  <c r="AZ219" i="161"/>
  <c r="AZ180" i="161"/>
  <c r="AZ111" i="161"/>
  <c r="AZ104" i="161"/>
  <c r="AZ84" i="161"/>
  <c r="AZ79" i="161"/>
  <c r="AZ55" i="161"/>
  <c r="AZ52" i="161"/>
  <c r="AZ33" i="161"/>
  <c r="AZ25" i="161"/>
  <c r="U463" i="161"/>
  <c r="L463" i="161"/>
  <c r="P463" i="161" s="1"/>
  <c r="Y463" i="161" s="1"/>
  <c r="U452" i="161"/>
  <c r="L452" i="161"/>
  <c r="X452" i="161" s="1"/>
  <c r="U445" i="161"/>
  <c r="L445" i="161"/>
  <c r="X445" i="161" s="1"/>
  <c r="U422" i="161"/>
  <c r="L422" i="161"/>
  <c r="X422" i="161" s="1"/>
  <c r="U413" i="161"/>
  <c r="L413" i="161"/>
  <c r="P413" i="161" s="1"/>
  <c r="Y413" i="161" s="1"/>
  <c r="U403" i="161"/>
  <c r="L403" i="161"/>
  <c r="BT379" i="161"/>
  <c r="BU379" i="161" s="1"/>
  <c r="BR379" i="161" s="1"/>
  <c r="BS379" i="161" s="1"/>
  <c r="BP379" i="161"/>
  <c r="BQ379" i="161" s="1"/>
  <c r="BN379" i="161" s="1"/>
  <c r="BO379" i="161" s="1"/>
  <c r="BM379" i="161"/>
  <c r="AZ379" i="161"/>
  <c r="BT378" i="161"/>
  <c r="BU378" i="161" s="1"/>
  <c r="BR378" i="161" s="1"/>
  <c r="BS378" i="161" s="1"/>
  <c r="BP378" i="161"/>
  <c r="BQ378" i="161" s="1"/>
  <c r="BN378" i="161" s="1"/>
  <c r="BO378" i="161" s="1"/>
  <c r="BM378" i="161"/>
  <c r="AZ378" i="161"/>
  <c r="BT377" i="161"/>
  <c r="BU377" i="161" s="1"/>
  <c r="BR377" i="161" s="1"/>
  <c r="BS377" i="161" s="1"/>
  <c r="BP377" i="161"/>
  <c r="BQ377" i="161" s="1"/>
  <c r="BN377" i="161" s="1"/>
  <c r="BO377" i="161" s="1"/>
  <c r="BM377" i="161"/>
  <c r="AZ377" i="161"/>
  <c r="BT376" i="161"/>
  <c r="BU376" i="161" s="1"/>
  <c r="BR376" i="161" s="1"/>
  <c r="BS376" i="161" s="1"/>
  <c r="BP376" i="161"/>
  <c r="BQ376" i="161" s="1"/>
  <c r="BN376" i="161" s="1"/>
  <c r="BO376" i="161" s="1"/>
  <c r="BM376" i="161"/>
  <c r="AZ376" i="161"/>
  <c r="BT375" i="161"/>
  <c r="BU375" i="161" s="1"/>
  <c r="BR375" i="161" s="1"/>
  <c r="BS375" i="161" s="1"/>
  <c r="BP375" i="161"/>
  <c r="BQ375" i="161" s="1"/>
  <c r="BN375" i="161" s="1"/>
  <c r="BO375" i="161" s="1"/>
  <c r="BM375" i="161"/>
  <c r="AZ375" i="161"/>
  <c r="BT374" i="161"/>
  <c r="BU374" i="161" s="1"/>
  <c r="BR374" i="161" s="1"/>
  <c r="BS374" i="161" s="1"/>
  <c r="BP374" i="161"/>
  <c r="BQ374" i="161" s="1"/>
  <c r="BN374" i="161" s="1"/>
  <c r="BO374" i="161" s="1"/>
  <c r="BM374" i="161"/>
  <c r="AZ374" i="161"/>
  <c r="BT373" i="161"/>
  <c r="BU373" i="161" s="1"/>
  <c r="BR373" i="161" s="1"/>
  <c r="BS373" i="161" s="1"/>
  <c r="BP373" i="161"/>
  <c r="BQ373" i="161" s="1"/>
  <c r="BN373" i="161" s="1"/>
  <c r="BO373" i="161" s="1"/>
  <c r="BM373" i="161"/>
  <c r="AZ373" i="161"/>
  <c r="BT372" i="161"/>
  <c r="BU372" i="161" s="1"/>
  <c r="BR372" i="161" s="1"/>
  <c r="BS372" i="161" s="1"/>
  <c r="BQ372" i="161"/>
  <c r="BN372" i="161" s="1"/>
  <c r="BO372" i="161" s="1"/>
  <c r="BP372" i="161"/>
  <c r="BM372" i="161"/>
  <c r="AZ372" i="161"/>
  <c r="BT371" i="161"/>
  <c r="BU371" i="161" s="1"/>
  <c r="BR371" i="161" s="1"/>
  <c r="BS371" i="161" s="1"/>
  <c r="BP371" i="161"/>
  <c r="BQ371" i="161" s="1"/>
  <c r="BN371" i="161" s="1"/>
  <c r="BO371" i="161" s="1"/>
  <c r="BM371" i="161"/>
  <c r="AZ371" i="161"/>
  <c r="AP371" i="161"/>
  <c r="AJ371" i="161" s="1"/>
  <c r="A371" i="161" s="1"/>
  <c r="AO371" i="161"/>
  <c r="AM371" i="161"/>
  <c r="AN371" i="161" s="1"/>
  <c r="AH371" i="161" s="1"/>
  <c r="B371" i="161" s="1"/>
  <c r="U371" i="161"/>
  <c r="L371" i="161"/>
  <c r="X371" i="161" s="1"/>
  <c r="BT370" i="161"/>
  <c r="BU370" i="161" s="1"/>
  <c r="BR370" i="161" s="1"/>
  <c r="BS370" i="161" s="1"/>
  <c r="BP370" i="161"/>
  <c r="BQ370" i="161" s="1"/>
  <c r="BN370" i="161" s="1"/>
  <c r="BO370" i="161" s="1"/>
  <c r="BM370" i="161"/>
  <c r="AZ370" i="161"/>
  <c r="BT369" i="161"/>
  <c r="BU369" i="161" s="1"/>
  <c r="BR369" i="161" s="1"/>
  <c r="BS369" i="161" s="1"/>
  <c r="BP369" i="161"/>
  <c r="BQ369" i="161" s="1"/>
  <c r="BN369" i="161" s="1"/>
  <c r="BO369" i="161" s="1"/>
  <c r="BM369" i="161"/>
  <c r="AZ369" i="161"/>
  <c r="BT368" i="161"/>
  <c r="BU368" i="161" s="1"/>
  <c r="BR368" i="161" s="1"/>
  <c r="BS368" i="161" s="1"/>
  <c r="BP368" i="161"/>
  <c r="BQ368" i="161" s="1"/>
  <c r="BN368" i="161" s="1"/>
  <c r="BO368" i="161" s="1"/>
  <c r="BM368" i="161"/>
  <c r="AZ368" i="161"/>
  <c r="BT367" i="161"/>
  <c r="BU367" i="161" s="1"/>
  <c r="BR367" i="161" s="1"/>
  <c r="BS367" i="161" s="1"/>
  <c r="BP367" i="161"/>
  <c r="BQ367" i="161" s="1"/>
  <c r="BN367" i="161" s="1"/>
  <c r="BO367" i="161" s="1"/>
  <c r="BM367" i="161"/>
  <c r="AZ367" i="161"/>
  <c r="BT366" i="161"/>
  <c r="BU366" i="161" s="1"/>
  <c r="BR366" i="161" s="1"/>
  <c r="BS366" i="161" s="1"/>
  <c r="BP366" i="161"/>
  <c r="BQ366" i="161" s="1"/>
  <c r="BN366" i="161" s="1"/>
  <c r="BO366" i="161" s="1"/>
  <c r="BM366" i="161"/>
  <c r="AZ366" i="161"/>
  <c r="AO366" i="161"/>
  <c r="AP366" i="161" s="1"/>
  <c r="AJ366" i="161" s="1"/>
  <c r="A366" i="161" s="1"/>
  <c r="AM366" i="161"/>
  <c r="AN366" i="161" s="1"/>
  <c r="AH366" i="161" s="1"/>
  <c r="B366" i="161" s="1"/>
  <c r="U366" i="161"/>
  <c r="L366" i="161"/>
  <c r="N366" i="161" s="1"/>
  <c r="BT365" i="161"/>
  <c r="BU365" i="161" s="1"/>
  <c r="BR365" i="161" s="1"/>
  <c r="BS365" i="161" s="1"/>
  <c r="BP365" i="161"/>
  <c r="BQ365" i="161" s="1"/>
  <c r="BN365" i="161" s="1"/>
  <c r="BO365" i="161" s="1"/>
  <c r="BM365" i="161"/>
  <c r="AZ365" i="161"/>
  <c r="BT364" i="161"/>
  <c r="BU364" i="161" s="1"/>
  <c r="BR364" i="161" s="1"/>
  <c r="BS364" i="161" s="1"/>
  <c r="BP364" i="161"/>
  <c r="BQ364" i="161" s="1"/>
  <c r="BN364" i="161" s="1"/>
  <c r="BO364" i="161" s="1"/>
  <c r="BM364" i="161"/>
  <c r="AZ364" i="161"/>
  <c r="BT363" i="161"/>
  <c r="BU363" i="161" s="1"/>
  <c r="BR363" i="161" s="1"/>
  <c r="BS363" i="161" s="1"/>
  <c r="BP363" i="161"/>
  <c r="BQ363" i="161" s="1"/>
  <c r="BN363" i="161" s="1"/>
  <c r="BO363" i="161" s="1"/>
  <c r="BM363" i="161"/>
  <c r="AZ363" i="161"/>
  <c r="BT362" i="161"/>
  <c r="BU362" i="161" s="1"/>
  <c r="BR362" i="161" s="1"/>
  <c r="BS362" i="161" s="1"/>
  <c r="BP362" i="161"/>
  <c r="BQ362" i="161" s="1"/>
  <c r="BN362" i="161" s="1"/>
  <c r="BO362" i="161" s="1"/>
  <c r="BM362" i="161"/>
  <c r="AZ362" i="161"/>
  <c r="AO362" i="161"/>
  <c r="AP362" i="161" s="1"/>
  <c r="AJ362" i="161" s="1"/>
  <c r="A362" i="161" s="1"/>
  <c r="AM362" i="161"/>
  <c r="AN362" i="161" s="1"/>
  <c r="AH362" i="161" s="1"/>
  <c r="B362" i="161" s="1"/>
  <c r="U362" i="161"/>
  <c r="L362" i="161"/>
  <c r="X362" i="161" s="1"/>
  <c r="BT360" i="161"/>
  <c r="BU360" i="161" s="1"/>
  <c r="BR360" i="161" s="1"/>
  <c r="BS360" i="161" s="1"/>
  <c r="BP360" i="161"/>
  <c r="BQ360" i="161" s="1"/>
  <c r="BN360" i="161" s="1"/>
  <c r="BO360" i="161" s="1"/>
  <c r="BM360" i="161"/>
  <c r="AZ360" i="161"/>
  <c r="BT359" i="161"/>
  <c r="BU359" i="161" s="1"/>
  <c r="BR359" i="161" s="1"/>
  <c r="BS359" i="161" s="1"/>
  <c r="BP359" i="161"/>
  <c r="BQ359" i="161" s="1"/>
  <c r="BN359" i="161" s="1"/>
  <c r="BO359" i="161" s="1"/>
  <c r="BM359" i="161"/>
  <c r="AZ359" i="161"/>
  <c r="BT358" i="161"/>
  <c r="BU358" i="161" s="1"/>
  <c r="BR358" i="161" s="1"/>
  <c r="BS358" i="161" s="1"/>
  <c r="BP358" i="161"/>
  <c r="BQ358" i="161" s="1"/>
  <c r="BN358" i="161" s="1"/>
  <c r="BO358" i="161" s="1"/>
  <c r="BM358" i="161"/>
  <c r="AZ358" i="161"/>
  <c r="BT357" i="161"/>
  <c r="BU357" i="161" s="1"/>
  <c r="BR357" i="161" s="1"/>
  <c r="BS357" i="161" s="1"/>
  <c r="BP357" i="161"/>
  <c r="BQ357" i="161" s="1"/>
  <c r="BN357" i="161" s="1"/>
  <c r="BO357" i="161" s="1"/>
  <c r="BM357" i="161"/>
  <c r="AZ357" i="161"/>
  <c r="BT356" i="161"/>
  <c r="BU356" i="161" s="1"/>
  <c r="BR356" i="161" s="1"/>
  <c r="BS356" i="161" s="1"/>
  <c r="BP356" i="161"/>
  <c r="BQ356" i="161" s="1"/>
  <c r="BN356" i="161" s="1"/>
  <c r="BO356" i="161" s="1"/>
  <c r="BM356" i="161"/>
  <c r="AZ356" i="161"/>
  <c r="AO356" i="161"/>
  <c r="AP356" i="161" s="1"/>
  <c r="AJ356" i="161" s="1"/>
  <c r="A356" i="161" s="1"/>
  <c r="AM356" i="161"/>
  <c r="AN356" i="161" s="1"/>
  <c r="AH356" i="161" s="1"/>
  <c r="B356" i="161" s="1"/>
  <c r="U356" i="161"/>
  <c r="L356" i="161"/>
  <c r="M356" i="161" s="1"/>
  <c r="BT355" i="161"/>
  <c r="BU355" i="161" s="1"/>
  <c r="BR355" i="161" s="1"/>
  <c r="BS355" i="161" s="1"/>
  <c r="BP355" i="161"/>
  <c r="BQ355" i="161" s="1"/>
  <c r="BN355" i="161" s="1"/>
  <c r="BO355" i="161" s="1"/>
  <c r="BM355" i="161"/>
  <c r="AZ355" i="161"/>
  <c r="BT354" i="161"/>
  <c r="BU354" i="161" s="1"/>
  <c r="BR354" i="161" s="1"/>
  <c r="BS354" i="161" s="1"/>
  <c r="BP354" i="161"/>
  <c r="BQ354" i="161" s="1"/>
  <c r="BN354" i="161" s="1"/>
  <c r="BO354" i="161" s="1"/>
  <c r="BM354" i="161"/>
  <c r="AZ354" i="161"/>
  <c r="AO354" i="161"/>
  <c r="AP354" i="161" s="1"/>
  <c r="AJ354" i="161" s="1"/>
  <c r="A354" i="161" s="1"/>
  <c r="AM354" i="161"/>
  <c r="AN354" i="161" s="1"/>
  <c r="AH354" i="161" s="1"/>
  <c r="B354" i="161" s="1"/>
  <c r="U354" i="161"/>
  <c r="L354" i="161"/>
  <c r="BT353" i="161"/>
  <c r="BU353" i="161" s="1"/>
  <c r="BR353" i="161" s="1"/>
  <c r="BS353" i="161" s="1"/>
  <c r="BP353" i="161"/>
  <c r="BQ353" i="161" s="1"/>
  <c r="BN353" i="161" s="1"/>
  <c r="BO353" i="161" s="1"/>
  <c r="BM353" i="161"/>
  <c r="AZ353" i="161"/>
  <c r="BT352" i="161"/>
  <c r="BU352" i="161" s="1"/>
  <c r="BR352" i="161" s="1"/>
  <c r="BS352" i="161" s="1"/>
  <c r="BP352" i="161"/>
  <c r="BQ352" i="161" s="1"/>
  <c r="BN352" i="161" s="1"/>
  <c r="BO352" i="161" s="1"/>
  <c r="BM352" i="161"/>
  <c r="AZ352" i="161"/>
  <c r="BT351" i="161"/>
  <c r="BU351" i="161" s="1"/>
  <c r="BR351" i="161" s="1"/>
  <c r="BS351" i="161" s="1"/>
  <c r="BP351" i="161"/>
  <c r="BQ351" i="161" s="1"/>
  <c r="BN351" i="161" s="1"/>
  <c r="BO351" i="161" s="1"/>
  <c r="BM351" i="161"/>
  <c r="AZ351" i="161"/>
  <c r="BT350" i="161"/>
  <c r="BU350" i="161" s="1"/>
  <c r="BR350" i="161" s="1"/>
  <c r="BS350" i="161" s="1"/>
  <c r="BP350" i="161"/>
  <c r="BQ350" i="161" s="1"/>
  <c r="BN350" i="161" s="1"/>
  <c r="BO350" i="161" s="1"/>
  <c r="BM350" i="161"/>
  <c r="AZ350" i="161"/>
  <c r="BT349" i="161"/>
  <c r="BU349" i="161" s="1"/>
  <c r="BR349" i="161" s="1"/>
  <c r="BS349" i="161" s="1"/>
  <c r="BP349" i="161"/>
  <c r="BQ349" i="161" s="1"/>
  <c r="BN349" i="161" s="1"/>
  <c r="BO349" i="161" s="1"/>
  <c r="BM349" i="161"/>
  <c r="AZ349" i="161"/>
  <c r="BT348" i="161"/>
  <c r="BU348" i="161" s="1"/>
  <c r="BR348" i="161" s="1"/>
  <c r="BS348" i="161" s="1"/>
  <c r="BP348" i="161"/>
  <c r="BQ348" i="161" s="1"/>
  <c r="BN348" i="161" s="1"/>
  <c r="BO348" i="161" s="1"/>
  <c r="BM348" i="161"/>
  <c r="AZ348" i="161"/>
  <c r="BT347" i="161"/>
  <c r="BU347" i="161" s="1"/>
  <c r="BR347" i="161" s="1"/>
  <c r="BS347" i="161" s="1"/>
  <c r="BP347" i="161"/>
  <c r="BQ347" i="161" s="1"/>
  <c r="BN347" i="161" s="1"/>
  <c r="BO347" i="161" s="1"/>
  <c r="BM347" i="161"/>
  <c r="AZ347" i="161"/>
  <c r="BT346" i="161"/>
  <c r="BU346" i="161" s="1"/>
  <c r="BR346" i="161" s="1"/>
  <c r="BS346" i="161" s="1"/>
  <c r="BP346" i="161"/>
  <c r="BQ346" i="161" s="1"/>
  <c r="BN346" i="161" s="1"/>
  <c r="BO346" i="161" s="1"/>
  <c r="BM346" i="161"/>
  <c r="AZ346" i="161"/>
  <c r="BT345" i="161"/>
  <c r="BU345" i="161" s="1"/>
  <c r="BR345" i="161" s="1"/>
  <c r="BS345" i="161" s="1"/>
  <c r="BP345" i="161"/>
  <c r="BQ345" i="161" s="1"/>
  <c r="BN345" i="161" s="1"/>
  <c r="BO345" i="161" s="1"/>
  <c r="BM345" i="161"/>
  <c r="AZ345" i="161"/>
  <c r="AO345" i="161"/>
  <c r="AP345" i="161" s="1"/>
  <c r="AJ345" i="161" s="1"/>
  <c r="A345" i="161" s="1"/>
  <c r="AM345" i="161"/>
  <c r="AN345" i="161" s="1"/>
  <c r="AH345" i="161" s="1"/>
  <c r="B345" i="161" s="1"/>
  <c r="U345" i="161"/>
  <c r="L345" i="161"/>
  <c r="N345" i="161" s="1"/>
  <c r="BT344" i="161"/>
  <c r="BU344" i="161" s="1"/>
  <c r="BR344" i="161" s="1"/>
  <c r="BS344" i="161" s="1"/>
  <c r="BP344" i="161"/>
  <c r="BQ344" i="161" s="1"/>
  <c r="BN344" i="161" s="1"/>
  <c r="BO344" i="161" s="1"/>
  <c r="BM344" i="161"/>
  <c r="AZ344" i="161"/>
  <c r="BT343" i="161"/>
  <c r="BU343" i="161" s="1"/>
  <c r="BR343" i="161" s="1"/>
  <c r="BS343" i="161" s="1"/>
  <c r="BP343" i="161"/>
  <c r="BQ343" i="161" s="1"/>
  <c r="BN343" i="161" s="1"/>
  <c r="BO343" i="161" s="1"/>
  <c r="BM343" i="161"/>
  <c r="AZ343" i="161"/>
  <c r="AO343" i="161"/>
  <c r="AP343" i="161" s="1"/>
  <c r="AJ343" i="161" s="1"/>
  <c r="A343" i="161" s="1"/>
  <c r="AM343" i="161"/>
  <c r="AN343" i="161" s="1"/>
  <c r="AH343" i="161" s="1"/>
  <c r="B343" i="161" s="1"/>
  <c r="U343" i="161"/>
  <c r="L343" i="161"/>
  <c r="X343" i="161" s="1"/>
  <c r="BT342" i="161"/>
  <c r="BU342" i="161" s="1"/>
  <c r="BR342" i="161" s="1"/>
  <c r="BS342" i="161" s="1"/>
  <c r="BP342" i="161"/>
  <c r="BQ342" i="161" s="1"/>
  <c r="BN342" i="161" s="1"/>
  <c r="BO342" i="161" s="1"/>
  <c r="BM342" i="161"/>
  <c r="AZ342" i="161"/>
  <c r="BT341" i="161"/>
  <c r="BU341" i="161" s="1"/>
  <c r="BR341" i="161" s="1"/>
  <c r="BS341" i="161" s="1"/>
  <c r="BP341" i="161"/>
  <c r="BQ341" i="161" s="1"/>
  <c r="BN341" i="161" s="1"/>
  <c r="BO341" i="161" s="1"/>
  <c r="BM341" i="161"/>
  <c r="AZ341" i="161"/>
  <c r="AO341" i="161"/>
  <c r="AP341" i="161" s="1"/>
  <c r="AJ341" i="161" s="1"/>
  <c r="A341" i="161" s="1"/>
  <c r="AM341" i="161"/>
  <c r="AN341" i="161" s="1"/>
  <c r="AH341" i="161" s="1"/>
  <c r="B341" i="161" s="1"/>
  <c r="U341" i="161"/>
  <c r="L341" i="161"/>
  <c r="BT340" i="161"/>
  <c r="BU340" i="161" s="1"/>
  <c r="BR340" i="161" s="1"/>
  <c r="BS340" i="161" s="1"/>
  <c r="BP340" i="161"/>
  <c r="BQ340" i="161" s="1"/>
  <c r="BN340" i="161" s="1"/>
  <c r="BO340" i="161" s="1"/>
  <c r="BM340" i="161"/>
  <c r="AZ340" i="161"/>
  <c r="BT339" i="161"/>
  <c r="BU339" i="161" s="1"/>
  <c r="BR339" i="161" s="1"/>
  <c r="BS339" i="161" s="1"/>
  <c r="BP339" i="161"/>
  <c r="BQ339" i="161" s="1"/>
  <c r="BN339" i="161" s="1"/>
  <c r="BO339" i="161" s="1"/>
  <c r="BM339" i="161"/>
  <c r="AZ339" i="161"/>
  <c r="BT338" i="161"/>
  <c r="BU338" i="161" s="1"/>
  <c r="BR338" i="161" s="1"/>
  <c r="BS338" i="161" s="1"/>
  <c r="BP338" i="161"/>
  <c r="BQ338" i="161" s="1"/>
  <c r="BN338" i="161" s="1"/>
  <c r="BO338" i="161" s="1"/>
  <c r="BM338" i="161"/>
  <c r="AZ338" i="161"/>
  <c r="BT337" i="161"/>
  <c r="BU337" i="161" s="1"/>
  <c r="BR337" i="161" s="1"/>
  <c r="BS337" i="161" s="1"/>
  <c r="BP337" i="161"/>
  <c r="BQ337" i="161" s="1"/>
  <c r="BN337" i="161" s="1"/>
  <c r="BO337" i="161" s="1"/>
  <c r="BM337" i="161"/>
  <c r="AZ337" i="161"/>
  <c r="AO337" i="161"/>
  <c r="AP337" i="161" s="1"/>
  <c r="AJ337" i="161" s="1"/>
  <c r="A337" i="161" s="1"/>
  <c r="AM337" i="161"/>
  <c r="AN337" i="161" s="1"/>
  <c r="AH337" i="161" s="1"/>
  <c r="B337" i="161" s="1"/>
  <c r="U337" i="161"/>
  <c r="L337" i="161"/>
  <c r="M337" i="161" s="1"/>
  <c r="BT336" i="161"/>
  <c r="BU336" i="161" s="1"/>
  <c r="BR336" i="161" s="1"/>
  <c r="BS336" i="161" s="1"/>
  <c r="BP336" i="161"/>
  <c r="BQ336" i="161" s="1"/>
  <c r="BN336" i="161" s="1"/>
  <c r="BO336" i="161" s="1"/>
  <c r="BM336" i="161"/>
  <c r="AZ336" i="161"/>
  <c r="BT335" i="161"/>
  <c r="BU335" i="161" s="1"/>
  <c r="BR335" i="161" s="1"/>
  <c r="BS335" i="161" s="1"/>
  <c r="BP335" i="161"/>
  <c r="BQ335" i="161" s="1"/>
  <c r="BN335" i="161" s="1"/>
  <c r="BO335" i="161" s="1"/>
  <c r="BM335" i="161"/>
  <c r="AZ335" i="161"/>
  <c r="AO335" i="161"/>
  <c r="AP335" i="161" s="1"/>
  <c r="AJ335" i="161" s="1"/>
  <c r="A335" i="161" s="1"/>
  <c r="AM335" i="161"/>
  <c r="AN335" i="161" s="1"/>
  <c r="AH335" i="161" s="1"/>
  <c r="B335" i="161" s="1"/>
  <c r="U335" i="161"/>
  <c r="L335" i="161"/>
  <c r="X335" i="161" s="1"/>
  <c r="BT334" i="161"/>
  <c r="BU334" i="161" s="1"/>
  <c r="BR334" i="161" s="1"/>
  <c r="BS334" i="161" s="1"/>
  <c r="BP334" i="161"/>
  <c r="BQ334" i="161" s="1"/>
  <c r="BN334" i="161" s="1"/>
  <c r="BO334" i="161" s="1"/>
  <c r="BM334" i="161"/>
  <c r="AZ334" i="161"/>
  <c r="BT333" i="161"/>
  <c r="BU333" i="161" s="1"/>
  <c r="BR333" i="161" s="1"/>
  <c r="BS333" i="161" s="1"/>
  <c r="BP333" i="161"/>
  <c r="BQ333" i="161" s="1"/>
  <c r="BN333" i="161" s="1"/>
  <c r="BO333" i="161" s="1"/>
  <c r="BM333" i="161"/>
  <c r="AZ333" i="161"/>
  <c r="AO333" i="161"/>
  <c r="AP333" i="161" s="1"/>
  <c r="AJ333" i="161" s="1"/>
  <c r="A333" i="161" s="1"/>
  <c r="AM333" i="161"/>
  <c r="AN333" i="161" s="1"/>
  <c r="AH333" i="161" s="1"/>
  <c r="B333" i="161" s="1"/>
  <c r="U333" i="161"/>
  <c r="L333" i="161"/>
  <c r="X333" i="161" s="1"/>
  <c r="BT332" i="161"/>
  <c r="BU332" i="161" s="1"/>
  <c r="BR332" i="161" s="1"/>
  <c r="BS332" i="161" s="1"/>
  <c r="BP332" i="161"/>
  <c r="BQ332" i="161" s="1"/>
  <c r="BN332" i="161" s="1"/>
  <c r="BO332" i="161" s="1"/>
  <c r="BM332" i="161"/>
  <c r="AZ332" i="161"/>
  <c r="BT331" i="161"/>
  <c r="BU331" i="161" s="1"/>
  <c r="BR331" i="161" s="1"/>
  <c r="BS331" i="161" s="1"/>
  <c r="BP331" i="161"/>
  <c r="BQ331" i="161" s="1"/>
  <c r="BN331" i="161" s="1"/>
  <c r="BO331" i="161" s="1"/>
  <c r="BM331" i="161"/>
  <c r="BL331" i="161"/>
  <c r="AZ331" i="161"/>
  <c r="AO331" i="161"/>
  <c r="AP331" i="161" s="1"/>
  <c r="AJ331" i="161" s="1"/>
  <c r="A331" i="161" s="1"/>
  <c r="AM331" i="161"/>
  <c r="AN331" i="161" s="1"/>
  <c r="AH331" i="161" s="1"/>
  <c r="B331" i="161" s="1"/>
  <c r="X331" i="161"/>
  <c r="U331" i="161"/>
  <c r="L331" i="161"/>
  <c r="N331" i="161" s="1"/>
  <c r="BT330" i="161"/>
  <c r="BU330" i="161" s="1"/>
  <c r="BR330" i="161" s="1"/>
  <c r="BS330" i="161" s="1"/>
  <c r="BP330" i="161"/>
  <c r="BQ330" i="161" s="1"/>
  <c r="BN330" i="161" s="1"/>
  <c r="BO330" i="161" s="1"/>
  <c r="BM330" i="161"/>
  <c r="BL330" i="161"/>
  <c r="AZ330" i="161"/>
  <c r="BT328" i="161"/>
  <c r="BU328" i="161" s="1"/>
  <c r="BR328" i="161" s="1"/>
  <c r="BS328" i="161" s="1"/>
  <c r="BP328" i="161"/>
  <c r="BQ328" i="161" s="1"/>
  <c r="BN328" i="161" s="1"/>
  <c r="BO328" i="161" s="1"/>
  <c r="BM328" i="161"/>
  <c r="AZ328" i="161"/>
  <c r="BT327" i="161"/>
  <c r="BU327" i="161" s="1"/>
  <c r="BR327" i="161" s="1"/>
  <c r="BS327" i="161" s="1"/>
  <c r="BP327" i="161"/>
  <c r="BQ327" i="161" s="1"/>
  <c r="BN327" i="161" s="1"/>
  <c r="BO327" i="161" s="1"/>
  <c r="BM327" i="161"/>
  <c r="AZ327" i="161"/>
  <c r="BT326" i="161"/>
  <c r="BU326" i="161" s="1"/>
  <c r="BR326" i="161" s="1"/>
  <c r="BS326" i="161" s="1"/>
  <c r="BP326" i="161"/>
  <c r="BQ326" i="161" s="1"/>
  <c r="BN326" i="161" s="1"/>
  <c r="BO326" i="161" s="1"/>
  <c r="BM326" i="161"/>
  <c r="AZ326" i="161"/>
  <c r="AO326" i="161"/>
  <c r="AP326" i="161" s="1"/>
  <c r="AJ326" i="161" s="1"/>
  <c r="A326" i="161" s="1"/>
  <c r="AM326" i="161"/>
  <c r="AN326" i="161" s="1"/>
  <c r="AH326" i="161" s="1"/>
  <c r="B326" i="161" s="1"/>
  <c r="U326" i="161"/>
  <c r="L326" i="161"/>
  <c r="X326" i="161" s="1"/>
  <c r="BT325" i="161"/>
  <c r="BU325" i="161" s="1"/>
  <c r="BR325" i="161" s="1"/>
  <c r="BS325" i="161" s="1"/>
  <c r="BP325" i="161"/>
  <c r="BQ325" i="161" s="1"/>
  <c r="BN325" i="161" s="1"/>
  <c r="BO325" i="161" s="1"/>
  <c r="BM325" i="161"/>
  <c r="AZ325" i="161"/>
  <c r="BT324" i="161"/>
  <c r="BU324" i="161" s="1"/>
  <c r="BR324" i="161" s="1"/>
  <c r="BS324" i="161" s="1"/>
  <c r="BP324" i="161"/>
  <c r="BQ324" i="161" s="1"/>
  <c r="BN324" i="161" s="1"/>
  <c r="BO324" i="161" s="1"/>
  <c r="BM324" i="161"/>
  <c r="AZ324" i="161"/>
  <c r="AO324" i="161"/>
  <c r="AP324" i="161" s="1"/>
  <c r="AJ324" i="161" s="1"/>
  <c r="A324" i="161" s="1"/>
  <c r="AM324" i="161"/>
  <c r="AN324" i="161" s="1"/>
  <c r="AH324" i="161" s="1"/>
  <c r="B324" i="161" s="1"/>
  <c r="U324" i="161"/>
  <c r="L324" i="161"/>
  <c r="BT323" i="161"/>
  <c r="BU323" i="161" s="1"/>
  <c r="BR323" i="161" s="1"/>
  <c r="BS323" i="161" s="1"/>
  <c r="BP323" i="161"/>
  <c r="BQ323" i="161" s="1"/>
  <c r="BN323" i="161" s="1"/>
  <c r="BO323" i="161" s="1"/>
  <c r="BM323" i="161"/>
  <c r="AZ323" i="161"/>
  <c r="BT322" i="161"/>
  <c r="BU322" i="161" s="1"/>
  <c r="BR322" i="161" s="1"/>
  <c r="BS322" i="161" s="1"/>
  <c r="BP322" i="161"/>
  <c r="BQ322" i="161" s="1"/>
  <c r="BN322" i="161" s="1"/>
  <c r="BO322" i="161" s="1"/>
  <c r="BM322" i="161"/>
  <c r="AZ322" i="161"/>
  <c r="BT321" i="161"/>
  <c r="BU321" i="161" s="1"/>
  <c r="BR321" i="161" s="1"/>
  <c r="BS321" i="161" s="1"/>
  <c r="BP321" i="161"/>
  <c r="BQ321" i="161" s="1"/>
  <c r="BN321" i="161" s="1"/>
  <c r="BO321" i="161" s="1"/>
  <c r="BM321" i="161"/>
  <c r="AZ321" i="161"/>
  <c r="BT320" i="161"/>
  <c r="BU320" i="161" s="1"/>
  <c r="BR320" i="161" s="1"/>
  <c r="BS320" i="161" s="1"/>
  <c r="BP320" i="161"/>
  <c r="BQ320" i="161" s="1"/>
  <c r="BN320" i="161" s="1"/>
  <c r="BO320" i="161" s="1"/>
  <c r="BM320" i="161"/>
  <c r="AZ320" i="161"/>
  <c r="BT319" i="161"/>
  <c r="BU319" i="161" s="1"/>
  <c r="BR319" i="161" s="1"/>
  <c r="BS319" i="161" s="1"/>
  <c r="BP319" i="161"/>
  <c r="BQ319" i="161" s="1"/>
  <c r="BN319" i="161" s="1"/>
  <c r="BO319" i="161" s="1"/>
  <c r="BM319" i="161"/>
  <c r="AZ319" i="161"/>
  <c r="BT318" i="161"/>
  <c r="BU318" i="161" s="1"/>
  <c r="BR318" i="161" s="1"/>
  <c r="BS318" i="161" s="1"/>
  <c r="BP318" i="161"/>
  <c r="BQ318" i="161" s="1"/>
  <c r="BN318" i="161" s="1"/>
  <c r="BO318" i="161" s="1"/>
  <c r="BM318" i="161"/>
  <c r="AZ318" i="161"/>
  <c r="BT317" i="161"/>
  <c r="BU317" i="161" s="1"/>
  <c r="BR317" i="161" s="1"/>
  <c r="BS317" i="161" s="1"/>
  <c r="BP317" i="161"/>
  <c r="BQ317" i="161" s="1"/>
  <c r="BN317" i="161" s="1"/>
  <c r="BO317" i="161" s="1"/>
  <c r="BM317" i="161"/>
  <c r="AZ317" i="161"/>
  <c r="BT316" i="161"/>
  <c r="BU316" i="161" s="1"/>
  <c r="BR316" i="161" s="1"/>
  <c r="BS316" i="161" s="1"/>
  <c r="BP316" i="161"/>
  <c r="BQ316" i="161" s="1"/>
  <c r="BN316" i="161" s="1"/>
  <c r="BO316" i="161" s="1"/>
  <c r="BM316" i="161"/>
  <c r="AZ316" i="161"/>
  <c r="AO316" i="161"/>
  <c r="AP316" i="161" s="1"/>
  <c r="AJ316" i="161" s="1"/>
  <c r="A316" i="161" s="1"/>
  <c r="AM316" i="161"/>
  <c r="AN316" i="161" s="1"/>
  <c r="AH316" i="161" s="1"/>
  <c r="B316" i="161" s="1"/>
  <c r="U316" i="161"/>
  <c r="L316" i="161"/>
  <c r="BT315" i="161"/>
  <c r="BU315" i="161" s="1"/>
  <c r="BR315" i="161" s="1"/>
  <c r="BS315" i="161" s="1"/>
  <c r="BP315" i="161"/>
  <c r="BQ315" i="161" s="1"/>
  <c r="BN315" i="161" s="1"/>
  <c r="BO315" i="161" s="1"/>
  <c r="BM315" i="161"/>
  <c r="AZ315" i="161"/>
  <c r="BT314" i="161"/>
  <c r="BU314" i="161" s="1"/>
  <c r="BR314" i="161" s="1"/>
  <c r="BS314" i="161" s="1"/>
  <c r="BQ314" i="161"/>
  <c r="BN314" i="161" s="1"/>
  <c r="BO314" i="161" s="1"/>
  <c r="BP314" i="161"/>
  <c r="BM314" i="161"/>
  <c r="AZ314" i="161"/>
  <c r="AO314" i="161"/>
  <c r="AP314" i="161" s="1"/>
  <c r="AJ314" i="161" s="1"/>
  <c r="A314" i="161" s="1"/>
  <c r="AM314" i="161"/>
  <c r="AN314" i="161" s="1"/>
  <c r="AH314" i="161" s="1"/>
  <c r="B314" i="161" s="1"/>
  <c r="U314" i="161"/>
  <c r="L314" i="161"/>
  <c r="BT313" i="161"/>
  <c r="BU313" i="161" s="1"/>
  <c r="BR313" i="161" s="1"/>
  <c r="BS313" i="161" s="1"/>
  <c r="BP313" i="161"/>
  <c r="BQ313" i="161" s="1"/>
  <c r="BN313" i="161" s="1"/>
  <c r="BO313" i="161" s="1"/>
  <c r="BM313" i="161"/>
  <c r="AZ313" i="161"/>
  <c r="BT312" i="161"/>
  <c r="BU312" i="161" s="1"/>
  <c r="BR312" i="161" s="1"/>
  <c r="BS312" i="161" s="1"/>
  <c r="BP312" i="161"/>
  <c r="BQ312" i="161" s="1"/>
  <c r="BN312" i="161" s="1"/>
  <c r="BO312" i="161" s="1"/>
  <c r="BM312" i="161"/>
  <c r="AZ312" i="161"/>
  <c r="AO312" i="161"/>
  <c r="AP312" i="161" s="1"/>
  <c r="AJ312" i="161" s="1"/>
  <c r="A312" i="161" s="1"/>
  <c r="AM312" i="161"/>
  <c r="AN312" i="161" s="1"/>
  <c r="AH312" i="161" s="1"/>
  <c r="B312" i="161" s="1"/>
  <c r="U312" i="161"/>
  <c r="L312" i="161"/>
  <c r="N312" i="161" s="1"/>
  <c r="BT311" i="161"/>
  <c r="BU311" i="161" s="1"/>
  <c r="BR311" i="161" s="1"/>
  <c r="BS311" i="161" s="1"/>
  <c r="BP311" i="161"/>
  <c r="BQ311" i="161" s="1"/>
  <c r="BN311" i="161" s="1"/>
  <c r="BO311" i="161" s="1"/>
  <c r="BM311" i="161"/>
  <c r="AZ311" i="161"/>
  <c r="BT310" i="161"/>
  <c r="BU310" i="161" s="1"/>
  <c r="BR310" i="161" s="1"/>
  <c r="BS310" i="161" s="1"/>
  <c r="BP310" i="161"/>
  <c r="BQ310" i="161" s="1"/>
  <c r="BN310" i="161" s="1"/>
  <c r="BO310" i="161" s="1"/>
  <c r="BM310" i="161"/>
  <c r="AZ310" i="161"/>
  <c r="BT309" i="161"/>
  <c r="BU309" i="161" s="1"/>
  <c r="BR309" i="161" s="1"/>
  <c r="BS309" i="161" s="1"/>
  <c r="BP309" i="161"/>
  <c r="BQ309" i="161" s="1"/>
  <c r="BN309" i="161" s="1"/>
  <c r="BO309" i="161" s="1"/>
  <c r="BM309" i="161"/>
  <c r="AZ309" i="161"/>
  <c r="BT308" i="161"/>
  <c r="BU308" i="161" s="1"/>
  <c r="BR308" i="161" s="1"/>
  <c r="BS308" i="161" s="1"/>
  <c r="BP308" i="161"/>
  <c r="BQ308" i="161" s="1"/>
  <c r="BN308" i="161" s="1"/>
  <c r="BO308" i="161" s="1"/>
  <c r="BM308" i="161"/>
  <c r="AZ308" i="161"/>
  <c r="AO308" i="161"/>
  <c r="AP308" i="161" s="1"/>
  <c r="AJ308" i="161" s="1"/>
  <c r="A308" i="161" s="1"/>
  <c r="AM308" i="161"/>
  <c r="AN308" i="161" s="1"/>
  <c r="AH308" i="161" s="1"/>
  <c r="B308" i="161" s="1"/>
  <c r="U308" i="161"/>
  <c r="L308" i="161"/>
  <c r="BT307" i="161"/>
  <c r="BU307" i="161" s="1"/>
  <c r="BR307" i="161" s="1"/>
  <c r="BS307" i="161" s="1"/>
  <c r="BP307" i="161"/>
  <c r="BQ307" i="161" s="1"/>
  <c r="BN307" i="161" s="1"/>
  <c r="BO307" i="161" s="1"/>
  <c r="BM307" i="161"/>
  <c r="AZ307" i="161"/>
  <c r="BT306" i="161"/>
  <c r="BU306" i="161" s="1"/>
  <c r="BR306" i="161" s="1"/>
  <c r="BS306" i="161" s="1"/>
  <c r="BP306" i="161"/>
  <c r="BQ306" i="161" s="1"/>
  <c r="BN306" i="161" s="1"/>
  <c r="BO306" i="161" s="1"/>
  <c r="BM306" i="161"/>
  <c r="AZ306" i="161"/>
  <c r="BT305" i="161"/>
  <c r="BU305" i="161" s="1"/>
  <c r="BR305" i="161" s="1"/>
  <c r="BS305" i="161" s="1"/>
  <c r="BP305" i="161"/>
  <c r="BQ305" i="161" s="1"/>
  <c r="BN305" i="161" s="1"/>
  <c r="BO305" i="161" s="1"/>
  <c r="BM305" i="161"/>
  <c r="AZ305" i="161"/>
  <c r="BT304" i="161"/>
  <c r="BU304" i="161" s="1"/>
  <c r="BR304" i="161" s="1"/>
  <c r="BS304" i="161" s="1"/>
  <c r="BP304" i="161"/>
  <c r="BQ304" i="161" s="1"/>
  <c r="BN304" i="161" s="1"/>
  <c r="BO304" i="161" s="1"/>
  <c r="BM304" i="161"/>
  <c r="AZ304" i="161"/>
  <c r="AO304" i="161"/>
  <c r="AP304" i="161" s="1"/>
  <c r="AJ304" i="161" s="1"/>
  <c r="A304" i="161" s="1"/>
  <c r="AM304" i="161"/>
  <c r="AN304" i="161" s="1"/>
  <c r="AH304" i="161" s="1"/>
  <c r="B304" i="161" s="1"/>
  <c r="U304" i="161"/>
  <c r="L304" i="161"/>
  <c r="BT302" i="161"/>
  <c r="BU302" i="161" s="1"/>
  <c r="BR302" i="161" s="1"/>
  <c r="BS302" i="161" s="1"/>
  <c r="BP302" i="161"/>
  <c r="BQ302" i="161" s="1"/>
  <c r="BN302" i="161" s="1"/>
  <c r="BO302" i="161" s="1"/>
  <c r="BM302" i="161"/>
  <c r="AZ302" i="161"/>
  <c r="BT301" i="161"/>
  <c r="BU301" i="161" s="1"/>
  <c r="BR301" i="161" s="1"/>
  <c r="BS301" i="161" s="1"/>
  <c r="BP301" i="161"/>
  <c r="BQ301" i="161" s="1"/>
  <c r="BN301" i="161" s="1"/>
  <c r="BO301" i="161" s="1"/>
  <c r="BM301" i="161"/>
  <c r="AZ301" i="161"/>
  <c r="BT300" i="161"/>
  <c r="BU300" i="161" s="1"/>
  <c r="BR300" i="161" s="1"/>
  <c r="BS300" i="161" s="1"/>
  <c r="BP300" i="161"/>
  <c r="BQ300" i="161" s="1"/>
  <c r="BN300" i="161" s="1"/>
  <c r="BO300" i="161" s="1"/>
  <c r="BM300" i="161"/>
  <c r="AZ300" i="161"/>
  <c r="BT299" i="161"/>
  <c r="BU299" i="161" s="1"/>
  <c r="BR299" i="161" s="1"/>
  <c r="BS299" i="161" s="1"/>
  <c r="BP299" i="161"/>
  <c r="BQ299" i="161" s="1"/>
  <c r="BN299" i="161" s="1"/>
  <c r="BO299" i="161" s="1"/>
  <c r="BM299" i="161"/>
  <c r="AZ299" i="161"/>
  <c r="BT297" i="161"/>
  <c r="BU297" i="161" s="1"/>
  <c r="BR297" i="161" s="1"/>
  <c r="BS297" i="161" s="1"/>
  <c r="BP297" i="161"/>
  <c r="BQ297" i="161" s="1"/>
  <c r="BN297" i="161" s="1"/>
  <c r="BO297" i="161" s="1"/>
  <c r="BM297" i="161"/>
  <c r="AZ297" i="161"/>
  <c r="BT296" i="161"/>
  <c r="BU296" i="161" s="1"/>
  <c r="BR296" i="161" s="1"/>
  <c r="BS296" i="161" s="1"/>
  <c r="BP296" i="161"/>
  <c r="BQ296" i="161" s="1"/>
  <c r="BN296" i="161" s="1"/>
  <c r="BO296" i="161" s="1"/>
  <c r="BM296" i="161"/>
  <c r="AZ296" i="161"/>
  <c r="BT295" i="161"/>
  <c r="BU295" i="161" s="1"/>
  <c r="BR295" i="161" s="1"/>
  <c r="BS295" i="161" s="1"/>
  <c r="BP295" i="161"/>
  <c r="BQ295" i="161" s="1"/>
  <c r="BN295" i="161" s="1"/>
  <c r="BO295" i="161" s="1"/>
  <c r="BM295" i="161"/>
  <c r="AZ295" i="161"/>
  <c r="BT294" i="161"/>
  <c r="BU294" i="161" s="1"/>
  <c r="BR294" i="161" s="1"/>
  <c r="BS294" i="161" s="1"/>
  <c r="BP294" i="161"/>
  <c r="BQ294" i="161" s="1"/>
  <c r="BN294" i="161" s="1"/>
  <c r="BO294" i="161" s="1"/>
  <c r="BM294" i="161"/>
  <c r="AZ294" i="161"/>
  <c r="BT293" i="161"/>
  <c r="BU293" i="161" s="1"/>
  <c r="BR293" i="161" s="1"/>
  <c r="BS293" i="161" s="1"/>
  <c r="BP293" i="161"/>
  <c r="BQ293" i="161" s="1"/>
  <c r="BN293" i="161" s="1"/>
  <c r="BO293" i="161" s="1"/>
  <c r="BM293" i="161"/>
  <c r="AZ293" i="161"/>
  <c r="BT292" i="161"/>
  <c r="BU292" i="161" s="1"/>
  <c r="BR292" i="161" s="1"/>
  <c r="BS292" i="161" s="1"/>
  <c r="BP292" i="161"/>
  <c r="BQ292" i="161" s="1"/>
  <c r="BN292" i="161" s="1"/>
  <c r="BO292" i="161" s="1"/>
  <c r="BM292" i="161"/>
  <c r="AZ292" i="161"/>
  <c r="BT291" i="161"/>
  <c r="BU291" i="161" s="1"/>
  <c r="BR291" i="161" s="1"/>
  <c r="BS291" i="161" s="1"/>
  <c r="BP291" i="161"/>
  <c r="BQ291" i="161" s="1"/>
  <c r="BN291" i="161" s="1"/>
  <c r="BO291" i="161" s="1"/>
  <c r="BM291" i="161"/>
  <c r="AZ291" i="161"/>
  <c r="BT290" i="161"/>
  <c r="BU290" i="161" s="1"/>
  <c r="BR290" i="161" s="1"/>
  <c r="BS290" i="161" s="1"/>
  <c r="BP290" i="161"/>
  <c r="BQ290" i="161" s="1"/>
  <c r="BN290" i="161" s="1"/>
  <c r="BO290" i="161" s="1"/>
  <c r="BM290" i="161"/>
  <c r="AZ290" i="161"/>
  <c r="BT289" i="161"/>
  <c r="BU289" i="161" s="1"/>
  <c r="BR289" i="161" s="1"/>
  <c r="BS289" i="161" s="1"/>
  <c r="BP289" i="161"/>
  <c r="BQ289" i="161" s="1"/>
  <c r="BN289" i="161" s="1"/>
  <c r="BO289" i="161" s="1"/>
  <c r="BM289" i="161"/>
  <c r="AZ289" i="161"/>
  <c r="BT288" i="161"/>
  <c r="BU288" i="161" s="1"/>
  <c r="BR288" i="161" s="1"/>
  <c r="BS288" i="161" s="1"/>
  <c r="BP288" i="161"/>
  <c r="BQ288" i="161" s="1"/>
  <c r="BN288" i="161" s="1"/>
  <c r="BO288" i="161" s="1"/>
  <c r="BM288" i="161"/>
  <c r="AZ288" i="161"/>
  <c r="BT287" i="161"/>
  <c r="BU287" i="161" s="1"/>
  <c r="BR287" i="161" s="1"/>
  <c r="BS287" i="161" s="1"/>
  <c r="BP287" i="161"/>
  <c r="BQ287" i="161" s="1"/>
  <c r="BN287" i="161" s="1"/>
  <c r="BO287" i="161" s="1"/>
  <c r="BM287" i="161"/>
  <c r="AZ287" i="161"/>
  <c r="BT286" i="161"/>
  <c r="BU286" i="161" s="1"/>
  <c r="BR286" i="161" s="1"/>
  <c r="BS286" i="161" s="1"/>
  <c r="BP286" i="161"/>
  <c r="BQ286" i="161" s="1"/>
  <c r="BN286" i="161" s="1"/>
  <c r="BO286" i="161" s="1"/>
  <c r="BM286" i="161"/>
  <c r="AZ286" i="161"/>
  <c r="BT285" i="161"/>
  <c r="BU285" i="161" s="1"/>
  <c r="BR285" i="161" s="1"/>
  <c r="BS285" i="161" s="1"/>
  <c r="BP285" i="161"/>
  <c r="BQ285" i="161" s="1"/>
  <c r="BN285" i="161" s="1"/>
  <c r="BO285" i="161" s="1"/>
  <c r="BM285" i="161"/>
  <c r="AZ285" i="161"/>
  <c r="BT284" i="161"/>
  <c r="BU284" i="161" s="1"/>
  <c r="BR284" i="161" s="1"/>
  <c r="BS284" i="161" s="1"/>
  <c r="BP284" i="161"/>
  <c r="BQ284" i="161" s="1"/>
  <c r="BN284" i="161" s="1"/>
  <c r="BO284" i="161" s="1"/>
  <c r="BM284" i="161"/>
  <c r="AZ284" i="161"/>
  <c r="BT283" i="161"/>
  <c r="BU283" i="161" s="1"/>
  <c r="BR283" i="161" s="1"/>
  <c r="BS283" i="161" s="1"/>
  <c r="BP283" i="161"/>
  <c r="BQ283" i="161" s="1"/>
  <c r="BN283" i="161" s="1"/>
  <c r="BO283" i="161" s="1"/>
  <c r="BM283" i="161"/>
  <c r="AZ283" i="161"/>
  <c r="BT282" i="161"/>
  <c r="BU282" i="161" s="1"/>
  <c r="BR282" i="161" s="1"/>
  <c r="BS282" i="161" s="1"/>
  <c r="BP282" i="161"/>
  <c r="BQ282" i="161" s="1"/>
  <c r="BN282" i="161" s="1"/>
  <c r="BO282" i="161" s="1"/>
  <c r="BM282" i="161"/>
  <c r="AZ282" i="161"/>
  <c r="BT281" i="161"/>
  <c r="BU281" i="161" s="1"/>
  <c r="BR281" i="161" s="1"/>
  <c r="BS281" i="161" s="1"/>
  <c r="BP281" i="161"/>
  <c r="BQ281" i="161" s="1"/>
  <c r="BN281" i="161" s="1"/>
  <c r="BO281" i="161" s="1"/>
  <c r="BM281" i="161"/>
  <c r="AZ281" i="161"/>
  <c r="BT280" i="161"/>
  <c r="BU280" i="161" s="1"/>
  <c r="BR280" i="161" s="1"/>
  <c r="BS280" i="161" s="1"/>
  <c r="BP280" i="161"/>
  <c r="BQ280" i="161" s="1"/>
  <c r="BN280" i="161" s="1"/>
  <c r="BO280" i="161" s="1"/>
  <c r="BM280" i="161"/>
  <c r="AZ280" i="161"/>
  <c r="BT278" i="161"/>
  <c r="BU278" i="161" s="1"/>
  <c r="BR278" i="161" s="1"/>
  <c r="BS278" i="161" s="1"/>
  <c r="BP278" i="161"/>
  <c r="BQ278" i="161" s="1"/>
  <c r="BN278" i="161" s="1"/>
  <c r="BO278" i="161" s="1"/>
  <c r="BM278" i="161"/>
  <c r="AZ278" i="161"/>
  <c r="BT277" i="161"/>
  <c r="BU277" i="161" s="1"/>
  <c r="BR277" i="161" s="1"/>
  <c r="BS277" i="161" s="1"/>
  <c r="BP277" i="161"/>
  <c r="BQ277" i="161" s="1"/>
  <c r="BN277" i="161" s="1"/>
  <c r="BO277" i="161" s="1"/>
  <c r="BM277" i="161"/>
  <c r="AZ277" i="161"/>
  <c r="BT276" i="161"/>
  <c r="BU276" i="161" s="1"/>
  <c r="BR276" i="161" s="1"/>
  <c r="BS276" i="161" s="1"/>
  <c r="BP276" i="161"/>
  <c r="BQ276" i="161" s="1"/>
  <c r="BN276" i="161" s="1"/>
  <c r="BO276" i="161" s="1"/>
  <c r="BM276" i="161"/>
  <c r="AZ276" i="161"/>
  <c r="BT275" i="161"/>
  <c r="BU275" i="161" s="1"/>
  <c r="BR275" i="161" s="1"/>
  <c r="BS275" i="161" s="1"/>
  <c r="BP275" i="161"/>
  <c r="BQ275" i="161" s="1"/>
  <c r="BN275" i="161" s="1"/>
  <c r="BO275" i="161" s="1"/>
  <c r="BM275" i="161"/>
  <c r="AZ275" i="161"/>
  <c r="BT274" i="161"/>
  <c r="BU274" i="161" s="1"/>
  <c r="BR274" i="161" s="1"/>
  <c r="BS274" i="161" s="1"/>
  <c r="BP274" i="161"/>
  <c r="BQ274" i="161" s="1"/>
  <c r="BN274" i="161" s="1"/>
  <c r="BO274" i="161" s="1"/>
  <c r="BM274" i="161"/>
  <c r="AZ274" i="161"/>
  <c r="BT273" i="161"/>
  <c r="BU273" i="161" s="1"/>
  <c r="BR273" i="161" s="1"/>
  <c r="BS273" i="161" s="1"/>
  <c r="BP273" i="161"/>
  <c r="BQ273" i="161" s="1"/>
  <c r="BN273" i="161" s="1"/>
  <c r="BO273" i="161" s="1"/>
  <c r="BM273" i="161"/>
  <c r="AZ273" i="161"/>
  <c r="BT272" i="161"/>
  <c r="BU272" i="161" s="1"/>
  <c r="BR272" i="161" s="1"/>
  <c r="BS272" i="161" s="1"/>
  <c r="BP272" i="161"/>
  <c r="BQ272" i="161" s="1"/>
  <c r="BN272" i="161" s="1"/>
  <c r="BO272" i="161" s="1"/>
  <c r="BM272" i="161"/>
  <c r="AZ272" i="161"/>
  <c r="BT271" i="161"/>
  <c r="BU271" i="161" s="1"/>
  <c r="BR271" i="161" s="1"/>
  <c r="BS271" i="161" s="1"/>
  <c r="BP271" i="161"/>
  <c r="BQ271" i="161" s="1"/>
  <c r="BN271" i="161" s="1"/>
  <c r="BO271" i="161" s="1"/>
  <c r="BM271" i="161"/>
  <c r="AZ271" i="161"/>
  <c r="AO271" i="161"/>
  <c r="AP271" i="161" s="1"/>
  <c r="AJ271" i="161" s="1"/>
  <c r="A271" i="161" s="1"/>
  <c r="AM271" i="161"/>
  <c r="AN271" i="161" s="1"/>
  <c r="AH271" i="161" s="1"/>
  <c r="B271" i="161" s="1"/>
  <c r="U271" i="161"/>
  <c r="L271" i="161"/>
  <c r="X271" i="161" s="1"/>
  <c r="BT270" i="161"/>
  <c r="BU270" i="161" s="1"/>
  <c r="BR270" i="161" s="1"/>
  <c r="BS270" i="161" s="1"/>
  <c r="BP270" i="161"/>
  <c r="BQ270" i="161" s="1"/>
  <c r="BN270" i="161" s="1"/>
  <c r="BO270" i="161" s="1"/>
  <c r="BM270" i="161"/>
  <c r="AZ270" i="161"/>
  <c r="BT269" i="161"/>
  <c r="BU269" i="161" s="1"/>
  <c r="BR269" i="161" s="1"/>
  <c r="BS269" i="161" s="1"/>
  <c r="BP269" i="161"/>
  <c r="BQ269" i="161" s="1"/>
  <c r="BN269" i="161" s="1"/>
  <c r="BO269" i="161" s="1"/>
  <c r="BM269" i="161"/>
  <c r="AZ269" i="161"/>
  <c r="BT268" i="161"/>
  <c r="BU268" i="161" s="1"/>
  <c r="BR268" i="161" s="1"/>
  <c r="BS268" i="161" s="1"/>
  <c r="BP268" i="161"/>
  <c r="BQ268" i="161" s="1"/>
  <c r="BN268" i="161" s="1"/>
  <c r="BO268" i="161" s="1"/>
  <c r="BM268" i="161"/>
  <c r="AZ268" i="161"/>
  <c r="BT267" i="161"/>
  <c r="BU267" i="161" s="1"/>
  <c r="BR267" i="161" s="1"/>
  <c r="BS267" i="161" s="1"/>
  <c r="BP267" i="161"/>
  <c r="BQ267" i="161" s="1"/>
  <c r="BN267" i="161" s="1"/>
  <c r="BO267" i="161" s="1"/>
  <c r="BM267" i="161"/>
  <c r="AZ267" i="161"/>
  <c r="BT266" i="161"/>
  <c r="BU266" i="161" s="1"/>
  <c r="BR266" i="161" s="1"/>
  <c r="BS266" i="161" s="1"/>
  <c r="BP266" i="161"/>
  <c r="BQ266" i="161" s="1"/>
  <c r="BN266" i="161" s="1"/>
  <c r="BO266" i="161" s="1"/>
  <c r="BM266" i="161"/>
  <c r="AZ266" i="161"/>
  <c r="BT265" i="161"/>
  <c r="BU265" i="161" s="1"/>
  <c r="BR265" i="161" s="1"/>
  <c r="BS265" i="161" s="1"/>
  <c r="BP265" i="161"/>
  <c r="BQ265" i="161" s="1"/>
  <c r="BN265" i="161" s="1"/>
  <c r="BO265" i="161" s="1"/>
  <c r="BM265" i="161"/>
  <c r="AZ265" i="161"/>
  <c r="AO265" i="161"/>
  <c r="AP265" i="161" s="1"/>
  <c r="AJ265" i="161" s="1"/>
  <c r="A265" i="161" s="1"/>
  <c r="AM265" i="161"/>
  <c r="AN265" i="161" s="1"/>
  <c r="AH265" i="161" s="1"/>
  <c r="B265" i="161" s="1"/>
  <c r="U265" i="161"/>
  <c r="L265" i="161"/>
  <c r="X265" i="161" s="1"/>
  <c r="BT263" i="161"/>
  <c r="BU263" i="161" s="1"/>
  <c r="BR263" i="161" s="1"/>
  <c r="BS263" i="161" s="1"/>
  <c r="BP263" i="161"/>
  <c r="BQ263" i="161" s="1"/>
  <c r="BN263" i="161" s="1"/>
  <c r="BO263" i="161" s="1"/>
  <c r="BM263" i="161"/>
  <c r="AZ263" i="161"/>
  <c r="BT262" i="161"/>
  <c r="BU262" i="161" s="1"/>
  <c r="BR262" i="161" s="1"/>
  <c r="BS262" i="161" s="1"/>
  <c r="BP262" i="161"/>
  <c r="BQ262" i="161" s="1"/>
  <c r="BN262" i="161" s="1"/>
  <c r="BO262" i="161" s="1"/>
  <c r="BM262" i="161"/>
  <c r="AZ262" i="161"/>
  <c r="BT261" i="161"/>
  <c r="BU261" i="161" s="1"/>
  <c r="BR261" i="161" s="1"/>
  <c r="BS261" i="161" s="1"/>
  <c r="BP261" i="161"/>
  <c r="BQ261" i="161" s="1"/>
  <c r="BN261" i="161" s="1"/>
  <c r="BO261" i="161" s="1"/>
  <c r="BM261" i="161"/>
  <c r="AZ261" i="161"/>
  <c r="BT260" i="161"/>
  <c r="BU260" i="161" s="1"/>
  <c r="BR260" i="161" s="1"/>
  <c r="BS260" i="161" s="1"/>
  <c r="BP260" i="161"/>
  <c r="BQ260" i="161" s="1"/>
  <c r="BN260" i="161" s="1"/>
  <c r="BO260" i="161" s="1"/>
  <c r="BM260" i="161"/>
  <c r="AZ260" i="161"/>
  <c r="BT259" i="161"/>
  <c r="BU259" i="161" s="1"/>
  <c r="BR259" i="161" s="1"/>
  <c r="BS259" i="161" s="1"/>
  <c r="BP259" i="161"/>
  <c r="BQ259" i="161" s="1"/>
  <c r="BN259" i="161" s="1"/>
  <c r="BO259" i="161" s="1"/>
  <c r="BM259" i="161"/>
  <c r="AZ259" i="161"/>
  <c r="BT258" i="161"/>
  <c r="BU258" i="161" s="1"/>
  <c r="BR258" i="161" s="1"/>
  <c r="BS258" i="161" s="1"/>
  <c r="BP258" i="161"/>
  <c r="BQ258" i="161" s="1"/>
  <c r="BN258" i="161" s="1"/>
  <c r="BO258" i="161" s="1"/>
  <c r="BM258" i="161"/>
  <c r="AZ258" i="161"/>
  <c r="BT257" i="161"/>
  <c r="BU257" i="161" s="1"/>
  <c r="BR257" i="161" s="1"/>
  <c r="BS257" i="161" s="1"/>
  <c r="BP257" i="161"/>
  <c r="BQ257" i="161" s="1"/>
  <c r="BN257" i="161" s="1"/>
  <c r="BO257" i="161" s="1"/>
  <c r="BM257" i="161"/>
  <c r="AZ257" i="161"/>
  <c r="BT256" i="161"/>
  <c r="BU256" i="161" s="1"/>
  <c r="BR256" i="161" s="1"/>
  <c r="BS256" i="161" s="1"/>
  <c r="BP256" i="161"/>
  <c r="BQ256" i="161" s="1"/>
  <c r="BN256" i="161" s="1"/>
  <c r="BO256" i="161" s="1"/>
  <c r="BM256" i="161"/>
  <c r="BL256" i="161"/>
  <c r="AZ256" i="161"/>
  <c r="BT255" i="161"/>
  <c r="BU255" i="161" s="1"/>
  <c r="BR255" i="161" s="1"/>
  <c r="BS255" i="161" s="1"/>
  <c r="BP255" i="161"/>
  <c r="BQ255" i="161" s="1"/>
  <c r="BN255" i="161" s="1"/>
  <c r="BO255" i="161" s="1"/>
  <c r="BM255" i="161"/>
  <c r="BL255" i="161"/>
  <c r="AZ255" i="161"/>
  <c r="BT253" i="161"/>
  <c r="BU253" i="161" s="1"/>
  <c r="BR253" i="161" s="1"/>
  <c r="BS253" i="161" s="1"/>
  <c r="BP253" i="161"/>
  <c r="BQ253" i="161" s="1"/>
  <c r="BN253" i="161" s="1"/>
  <c r="BO253" i="161" s="1"/>
  <c r="BM253" i="161"/>
  <c r="AZ253" i="161"/>
  <c r="BT252" i="161"/>
  <c r="BU252" i="161" s="1"/>
  <c r="BR252" i="161" s="1"/>
  <c r="BS252" i="161" s="1"/>
  <c r="BP252" i="161"/>
  <c r="BQ252" i="161" s="1"/>
  <c r="BN252" i="161" s="1"/>
  <c r="BO252" i="161" s="1"/>
  <c r="BM252" i="161"/>
  <c r="AZ252" i="161"/>
  <c r="BT251" i="161"/>
  <c r="BU251" i="161" s="1"/>
  <c r="BR251" i="161" s="1"/>
  <c r="BS251" i="161" s="1"/>
  <c r="BP251" i="161"/>
  <c r="BQ251" i="161" s="1"/>
  <c r="BN251" i="161" s="1"/>
  <c r="BO251" i="161" s="1"/>
  <c r="BM251" i="161"/>
  <c r="AZ251" i="161"/>
  <c r="AO251" i="161"/>
  <c r="AP251" i="161" s="1"/>
  <c r="AJ251" i="161" s="1"/>
  <c r="A251" i="161" s="1"/>
  <c r="AM251" i="161"/>
  <c r="AN251" i="161" s="1"/>
  <c r="AH251" i="161" s="1"/>
  <c r="B251" i="161" s="1"/>
  <c r="U251" i="161"/>
  <c r="L251" i="161"/>
  <c r="M251" i="161" s="1"/>
  <c r="BT249" i="161"/>
  <c r="BU249" i="161" s="1"/>
  <c r="BR249" i="161" s="1"/>
  <c r="BS249" i="161" s="1"/>
  <c r="BP249" i="161"/>
  <c r="BQ249" i="161" s="1"/>
  <c r="BN249" i="161" s="1"/>
  <c r="BO249" i="161" s="1"/>
  <c r="BM249" i="161"/>
  <c r="AZ249" i="161"/>
  <c r="BT248" i="161"/>
  <c r="BU248" i="161" s="1"/>
  <c r="BR248" i="161" s="1"/>
  <c r="BS248" i="161" s="1"/>
  <c r="BP248" i="161"/>
  <c r="BQ248" i="161" s="1"/>
  <c r="BN248" i="161" s="1"/>
  <c r="BO248" i="161" s="1"/>
  <c r="BM248" i="161"/>
  <c r="AZ248" i="161"/>
  <c r="BT247" i="161"/>
  <c r="BU247" i="161" s="1"/>
  <c r="BR247" i="161" s="1"/>
  <c r="BS247" i="161" s="1"/>
  <c r="BP247" i="161"/>
  <c r="BQ247" i="161" s="1"/>
  <c r="BN247" i="161" s="1"/>
  <c r="BO247" i="161" s="1"/>
  <c r="BM247" i="161"/>
  <c r="AZ247" i="161"/>
  <c r="BT246" i="161"/>
  <c r="BU246" i="161" s="1"/>
  <c r="BR246" i="161" s="1"/>
  <c r="BS246" i="161" s="1"/>
  <c r="BP246" i="161"/>
  <c r="BQ246" i="161" s="1"/>
  <c r="BN246" i="161" s="1"/>
  <c r="BO246" i="161" s="1"/>
  <c r="BM246" i="161"/>
  <c r="AZ246" i="161"/>
  <c r="BT245" i="161"/>
  <c r="BU245" i="161" s="1"/>
  <c r="BR245" i="161" s="1"/>
  <c r="BS245" i="161" s="1"/>
  <c r="BP245" i="161"/>
  <c r="BQ245" i="161" s="1"/>
  <c r="BN245" i="161" s="1"/>
  <c r="BO245" i="161" s="1"/>
  <c r="BM245" i="161"/>
  <c r="AZ245" i="161"/>
  <c r="BT244" i="161"/>
  <c r="BU244" i="161" s="1"/>
  <c r="BR244" i="161" s="1"/>
  <c r="BS244" i="161" s="1"/>
  <c r="BP244" i="161"/>
  <c r="BQ244" i="161" s="1"/>
  <c r="BN244" i="161" s="1"/>
  <c r="BO244" i="161" s="1"/>
  <c r="BM244" i="161"/>
  <c r="AZ244" i="161"/>
  <c r="BT243" i="161"/>
  <c r="BU243" i="161" s="1"/>
  <c r="BR243" i="161" s="1"/>
  <c r="BS243" i="161" s="1"/>
  <c r="BP243" i="161"/>
  <c r="BQ243" i="161" s="1"/>
  <c r="BN243" i="161" s="1"/>
  <c r="BO243" i="161" s="1"/>
  <c r="BM243" i="161"/>
  <c r="AZ243" i="161"/>
  <c r="BT242" i="161"/>
  <c r="BU242" i="161" s="1"/>
  <c r="BR242" i="161" s="1"/>
  <c r="BS242" i="161" s="1"/>
  <c r="BP242" i="161"/>
  <c r="BQ242" i="161" s="1"/>
  <c r="BN242" i="161" s="1"/>
  <c r="BO242" i="161" s="1"/>
  <c r="BM242" i="161"/>
  <c r="AZ242" i="161"/>
  <c r="BT241" i="161"/>
  <c r="BU241" i="161" s="1"/>
  <c r="BR241" i="161" s="1"/>
  <c r="BS241" i="161" s="1"/>
  <c r="BP241" i="161"/>
  <c r="BQ241" i="161" s="1"/>
  <c r="BN241" i="161" s="1"/>
  <c r="BO241" i="161" s="1"/>
  <c r="BM241" i="161"/>
  <c r="AZ241" i="161"/>
  <c r="BT240" i="161"/>
  <c r="BU240" i="161" s="1"/>
  <c r="BR240" i="161" s="1"/>
  <c r="BS240" i="161" s="1"/>
  <c r="BP240" i="161"/>
  <c r="BQ240" i="161" s="1"/>
  <c r="BN240" i="161" s="1"/>
  <c r="BO240" i="161" s="1"/>
  <c r="BM240" i="161"/>
  <c r="AZ240" i="161"/>
  <c r="BT239" i="161"/>
  <c r="BU239" i="161" s="1"/>
  <c r="BR239" i="161" s="1"/>
  <c r="BS239" i="161" s="1"/>
  <c r="BP239" i="161"/>
  <c r="BQ239" i="161" s="1"/>
  <c r="BN239" i="161" s="1"/>
  <c r="BO239" i="161" s="1"/>
  <c r="BM239" i="161"/>
  <c r="AZ239" i="161"/>
  <c r="AO239" i="161"/>
  <c r="AP239" i="161" s="1"/>
  <c r="AJ239" i="161" s="1"/>
  <c r="A239" i="161" s="1"/>
  <c r="AM239" i="161"/>
  <c r="AN239" i="161" s="1"/>
  <c r="AH239" i="161" s="1"/>
  <c r="B239" i="161" s="1"/>
  <c r="U239" i="161"/>
  <c r="L239" i="161"/>
  <c r="X239" i="161" s="1"/>
  <c r="BT238" i="161"/>
  <c r="BU238" i="161" s="1"/>
  <c r="BR238" i="161" s="1"/>
  <c r="BS238" i="161" s="1"/>
  <c r="BP238" i="161"/>
  <c r="BQ238" i="161" s="1"/>
  <c r="BN238" i="161" s="1"/>
  <c r="BO238" i="161" s="1"/>
  <c r="BM238" i="161"/>
  <c r="AZ238" i="161"/>
  <c r="BT237" i="161"/>
  <c r="BU237" i="161" s="1"/>
  <c r="BR237" i="161" s="1"/>
  <c r="BS237" i="161" s="1"/>
  <c r="BP237" i="161"/>
  <c r="BQ237" i="161" s="1"/>
  <c r="BN237" i="161" s="1"/>
  <c r="BO237" i="161" s="1"/>
  <c r="BM237" i="161"/>
  <c r="AZ237" i="161"/>
  <c r="BT236" i="161"/>
  <c r="BU236" i="161" s="1"/>
  <c r="BR236" i="161" s="1"/>
  <c r="BS236" i="161" s="1"/>
  <c r="BP236" i="161"/>
  <c r="BQ236" i="161" s="1"/>
  <c r="BN236" i="161" s="1"/>
  <c r="BO236" i="161" s="1"/>
  <c r="BM236" i="161"/>
  <c r="AZ236" i="161"/>
  <c r="BT235" i="161"/>
  <c r="BU235" i="161" s="1"/>
  <c r="BR235" i="161" s="1"/>
  <c r="BS235" i="161" s="1"/>
  <c r="BP235" i="161"/>
  <c r="BQ235" i="161" s="1"/>
  <c r="BN235" i="161" s="1"/>
  <c r="BO235" i="161" s="1"/>
  <c r="BM235" i="161"/>
  <c r="AZ235" i="161"/>
  <c r="BT234" i="161"/>
  <c r="BU234" i="161" s="1"/>
  <c r="BR234" i="161" s="1"/>
  <c r="BS234" i="161" s="1"/>
  <c r="BP234" i="161"/>
  <c r="BQ234" i="161" s="1"/>
  <c r="BN234" i="161" s="1"/>
  <c r="BO234" i="161" s="1"/>
  <c r="BM234" i="161"/>
  <c r="AZ234" i="161"/>
  <c r="AO234" i="161"/>
  <c r="AP234" i="161" s="1"/>
  <c r="AJ234" i="161" s="1"/>
  <c r="A234" i="161" s="1"/>
  <c r="AM234" i="161"/>
  <c r="AN234" i="161" s="1"/>
  <c r="AH234" i="161" s="1"/>
  <c r="B234" i="161" s="1"/>
  <c r="U234" i="161"/>
  <c r="L234" i="161"/>
  <c r="BT233" i="161"/>
  <c r="BU233" i="161" s="1"/>
  <c r="BR233" i="161" s="1"/>
  <c r="BS233" i="161" s="1"/>
  <c r="BP233" i="161"/>
  <c r="BQ233" i="161" s="1"/>
  <c r="BN233" i="161" s="1"/>
  <c r="BO233" i="161" s="1"/>
  <c r="BM233" i="161"/>
  <c r="AZ233" i="161"/>
  <c r="BT232" i="161"/>
  <c r="BU232" i="161" s="1"/>
  <c r="BR232" i="161" s="1"/>
  <c r="BS232" i="161" s="1"/>
  <c r="BP232" i="161"/>
  <c r="BQ232" i="161" s="1"/>
  <c r="BN232" i="161" s="1"/>
  <c r="BO232" i="161" s="1"/>
  <c r="BM232" i="161"/>
  <c r="AZ232" i="161"/>
  <c r="BT231" i="161"/>
  <c r="BU231" i="161" s="1"/>
  <c r="BR231" i="161" s="1"/>
  <c r="BS231" i="161" s="1"/>
  <c r="BP231" i="161"/>
  <c r="BQ231" i="161" s="1"/>
  <c r="BN231" i="161" s="1"/>
  <c r="BO231" i="161" s="1"/>
  <c r="BM231" i="161"/>
  <c r="AZ231" i="161"/>
  <c r="BT230" i="161"/>
  <c r="BU230" i="161" s="1"/>
  <c r="BR230" i="161" s="1"/>
  <c r="BS230" i="161" s="1"/>
  <c r="BP230" i="161"/>
  <c r="BQ230" i="161" s="1"/>
  <c r="BN230" i="161" s="1"/>
  <c r="BO230" i="161" s="1"/>
  <c r="BM230" i="161"/>
  <c r="AZ230" i="161"/>
  <c r="BT229" i="161"/>
  <c r="BU229" i="161" s="1"/>
  <c r="BR229" i="161" s="1"/>
  <c r="BS229" i="161" s="1"/>
  <c r="BP229" i="161"/>
  <c r="BQ229" i="161" s="1"/>
  <c r="BN229" i="161" s="1"/>
  <c r="BO229" i="161" s="1"/>
  <c r="BM229" i="161"/>
  <c r="AZ229" i="161"/>
  <c r="AO229" i="161"/>
  <c r="AP229" i="161" s="1"/>
  <c r="AJ229" i="161" s="1"/>
  <c r="A229" i="161" s="1"/>
  <c r="AM229" i="161"/>
  <c r="AN229" i="161" s="1"/>
  <c r="AH229" i="161" s="1"/>
  <c r="B229" i="161" s="1"/>
  <c r="U229" i="161"/>
  <c r="L229" i="161"/>
  <c r="X229" i="161" s="1"/>
  <c r="BT228" i="161"/>
  <c r="BU228" i="161" s="1"/>
  <c r="BR228" i="161" s="1"/>
  <c r="BS228" i="161" s="1"/>
  <c r="BP228" i="161"/>
  <c r="BQ228" i="161" s="1"/>
  <c r="BN228" i="161" s="1"/>
  <c r="BO228" i="161" s="1"/>
  <c r="BM228" i="161"/>
  <c r="AZ228" i="161"/>
  <c r="BT227" i="161"/>
  <c r="BU227" i="161" s="1"/>
  <c r="BR227" i="161" s="1"/>
  <c r="BS227" i="161" s="1"/>
  <c r="BP227" i="161"/>
  <c r="BQ227" i="161" s="1"/>
  <c r="BN227" i="161" s="1"/>
  <c r="BO227" i="161" s="1"/>
  <c r="BM227" i="161"/>
  <c r="AZ227" i="161"/>
  <c r="BT226" i="161"/>
  <c r="BU226" i="161" s="1"/>
  <c r="BR226" i="161" s="1"/>
  <c r="BS226" i="161" s="1"/>
  <c r="BP226" i="161"/>
  <c r="BQ226" i="161" s="1"/>
  <c r="BN226" i="161" s="1"/>
  <c r="BO226" i="161" s="1"/>
  <c r="BM226" i="161"/>
  <c r="AZ226" i="161"/>
  <c r="AO226" i="161"/>
  <c r="AP226" i="161" s="1"/>
  <c r="AJ226" i="161" s="1"/>
  <c r="A226" i="161" s="1"/>
  <c r="AM226" i="161"/>
  <c r="AN226" i="161" s="1"/>
  <c r="AH226" i="161" s="1"/>
  <c r="B226" i="161" s="1"/>
  <c r="U226" i="161"/>
  <c r="L226" i="161"/>
  <c r="X226" i="161" s="1"/>
  <c r="BT224" i="161"/>
  <c r="BU224" i="161" s="1"/>
  <c r="BR224" i="161" s="1"/>
  <c r="BS224" i="161" s="1"/>
  <c r="BP224" i="161"/>
  <c r="BQ224" i="161" s="1"/>
  <c r="BN224" i="161" s="1"/>
  <c r="BO224" i="161" s="1"/>
  <c r="BM224" i="161"/>
  <c r="AZ224" i="161"/>
  <c r="BT223" i="161"/>
  <c r="BU223" i="161" s="1"/>
  <c r="BR223" i="161" s="1"/>
  <c r="BS223" i="161" s="1"/>
  <c r="BP223" i="161"/>
  <c r="BQ223" i="161" s="1"/>
  <c r="BN223" i="161" s="1"/>
  <c r="BO223" i="161" s="1"/>
  <c r="BM223" i="161"/>
  <c r="AZ223" i="161"/>
  <c r="BT222" i="161"/>
  <c r="BU222" i="161" s="1"/>
  <c r="BR222" i="161" s="1"/>
  <c r="BS222" i="161" s="1"/>
  <c r="BP222" i="161"/>
  <c r="BQ222" i="161" s="1"/>
  <c r="BN222" i="161" s="1"/>
  <c r="BO222" i="161" s="1"/>
  <c r="BM222" i="161"/>
  <c r="AZ222" i="161"/>
  <c r="BT221" i="161"/>
  <c r="BU221" i="161" s="1"/>
  <c r="BR221" i="161" s="1"/>
  <c r="BS221" i="161" s="1"/>
  <c r="BP221" i="161"/>
  <c r="BQ221" i="161" s="1"/>
  <c r="BN221" i="161" s="1"/>
  <c r="BO221" i="161" s="1"/>
  <c r="BM221" i="161"/>
  <c r="AZ221" i="161"/>
  <c r="BT220" i="161"/>
  <c r="BU220" i="161" s="1"/>
  <c r="BR220" i="161" s="1"/>
  <c r="BS220" i="161" s="1"/>
  <c r="BP220" i="161"/>
  <c r="BQ220" i="161" s="1"/>
  <c r="BN220" i="161" s="1"/>
  <c r="BO220" i="161" s="1"/>
  <c r="BM220" i="161"/>
  <c r="AZ220" i="161"/>
  <c r="AO220" i="161"/>
  <c r="AP220" i="161" s="1"/>
  <c r="AJ220" i="161" s="1"/>
  <c r="A220" i="161" s="1"/>
  <c r="AM220" i="161"/>
  <c r="AN220" i="161" s="1"/>
  <c r="AH220" i="161" s="1"/>
  <c r="B220" i="161" s="1"/>
  <c r="U220" i="161"/>
  <c r="L220" i="161"/>
  <c r="N220" i="161" s="1"/>
  <c r="BT218" i="161"/>
  <c r="BU218" i="161" s="1"/>
  <c r="BR218" i="161" s="1"/>
  <c r="BS218" i="161" s="1"/>
  <c r="BP218" i="161"/>
  <c r="BQ218" i="161" s="1"/>
  <c r="BN218" i="161" s="1"/>
  <c r="BO218" i="161" s="1"/>
  <c r="BM218" i="161"/>
  <c r="AZ218" i="161"/>
  <c r="BT217" i="161"/>
  <c r="BU217" i="161" s="1"/>
  <c r="BR217" i="161" s="1"/>
  <c r="BS217" i="161" s="1"/>
  <c r="BP217" i="161"/>
  <c r="BQ217" i="161" s="1"/>
  <c r="BN217" i="161" s="1"/>
  <c r="BO217" i="161" s="1"/>
  <c r="BM217" i="161"/>
  <c r="AZ217" i="161"/>
  <c r="BT216" i="161"/>
  <c r="BU216" i="161" s="1"/>
  <c r="BR216" i="161" s="1"/>
  <c r="BS216" i="161" s="1"/>
  <c r="BP216" i="161"/>
  <c r="BQ216" i="161" s="1"/>
  <c r="BN216" i="161" s="1"/>
  <c r="BO216" i="161" s="1"/>
  <c r="BM216" i="161"/>
  <c r="AZ216" i="161"/>
  <c r="AO216" i="161"/>
  <c r="AP216" i="161" s="1"/>
  <c r="AJ216" i="161" s="1"/>
  <c r="A216" i="161" s="1"/>
  <c r="AM216" i="161"/>
  <c r="AN216" i="161" s="1"/>
  <c r="AH216" i="161" s="1"/>
  <c r="B216" i="161" s="1"/>
  <c r="U216" i="161"/>
  <c r="L216" i="161"/>
  <c r="M216" i="161" s="1"/>
  <c r="BT215" i="161"/>
  <c r="BU215" i="161" s="1"/>
  <c r="BR215" i="161" s="1"/>
  <c r="BS215" i="161" s="1"/>
  <c r="BP215" i="161"/>
  <c r="BQ215" i="161" s="1"/>
  <c r="BN215" i="161" s="1"/>
  <c r="BO215" i="161" s="1"/>
  <c r="BM215" i="161"/>
  <c r="AZ215" i="161"/>
  <c r="BT214" i="161"/>
  <c r="BU214" i="161" s="1"/>
  <c r="BR214" i="161" s="1"/>
  <c r="BS214" i="161" s="1"/>
  <c r="BP214" i="161"/>
  <c r="BQ214" i="161" s="1"/>
  <c r="BN214" i="161" s="1"/>
  <c r="BO214" i="161" s="1"/>
  <c r="BM214" i="161"/>
  <c r="AZ214" i="161"/>
  <c r="AO214" i="161"/>
  <c r="AP214" i="161" s="1"/>
  <c r="AJ214" i="161" s="1"/>
  <c r="A214" i="161" s="1"/>
  <c r="AM214" i="161"/>
  <c r="AN214" i="161" s="1"/>
  <c r="AH214" i="161" s="1"/>
  <c r="B214" i="161" s="1"/>
  <c r="U214" i="161"/>
  <c r="L214" i="161"/>
  <c r="BT213" i="161"/>
  <c r="BU213" i="161" s="1"/>
  <c r="BR213" i="161" s="1"/>
  <c r="BS213" i="161" s="1"/>
  <c r="BP213" i="161"/>
  <c r="BQ213" i="161" s="1"/>
  <c r="BN213" i="161" s="1"/>
  <c r="BO213" i="161" s="1"/>
  <c r="BM213" i="161"/>
  <c r="AZ213" i="161"/>
  <c r="BT212" i="161"/>
  <c r="BU212" i="161" s="1"/>
  <c r="BR212" i="161" s="1"/>
  <c r="BS212" i="161" s="1"/>
  <c r="BP212" i="161"/>
  <c r="BQ212" i="161" s="1"/>
  <c r="BN212" i="161" s="1"/>
  <c r="BO212" i="161" s="1"/>
  <c r="BM212" i="161"/>
  <c r="AZ212" i="161"/>
  <c r="AO212" i="161"/>
  <c r="AP212" i="161" s="1"/>
  <c r="AJ212" i="161" s="1"/>
  <c r="A212" i="161" s="1"/>
  <c r="AM212" i="161"/>
  <c r="AN212" i="161" s="1"/>
  <c r="AH212" i="161" s="1"/>
  <c r="B212" i="161" s="1"/>
  <c r="U212" i="161"/>
  <c r="L212" i="161"/>
  <c r="M212" i="161" s="1"/>
  <c r="BT211" i="161"/>
  <c r="BU211" i="161" s="1"/>
  <c r="BR211" i="161" s="1"/>
  <c r="BS211" i="161" s="1"/>
  <c r="BP211" i="161"/>
  <c r="BQ211" i="161" s="1"/>
  <c r="BN211" i="161" s="1"/>
  <c r="BO211" i="161" s="1"/>
  <c r="BM211" i="161"/>
  <c r="AZ211" i="161"/>
  <c r="BT210" i="161"/>
  <c r="BU210" i="161" s="1"/>
  <c r="BR210" i="161" s="1"/>
  <c r="BS210" i="161" s="1"/>
  <c r="BP210" i="161"/>
  <c r="BQ210" i="161" s="1"/>
  <c r="BN210" i="161" s="1"/>
  <c r="BO210" i="161" s="1"/>
  <c r="BM210" i="161"/>
  <c r="AZ210" i="161"/>
  <c r="BT209" i="161"/>
  <c r="BU209" i="161" s="1"/>
  <c r="BR209" i="161" s="1"/>
  <c r="BS209" i="161" s="1"/>
  <c r="BP209" i="161"/>
  <c r="BQ209" i="161" s="1"/>
  <c r="BN209" i="161" s="1"/>
  <c r="BO209" i="161" s="1"/>
  <c r="BM209" i="161"/>
  <c r="AZ209" i="161"/>
  <c r="BT208" i="161"/>
  <c r="BU208" i="161" s="1"/>
  <c r="BR208" i="161" s="1"/>
  <c r="BS208" i="161" s="1"/>
  <c r="BP208" i="161"/>
  <c r="BQ208" i="161" s="1"/>
  <c r="BN208" i="161" s="1"/>
  <c r="BO208" i="161" s="1"/>
  <c r="BM208" i="161"/>
  <c r="AZ208" i="161"/>
  <c r="BT207" i="161"/>
  <c r="BU207" i="161" s="1"/>
  <c r="BR207" i="161" s="1"/>
  <c r="BS207" i="161" s="1"/>
  <c r="BP207" i="161"/>
  <c r="BQ207" i="161" s="1"/>
  <c r="BN207" i="161" s="1"/>
  <c r="BO207" i="161" s="1"/>
  <c r="BM207" i="161"/>
  <c r="AZ207" i="161"/>
  <c r="BT206" i="161"/>
  <c r="BU206" i="161" s="1"/>
  <c r="BR206" i="161" s="1"/>
  <c r="BS206" i="161" s="1"/>
  <c r="BP206" i="161"/>
  <c r="BQ206" i="161" s="1"/>
  <c r="BN206" i="161" s="1"/>
  <c r="BO206" i="161" s="1"/>
  <c r="BM206" i="161"/>
  <c r="AZ206" i="161"/>
  <c r="AO206" i="161"/>
  <c r="AP206" i="161" s="1"/>
  <c r="AJ206" i="161" s="1"/>
  <c r="A206" i="161" s="1"/>
  <c r="AM206" i="161"/>
  <c r="AN206" i="161" s="1"/>
  <c r="AH206" i="161" s="1"/>
  <c r="B206" i="161" s="1"/>
  <c r="U206" i="161"/>
  <c r="L206" i="161"/>
  <c r="M206" i="161" s="1"/>
  <c r="BT205" i="161"/>
  <c r="BU205" i="161" s="1"/>
  <c r="BR205" i="161" s="1"/>
  <c r="BS205" i="161" s="1"/>
  <c r="BP205" i="161"/>
  <c r="BQ205" i="161" s="1"/>
  <c r="BN205" i="161" s="1"/>
  <c r="BO205" i="161" s="1"/>
  <c r="BM205" i="161"/>
  <c r="AZ205" i="161"/>
  <c r="BT204" i="161"/>
  <c r="BU204" i="161" s="1"/>
  <c r="BR204" i="161" s="1"/>
  <c r="BS204" i="161" s="1"/>
  <c r="BP204" i="161"/>
  <c r="BQ204" i="161" s="1"/>
  <c r="BN204" i="161" s="1"/>
  <c r="BO204" i="161" s="1"/>
  <c r="BM204" i="161"/>
  <c r="AZ204" i="161"/>
  <c r="BT203" i="161"/>
  <c r="BU203" i="161" s="1"/>
  <c r="BR203" i="161" s="1"/>
  <c r="BS203" i="161" s="1"/>
  <c r="BP203" i="161"/>
  <c r="BQ203" i="161" s="1"/>
  <c r="BN203" i="161" s="1"/>
  <c r="BO203" i="161" s="1"/>
  <c r="BM203" i="161"/>
  <c r="AZ203" i="161"/>
  <c r="AO203" i="161"/>
  <c r="AP203" i="161" s="1"/>
  <c r="AJ203" i="161" s="1"/>
  <c r="A203" i="161" s="1"/>
  <c r="AM203" i="161"/>
  <c r="AN203" i="161" s="1"/>
  <c r="AH203" i="161" s="1"/>
  <c r="B203" i="161" s="1"/>
  <c r="U203" i="161"/>
  <c r="L203" i="161"/>
  <c r="N203" i="161" s="1"/>
  <c r="BT202" i="161"/>
  <c r="BU202" i="161" s="1"/>
  <c r="BR202" i="161" s="1"/>
  <c r="BS202" i="161" s="1"/>
  <c r="BP202" i="161"/>
  <c r="BQ202" i="161" s="1"/>
  <c r="BN202" i="161" s="1"/>
  <c r="BO202" i="161" s="1"/>
  <c r="BM202" i="161"/>
  <c r="AZ202" i="161"/>
  <c r="BT201" i="161"/>
  <c r="BU201" i="161" s="1"/>
  <c r="BR201" i="161" s="1"/>
  <c r="BS201" i="161" s="1"/>
  <c r="BP201" i="161"/>
  <c r="BQ201" i="161" s="1"/>
  <c r="BN201" i="161" s="1"/>
  <c r="BO201" i="161" s="1"/>
  <c r="BM201" i="161"/>
  <c r="AZ201" i="161"/>
  <c r="BT200" i="161"/>
  <c r="BU200" i="161" s="1"/>
  <c r="BR200" i="161" s="1"/>
  <c r="BS200" i="161" s="1"/>
  <c r="BP200" i="161"/>
  <c r="BQ200" i="161" s="1"/>
  <c r="BN200" i="161" s="1"/>
  <c r="BO200" i="161" s="1"/>
  <c r="BM200" i="161"/>
  <c r="AZ200" i="161"/>
  <c r="BT199" i="161"/>
  <c r="BU199" i="161" s="1"/>
  <c r="BR199" i="161" s="1"/>
  <c r="BS199" i="161" s="1"/>
  <c r="BP199" i="161"/>
  <c r="BQ199" i="161" s="1"/>
  <c r="BN199" i="161" s="1"/>
  <c r="BO199" i="161" s="1"/>
  <c r="BM199" i="161"/>
  <c r="AZ199" i="161"/>
  <c r="BT198" i="161"/>
  <c r="BU198" i="161" s="1"/>
  <c r="BR198" i="161" s="1"/>
  <c r="BS198" i="161" s="1"/>
  <c r="BP198" i="161"/>
  <c r="BQ198" i="161" s="1"/>
  <c r="BN198" i="161" s="1"/>
  <c r="BO198" i="161" s="1"/>
  <c r="BM198" i="161"/>
  <c r="AZ198" i="161"/>
  <c r="BT197" i="161"/>
  <c r="BU197" i="161" s="1"/>
  <c r="BR197" i="161" s="1"/>
  <c r="BS197" i="161" s="1"/>
  <c r="BQ197" i="161"/>
  <c r="BN197" i="161" s="1"/>
  <c r="BO197" i="161" s="1"/>
  <c r="BP197" i="161"/>
  <c r="BM197" i="161"/>
  <c r="AZ197" i="161"/>
  <c r="BT196" i="161"/>
  <c r="BU196" i="161" s="1"/>
  <c r="BR196" i="161" s="1"/>
  <c r="BS196" i="161" s="1"/>
  <c r="BP196" i="161"/>
  <c r="BQ196" i="161" s="1"/>
  <c r="BN196" i="161" s="1"/>
  <c r="BO196" i="161" s="1"/>
  <c r="BM196" i="161"/>
  <c r="AZ196" i="161"/>
  <c r="BT195" i="161"/>
  <c r="BU195" i="161" s="1"/>
  <c r="BR195" i="161" s="1"/>
  <c r="BS195" i="161" s="1"/>
  <c r="BP195" i="161"/>
  <c r="BQ195" i="161" s="1"/>
  <c r="BN195" i="161" s="1"/>
  <c r="BO195" i="161" s="1"/>
  <c r="BM195" i="161"/>
  <c r="AZ195" i="161"/>
  <c r="BT194" i="161"/>
  <c r="BU194" i="161" s="1"/>
  <c r="BR194" i="161" s="1"/>
  <c r="BS194" i="161" s="1"/>
  <c r="BP194" i="161"/>
  <c r="BQ194" i="161" s="1"/>
  <c r="BN194" i="161" s="1"/>
  <c r="BO194" i="161" s="1"/>
  <c r="BM194" i="161"/>
  <c r="AZ194" i="161"/>
  <c r="AO194" i="161"/>
  <c r="AP194" i="161" s="1"/>
  <c r="AJ194" i="161" s="1"/>
  <c r="A194" i="161" s="1"/>
  <c r="AM194" i="161"/>
  <c r="AN194" i="161" s="1"/>
  <c r="AH194" i="161" s="1"/>
  <c r="B194" i="161" s="1"/>
  <c r="U194" i="161"/>
  <c r="L194" i="161"/>
  <c r="BT193" i="161"/>
  <c r="BU193" i="161" s="1"/>
  <c r="BR193" i="161" s="1"/>
  <c r="BS193" i="161" s="1"/>
  <c r="BP193" i="161"/>
  <c r="BQ193" i="161" s="1"/>
  <c r="BN193" i="161" s="1"/>
  <c r="BO193" i="161" s="1"/>
  <c r="BM193" i="161"/>
  <c r="AZ193" i="161"/>
  <c r="AO193" i="161"/>
  <c r="AP193" i="161" s="1"/>
  <c r="AJ193" i="161" s="1"/>
  <c r="A193" i="161" s="1"/>
  <c r="AM193" i="161"/>
  <c r="AN193" i="161" s="1"/>
  <c r="AH193" i="161" s="1"/>
  <c r="B193" i="161" s="1"/>
  <c r="U193" i="161"/>
  <c r="L193" i="161"/>
  <c r="BT192" i="161"/>
  <c r="BU192" i="161" s="1"/>
  <c r="BR192" i="161" s="1"/>
  <c r="BS192" i="161" s="1"/>
  <c r="BP192" i="161"/>
  <c r="BQ192" i="161" s="1"/>
  <c r="BN192" i="161" s="1"/>
  <c r="BO192" i="161" s="1"/>
  <c r="BM192" i="161"/>
  <c r="AZ192" i="161"/>
  <c r="BT191" i="161"/>
  <c r="BU191" i="161" s="1"/>
  <c r="BR191" i="161" s="1"/>
  <c r="BS191" i="161" s="1"/>
  <c r="BP191" i="161"/>
  <c r="BQ191" i="161" s="1"/>
  <c r="BN191" i="161" s="1"/>
  <c r="BO191" i="161" s="1"/>
  <c r="BM191" i="161"/>
  <c r="AZ191" i="161"/>
  <c r="AO191" i="161"/>
  <c r="AP191" i="161" s="1"/>
  <c r="AJ191" i="161" s="1"/>
  <c r="A191" i="161" s="1"/>
  <c r="AM191" i="161"/>
  <c r="AN191" i="161" s="1"/>
  <c r="AH191" i="161" s="1"/>
  <c r="B191" i="161" s="1"/>
  <c r="U191" i="161"/>
  <c r="L191" i="161"/>
  <c r="BT190" i="161"/>
  <c r="BU190" i="161" s="1"/>
  <c r="BR190" i="161" s="1"/>
  <c r="BS190" i="161" s="1"/>
  <c r="BP190" i="161"/>
  <c r="BQ190" i="161" s="1"/>
  <c r="BN190" i="161" s="1"/>
  <c r="BO190" i="161" s="1"/>
  <c r="BM190" i="161"/>
  <c r="AZ190" i="161"/>
  <c r="BT189" i="161"/>
  <c r="BU189" i="161" s="1"/>
  <c r="BR189" i="161" s="1"/>
  <c r="BS189" i="161" s="1"/>
  <c r="BP189" i="161"/>
  <c r="BQ189" i="161" s="1"/>
  <c r="BN189" i="161" s="1"/>
  <c r="BO189" i="161" s="1"/>
  <c r="BM189" i="161"/>
  <c r="AZ189" i="161"/>
  <c r="BT188" i="161"/>
  <c r="BU188" i="161" s="1"/>
  <c r="BR188" i="161" s="1"/>
  <c r="BS188" i="161" s="1"/>
  <c r="BP188" i="161"/>
  <c r="BQ188" i="161" s="1"/>
  <c r="BN188" i="161" s="1"/>
  <c r="BO188" i="161" s="1"/>
  <c r="BM188" i="161"/>
  <c r="AZ188" i="161"/>
  <c r="AO188" i="161"/>
  <c r="AP188" i="161" s="1"/>
  <c r="AJ188" i="161" s="1"/>
  <c r="A188" i="161" s="1"/>
  <c r="AM188" i="161"/>
  <c r="AN188" i="161" s="1"/>
  <c r="AH188" i="161" s="1"/>
  <c r="B188" i="161" s="1"/>
  <c r="U188" i="161"/>
  <c r="L188" i="161"/>
  <c r="M188" i="161" s="1"/>
  <c r="BT187" i="161"/>
  <c r="BU187" i="161" s="1"/>
  <c r="BR187" i="161" s="1"/>
  <c r="BS187" i="161" s="1"/>
  <c r="BP187" i="161"/>
  <c r="BQ187" i="161" s="1"/>
  <c r="BN187" i="161" s="1"/>
  <c r="BO187" i="161" s="1"/>
  <c r="BM187" i="161"/>
  <c r="AZ187" i="161"/>
  <c r="BT186" i="161"/>
  <c r="BU186" i="161" s="1"/>
  <c r="BR186" i="161" s="1"/>
  <c r="BS186" i="161" s="1"/>
  <c r="BP186" i="161"/>
  <c r="BQ186" i="161" s="1"/>
  <c r="BN186" i="161" s="1"/>
  <c r="BO186" i="161" s="1"/>
  <c r="BM186" i="161"/>
  <c r="AZ186" i="161"/>
  <c r="BT185" i="161"/>
  <c r="BU185" i="161" s="1"/>
  <c r="BR185" i="161" s="1"/>
  <c r="BS185" i="161" s="1"/>
  <c r="BP185" i="161"/>
  <c r="BQ185" i="161" s="1"/>
  <c r="BN185" i="161" s="1"/>
  <c r="BO185" i="161" s="1"/>
  <c r="BM185" i="161"/>
  <c r="AZ185" i="161"/>
  <c r="BT184" i="161"/>
  <c r="BU184" i="161" s="1"/>
  <c r="BR184" i="161" s="1"/>
  <c r="BS184" i="161" s="1"/>
  <c r="BP184" i="161"/>
  <c r="BQ184" i="161" s="1"/>
  <c r="BN184" i="161" s="1"/>
  <c r="BO184" i="161" s="1"/>
  <c r="BM184" i="161"/>
  <c r="AZ184" i="161"/>
  <c r="AO184" i="161"/>
  <c r="AP184" i="161" s="1"/>
  <c r="AJ184" i="161" s="1"/>
  <c r="A184" i="161" s="1"/>
  <c r="AM184" i="161"/>
  <c r="AN184" i="161" s="1"/>
  <c r="AH184" i="161" s="1"/>
  <c r="B184" i="161" s="1"/>
  <c r="U184" i="161"/>
  <c r="L184" i="161"/>
  <c r="BT183" i="161"/>
  <c r="BU183" i="161" s="1"/>
  <c r="BR183" i="161" s="1"/>
  <c r="BS183" i="161" s="1"/>
  <c r="BP183" i="161"/>
  <c r="BQ183" i="161" s="1"/>
  <c r="BN183" i="161" s="1"/>
  <c r="BO183" i="161" s="1"/>
  <c r="BM183" i="161"/>
  <c r="AZ183" i="161"/>
  <c r="BT182" i="161"/>
  <c r="BU182" i="161" s="1"/>
  <c r="BR182" i="161" s="1"/>
  <c r="BS182" i="161" s="1"/>
  <c r="BP182" i="161"/>
  <c r="BQ182" i="161" s="1"/>
  <c r="BN182" i="161" s="1"/>
  <c r="BO182" i="161" s="1"/>
  <c r="BM182" i="161"/>
  <c r="AZ182" i="161"/>
  <c r="BT181" i="161"/>
  <c r="BU181" i="161" s="1"/>
  <c r="BR181" i="161" s="1"/>
  <c r="BS181" i="161" s="1"/>
  <c r="BP181" i="161"/>
  <c r="BQ181" i="161" s="1"/>
  <c r="BN181" i="161" s="1"/>
  <c r="BO181" i="161" s="1"/>
  <c r="BM181" i="161"/>
  <c r="AZ181" i="161"/>
  <c r="AO181" i="161"/>
  <c r="AP181" i="161" s="1"/>
  <c r="AJ181" i="161" s="1"/>
  <c r="A181" i="161" s="1"/>
  <c r="AM181" i="161"/>
  <c r="AN181" i="161" s="1"/>
  <c r="AH181" i="161" s="1"/>
  <c r="B181" i="161" s="1"/>
  <c r="U181" i="161"/>
  <c r="L181" i="161"/>
  <c r="M181" i="161" s="1"/>
  <c r="BT179" i="161"/>
  <c r="BU179" i="161" s="1"/>
  <c r="BR179" i="161" s="1"/>
  <c r="BS179" i="161" s="1"/>
  <c r="BP179" i="161"/>
  <c r="BQ179" i="161" s="1"/>
  <c r="BN179" i="161" s="1"/>
  <c r="BO179" i="161" s="1"/>
  <c r="BM179" i="161"/>
  <c r="AZ179" i="161"/>
  <c r="BT178" i="161"/>
  <c r="BU178" i="161" s="1"/>
  <c r="BR178" i="161" s="1"/>
  <c r="BS178" i="161" s="1"/>
  <c r="BP178" i="161"/>
  <c r="BQ178" i="161" s="1"/>
  <c r="BN178" i="161" s="1"/>
  <c r="BO178" i="161" s="1"/>
  <c r="BM178" i="161"/>
  <c r="AZ178" i="161"/>
  <c r="BU177" i="161"/>
  <c r="BR177" i="161" s="1"/>
  <c r="BS177" i="161" s="1"/>
  <c r="BT177" i="161"/>
  <c r="BP177" i="161"/>
  <c r="BQ177" i="161" s="1"/>
  <c r="BN177" i="161" s="1"/>
  <c r="BO177" i="161" s="1"/>
  <c r="BM177" i="161"/>
  <c r="AZ177" i="161"/>
  <c r="BT176" i="161"/>
  <c r="BU176" i="161" s="1"/>
  <c r="BR176" i="161" s="1"/>
  <c r="BS176" i="161" s="1"/>
  <c r="BP176" i="161"/>
  <c r="BQ176" i="161" s="1"/>
  <c r="BN176" i="161" s="1"/>
  <c r="BO176" i="161" s="1"/>
  <c r="BM176" i="161"/>
  <c r="AZ176" i="161"/>
  <c r="BT175" i="161"/>
  <c r="BU175" i="161" s="1"/>
  <c r="BR175" i="161" s="1"/>
  <c r="BS175" i="161" s="1"/>
  <c r="BP175" i="161"/>
  <c r="BQ175" i="161" s="1"/>
  <c r="BN175" i="161" s="1"/>
  <c r="BO175" i="161" s="1"/>
  <c r="BM175" i="161"/>
  <c r="AZ175" i="161"/>
  <c r="BT174" i="161"/>
  <c r="BU174" i="161" s="1"/>
  <c r="BR174" i="161" s="1"/>
  <c r="BS174" i="161" s="1"/>
  <c r="BP174" i="161"/>
  <c r="BQ174" i="161" s="1"/>
  <c r="BN174" i="161" s="1"/>
  <c r="BO174" i="161" s="1"/>
  <c r="BM174" i="161"/>
  <c r="AZ174" i="161"/>
  <c r="BT173" i="161"/>
  <c r="BU173" i="161" s="1"/>
  <c r="BR173" i="161" s="1"/>
  <c r="BS173" i="161" s="1"/>
  <c r="BP173" i="161"/>
  <c r="BQ173" i="161" s="1"/>
  <c r="BN173" i="161" s="1"/>
  <c r="BO173" i="161" s="1"/>
  <c r="BM173" i="161"/>
  <c r="AZ173" i="161"/>
  <c r="BT172" i="161"/>
  <c r="BU172" i="161" s="1"/>
  <c r="BR172" i="161" s="1"/>
  <c r="BS172" i="161" s="1"/>
  <c r="BP172" i="161"/>
  <c r="BQ172" i="161" s="1"/>
  <c r="BN172" i="161" s="1"/>
  <c r="BO172" i="161" s="1"/>
  <c r="BM172" i="161"/>
  <c r="AZ172" i="161"/>
  <c r="BT171" i="161"/>
  <c r="BU171" i="161" s="1"/>
  <c r="BR171" i="161" s="1"/>
  <c r="BS171" i="161" s="1"/>
  <c r="BP171" i="161"/>
  <c r="BQ171" i="161" s="1"/>
  <c r="BN171" i="161" s="1"/>
  <c r="BO171" i="161" s="1"/>
  <c r="BM171" i="161"/>
  <c r="AZ171" i="161"/>
  <c r="BT170" i="161"/>
  <c r="BU170" i="161" s="1"/>
  <c r="BR170" i="161" s="1"/>
  <c r="BS170" i="161" s="1"/>
  <c r="BP170" i="161"/>
  <c r="BQ170" i="161" s="1"/>
  <c r="BN170" i="161" s="1"/>
  <c r="BO170" i="161" s="1"/>
  <c r="BM170" i="161"/>
  <c r="AZ170" i="161"/>
  <c r="AO170" i="161"/>
  <c r="AP170" i="161" s="1"/>
  <c r="AJ170" i="161" s="1"/>
  <c r="A170" i="161" s="1"/>
  <c r="AM170" i="161"/>
  <c r="AN170" i="161" s="1"/>
  <c r="AH170" i="161" s="1"/>
  <c r="B170" i="161" s="1"/>
  <c r="U170" i="161"/>
  <c r="L170" i="161"/>
  <c r="BT169" i="161"/>
  <c r="BU169" i="161" s="1"/>
  <c r="BR169" i="161" s="1"/>
  <c r="BS169" i="161" s="1"/>
  <c r="BP169" i="161"/>
  <c r="BQ169" i="161" s="1"/>
  <c r="BN169" i="161" s="1"/>
  <c r="BO169" i="161" s="1"/>
  <c r="BM169" i="161"/>
  <c r="AZ169" i="161"/>
  <c r="BT168" i="161"/>
  <c r="BU168" i="161" s="1"/>
  <c r="BR168" i="161" s="1"/>
  <c r="BS168" i="161" s="1"/>
  <c r="BP168" i="161"/>
  <c r="BQ168" i="161" s="1"/>
  <c r="BN168" i="161" s="1"/>
  <c r="BO168" i="161" s="1"/>
  <c r="BM168" i="161"/>
  <c r="AZ168" i="161"/>
  <c r="BT167" i="161"/>
  <c r="BU167" i="161" s="1"/>
  <c r="BR167" i="161" s="1"/>
  <c r="BS167" i="161" s="1"/>
  <c r="BP167" i="161"/>
  <c r="BQ167" i="161" s="1"/>
  <c r="BN167" i="161" s="1"/>
  <c r="BO167" i="161" s="1"/>
  <c r="BM167" i="161"/>
  <c r="AZ167" i="161"/>
  <c r="BT166" i="161"/>
  <c r="BU166" i="161" s="1"/>
  <c r="BR166" i="161" s="1"/>
  <c r="BS166" i="161" s="1"/>
  <c r="BP166" i="161"/>
  <c r="BQ166" i="161" s="1"/>
  <c r="BN166" i="161" s="1"/>
  <c r="BO166" i="161" s="1"/>
  <c r="BM166" i="161"/>
  <c r="AZ166" i="161"/>
  <c r="AO166" i="161"/>
  <c r="AP166" i="161" s="1"/>
  <c r="AJ166" i="161" s="1"/>
  <c r="A166" i="161" s="1"/>
  <c r="AM166" i="161"/>
  <c r="AN166" i="161" s="1"/>
  <c r="AH166" i="161" s="1"/>
  <c r="B166" i="161" s="1"/>
  <c r="U166" i="161"/>
  <c r="L166" i="161"/>
  <c r="M166" i="161" s="1"/>
  <c r="BT165" i="161"/>
  <c r="BU165" i="161" s="1"/>
  <c r="BR165" i="161" s="1"/>
  <c r="BS165" i="161" s="1"/>
  <c r="BP165" i="161"/>
  <c r="BQ165" i="161" s="1"/>
  <c r="BN165" i="161" s="1"/>
  <c r="BO165" i="161" s="1"/>
  <c r="BM165" i="161"/>
  <c r="AZ165" i="161"/>
  <c r="BT164" i="161"/>
  <c r="BU164" i="161" s="1"/>
  <c r="BR164" i="161" s="1"/>
  <c r="BS164" i="161" s="1"/>
  <c r="BP164" i="161"/>
  <c r="BQ164" i="161" s="1"/>
  <c r="BN164" i="161" s="1"/>
  <c r="BO164" i="161" s="1"/>
  <c r="BM164" i="161"/>
  <c r="AZ164" i="161"/>
  <c r="AO164" i="161"/>
  <c r="AP164" i="161" s="1"/>
  <c r="AJ164" i="161" s="1"/>
  <c r="A164" i="161" s="1"/>
  <c r="AM164" i="161"/>
  <c r="AN164" i="161" s="1"/>
  <c r="AH164" i="161" s="1"/>
  <c r="B164" i="161" s="1"/>
  <c r="U164" i="161"/>
  <c r="L164" i="161"/>
  <c r="M164" i="161" s="1"/>
  <c r="BT163" i="161"/>
  <c r="BU163" i="161" s="1"/>
  <c r="BR163" i="161" s="1"/>
  <c r="BS163" i="161" s="1"/>
  <c r="BP163" i="161"/>
  <c r="BQ163" i="161" s="1"/>
  <c r="BN163" i="161" s="1"/>
  <c r="BO163" i="161" s="1"/>
  <c r="BM163" i="161"/>
  <c r="AZ163" i="161"/>
  <c r="BT162" i="161"/>
  <c r="BU162" i="161" s="1"/>
  <c r="BR162" i="161" s="1"/>
  <c r="BS162" i="161" s="1"/>
  <c r="BP162" i="161"/>
  <c r="BQ162" i="161" s="1"/>
  <c r="BN162" i="161" s="1"/>
  <c r="BO162" i="161" s="1"/>
  <c r="BM162" i="161"/>
  <c r="AZ162" i="161"/>
  <c r="BT161" i="161"/>
  <c r="BU161" i="161" s="1"/>
  <c r="BR161" i="161" s="1"/>
  <c r="BS161" i="161" s="1"/>
  <c r="BP161" i="161"/>
  <c r="BQ161" i="161" s="1"/>
  <c r="BN161" i="161" s="1"/>
  <c r="BO161" i="161" s="1"/>
  <c r="BM161" i="161"/>
  <c r="AZ161" i="161"/>
  <c r="BT160" i="161"/>
  <c r="BU160" i="161" s="1"/>
  <c r="BR160" i="161" s="1"/>
  <c r="BS160" i="161" s="1"/>
  <c r="BP160" i="161"/>
  <c r="BQ160" i="161" s="1"/>
  <c r="BN160" i="161" s="1"/>
  <c r="BO160" i="161" s="1"/>
  <c r="BM160" i="161"/>
  <c r="AZ160" i="161"/>
  <c r="BT159" i="161"/>
  <c r="BU159" i="161" s="1"/>
  <c r="BR159" i="161" s="1"/>
  <c r="BS159" i="161" s="1"/>
  <c r="BP159" i="161"/>
  <c r="BQ159" i="161" s="1"/>
  <c r="BN159" i="161" s="1"/>
  <c r="BO159" i="161" s="1"/>
  <c r="BM159" i="161"/>
  <c r="AZ159" i="161"/>
  <c r="BT158" i="161"/>
  <c r="BU158" i="161" s="1"/>
  <c r="BR158" i="161" s="1"/>
  <c r="BS158" i="161" s="1"/>
  <c r="BP158" i="161"/>
  <c r="BQ158" i="161" s="1"/>
  <c r="BN158" i="161" s="1"/>
  <c r="BO158" i="161" s="1"/>
  <c r="BM158" i="161"/>
  <c r="AZ158" i="161"/>
  <c r="AO158" i="161"/>
  <c r="AP158" i="161" s="1"/>
  <c r="AJ158" i="161" s="1"/>
  <c r="A158" i="161" s="1"/>
  <c r="AM158" i="161"/>
  <c r="AN158" i="161" s="1"/>
  <c r="AH158" i="161" s="1"/>
  <c r="B158" i="161" s="1"/>
  <c r="U158" i="161"/>
  <c r="L158" i="161"/>
  <c r="M158" i="161" s="1"/>
  <c r="BT157" i="161"/>
  <c r="BU157" i="161" s="1"/>
  <c r="BR157" i="161" s="1"/>
  <c r="BS157" i="161" s="1"/>
  <c r="BP157" i="161"/>
  <c r="BQ157" i="161" s="1"/>
  <c r="BN157" i="161" s="1"/>
  <c r="BO157" i="161" s="1"/>
  <c r="BM157" i="161"/>
  <c r="AZ157" i="161"/>
  <c r="BT156" i="161"/>
  <c r="BU156" i="161" s="1"/>
  <c r="BR156" i="161" s="1"/>
  <c r="BS156" i="161" s="1"/>
  <c r="BP156" i="161"/>
  <c r="BQ156" i="161" s="1"/>
  <c r="BN156" i="161" s="1"/>
  <c r="BO156" i="161" s="1"/>
  <c r="BM156" i="161"/>
  <c r="AZ156" i="161"/>
  <c r="BT155" i="161"/>
  <c r="BU155" i="161" s="1"/>
  <c r="BR155" i="161" s="1"/>
  <c r="BS155" i="161" s="1"/>
  <c r="BP155" i="161"/>
  <c r="BQ155" i="161" s="1"/>
  <c r="BN155" i="161" s="1"/>
  <c r="BO155" i="161" s="1"/>
  <c r="BM155" i="161"/>
  <c r="AZ155" i="161"/>
  <c r="AO155" i="161"/>
  <c r="AP155" i="161" s="1"/>
  <c r="AJ155" i="161" s="1"/>
  <c r="A155" i="161" s="1"/>
  <c r="AM155" i="161"/>
  <c r="AN155" i="161" s="1"/>
  <c r="AH155" i="161" s="1"/>
  <c r="B155" i="161" s="1"/>
  <c r="U155" i="161"/>
  <c r="L155" i="161"/>
  <c r="N155" i="161" s="1"/>
  <c r="BT154" i="161"/>
  <c r="BU154" i="161" s="1"/>
  <c r="BR154" i="161" s="1"/>
  <c r="BS154" i="161" s="1"/>
  <c r="BP154" i="161"/>
  <c r="BQ154" i="161" s="1"/>
  <c r="BN154" i="161" s="1"/>
  <c r="BO154" i="161" s="1"/>
  <c r="BM154" i="161"/>
  <c r="AZ154" i="161"/>
  <c r="BT153" i="161"/>
  <c r="BU153" i="161" s="1"/>
  <c r="BR153" i="161" s="1"/>
  <c r="BS153" i="161" s="1"/>
  <c r="BP153" i="161"/>
  <c r="BQ153" i="161" s="1"/>
  <c r="BN153" i="161" s="1"/>
  <c r="BO153" i="161" s="1"/>
  <c r="BM153" i="161"/>
  <c r="AZ153" i="161"/>
  <c r="BU152" i="161"/>
  <c r="BR152" i="161" s="1"/>
  <c r="BS152" i="161" s="1"/>
  <c r="BT152" i="161"/>
  <c r="BP152" i="161"/>
  <c r="BQ152" i="161" s="1"/>
  <c r="BN152" i="161" s="1"/>
  <c r="BO152" i="161" s="1"/>
  <c r="BM152" i="161"/>
  <c r="AZ152" i="161"/>
  <c r="BT151" i="161"/>
  <c r="BU151" i="161" s="1"/>
  <c r="BR151" i="161" s="1"/>
  <c r="BS151" i="161" s="1"/>
  <c r="BP151" i="161"/>
  <c r="BQ151" i="161" s="1"/>
  <c r="BN151" i="161" s="1"/>
  <c r="BO151" i="161" s="1"/>
  <c r="BM151" i="161"/>
  <c r="AZ151" i="161"/>
  <c r="AO151" i="161"/>
  <c r="AP151" i="161" s="1"/>
  <c r="AJ151" i="161" s="1"/>
  <c r="A151" i="161" s="1"/>
  <c r="AM151" i="161"/>
  <c r="AN151" i="161" s="1"/>
  <c r="AH151" i="161" s="1"/>
  <c r="B151" i="161" s="1"/>
  <c r="U151" i="161"/>
  <c r="L151" i="161"/>
  <c r="N151" i="161" s="1"/>
  <c r="BT150" i="161"/>
  <c r="BU150" i="161" s="1"/>
  <c r="BR150" i="161" s="1"/>
  <c r="BS150" i="161" s="1"/>
  <c r="BP150" i="161"/>
  <c r="BQ150" i="161" s="1"/>
  <c r="BN150" i="161" s="1"/>
  <c r="BO150" i="161" s="1"/>
  <c r="BM150" i="161"/>
  <c r="AZ150" i="161"/>
  <c r="BT149" i="161"/>
  <c r="BU149" i="161" s="1"/>
  <c r="BR149" i="161" s="1"/>
  <c r="BS149" i="161" s="1"/>
  <c r="BP149" i="161"/>
  <c r="BQ149" i="161" s="1"/>
  <c r="BN149" i="161" s="1"/>
  <c r="BO149" i="161" s="1"/>
  <c r="BM149" i="161"/>
  <c r="AZ149" i="161"/>
  <c r="BT148" i="161"/>
  <c r="BU148" i="161" s="1"/>
  <c r="BR148" i="161" s="1"/>
  <c r="BS148" i="161" s="1"/>
  <c r="BP148" i="161"/>
  <c r="BQ148" i="161" s="1"/>
  <c r="BN148" i="161" s="1"/>
  <c r="BO148" i="161" s="1"/>
  <c r="BM148" i="161"/>
  <c r="AZ148" i="161"/>
  <c r="BT147" i="161"/>
  <c r="BU147" i="161" s="1"/>
  <c r="BR147" i="161" s="1"/>
  <c r="BS147" i="161" s="1"/>
  <c r="BP147" i="161"/>
  <c r="BQ147" i="161" s="1"/>
  <c r="BN147" i="161" s="1"/>
  <c r="BO147" i="161" s="1"/>
  <c r="BM147" i="161"/>
  <c r="AZ147" i="161"/>
  <c r="AO147" i="161"/>
  <c r="AP147" i="161" s="1"/>
  <c r="AJ147" i="161" s="1"/>
  <c r="A147" i="161" s="1"/>
  <c r="AM147" i="161"/>
  <c r="AN147" i="161" s="1"/>
  <c r="AH147" i="161" s="1"/>
  <c r="B147" i="161" s="1"/>
  <c r="U147" i="161"/>
  <c r="L147" i="161"/>
  <c r="N147" i="161" s="1"/>
  <c r="BT146" i="161"/>
  <c r="BU146" i="161" s="1"/>
  <c r="BR146" i="161" s="1"/>
  <c r="BS146" i="161" s="1"/>
  <c r="BP146" i="161"/>
  <c r="BQ146" i="161" s="1"/>
  <c r="BN146" i="161" s="1"/>
  <c r="BO146" i="161" s="1"/>
  <c r="BM146" i="161"/>
  <c r="AZ146" i="161"/>
  <c r="AO146" i="161"/>
  <c r="AP146" i="161" s="1"/>
  <c r="AJ146" i="161" s="1"/>
  <c r="A146" i="161" s="1"/>
  <c r="AM146" i="161"/>
  <c r="AN146" i="161" s="1"/>
  <c r="AH146" i="161" s="1"/>
  <c r="B146" i="161" s="1"/>
  <c r="U146" i="161"/>
  <c r="L146" i="161"/>
  <c r="BT145" i="161"/>
  <c r="BU145" i="161" s="1"/>
  <c r="BR145" i="161" s="1"/>
  <c r="BS145" i="161" s="1"/>
  <c r="BP145" i="161"/>
  <c r="BQ145" i="161" s="1"/>
  <c r="BN145" i="161" s="1"/>
  <c r="BO145" i="161" s="1"/>
  <c r="BM145" i="161"/>
  <c r="AZ145" i="161"/>
  <c r="BT144" i="161"/>
  <c r="BU144" i="161" s="1"/>
  <c r="BR144" i="161" s="1"/>
  <c r="BS144" i="161" s="1"/>
  <c r="BP144" i="161"/>
  <c r="BQ144" i="161" s="1"/>
  <c r="BN144" i="161" s="1"/>
  <c r="BO144" i="161" s="1"/>
  <c r="BM144" i="161"/>
  <c r="AZ144" i="161"/>
  <c r="BT143" i="161"/>
  <c r="BU143" i="161" s="1"/>
  <c r="BR143" i="161" s="1"/>
  <c r="BS143" i="161" s="1"/>
  <c r="BP143" i="161"/>
  <c r="BQ143" i="161" s="1"/>
  <c r="BN143" i="161" s="1"/>
  <c r="BO143" i="161" s="1"/>
  <c r="BM143" i="161"/>
  <c r="AZ143" i="161"/>
  <c r="BT142" i="161"/>
  <c r="BU142" i="161" s="1"/>
  <c r="BR142" i="161" s="1"/>
  <c r="BS142" i="161" s="1"/>
  <c r="BP142" i="161"/>
  <c r="BQ142" i="161" s="1"/>
  <c r="BN142" i="161" s="1"/>
  <c r="BO142" i="161" s="1"/>
  <c r="BM142" i="161"/>
  <c r="AZ142" i="161"/>
  <c r="BT141" i="161"/>
  <c r="BU141" i="161" s="1"/>
  <c r="BR141" i="161" s="1"/>
  <c r="BS141" i="161" s="1"/>
  <c r="BP141" i="161"/>
  <c r="BQ141" i="161" s="1"/>
  <c r="BN141" i="161" s="1"/>
  <c r="BO141" i="161" s="1"/>
  <c r="BM141" i="161"/>
  <c r="AZ141" i="161"/>
  <c r="AO141" i="161"/>
  <c r="AP141" i="161" s="1"/>
  <c r="AJ141" i="161" s="1"/>
  <c r="A141" i="161" s="1"/>
  <c r="AM141" i="161"/>
  <c r="AN141" i="161" s="1"/>
  <c r="AH141" i="161" s="1"/>
  <c r="B141" i="161" s="1"/>
  <c r="U141" i="161"/>
  <c r="L141" i="161"/>
  <c r="X141" i="161" s="1"/>
  <c r="BT140" i="161"/>
  <c r="BU140" i="161" s="1"/>
  <c r="BR140" i="161" s="1"/>
  <c r="BS140" i="161" s="1"/>
  <c r="BP140" i="161"/>
  <c r="BQ140" i="161" s="1"/>
  <c r="BN140" i="161" s="1"/>
  <c r="BO140" i="161" s="1"/>
  <c r="BM140" i="161"/>
  <c r="AZ140" i="161"/>
  <c r="BT139" i="161"/>
  <c r="BU139" i="161" s="1"/>
  <c r="BR139" i="161" s="1"/>
  <c r="BS139" i="161" s="1"/>
  <c r="BP139" i="161"/>
  <c r="BQ139" i="161" s="1"/>
  <c r="BN139" i="161" s="1"/>
  <c r="BO139" i="161" s="1"/>
  <c r="BM139" i="161"/>
  <c r="AZ139" i="161"/>
  <c r="BT138" i="161"/>
  <c r="BU138" i="161" s="1"/>
  <c r="BR138" i="161" s="1"/>
  <c r="BS138" i="161" s="1"/>
  <c r="BP138" i="161"/>
  <c r="BQ138" i="161" s="1"/>
  <c r="BN138" i="161" s="1"/>
  <c r="BO138" i="161" s="1"/>
  <c r="BM138" i="161"/>
  <c r="AZ138" i="161"/>
  <c r="BT137" i="161"/>
  <c r="BU137" i="161" s="1"/>
  <c r="BR137" i="161" s="1"/>
  <c r="BS137" i="161" s="1"/>
  <c r="BP137" i="161"/>
  <c r="BQ137" i="161" s="1"/>
  <c r="BN137" i="161" s="1"/>
  <c r="BO137" i="161" s="1"/>
  <c r="BM137" i="161"/>
  <c r="AZ137" i="161"/>
  <c r="BT136" i="161"/>
  <c r="BU136" i="161" s="1"/>
  <c r="BR136" i="161" s="1"/>
  <c r="BS136" i="161" s="1"/>
  <c r="BP136" i="161"/>
  <c r="BQ136" i="161" s="1"/>
  <c r="BN136" i="161" s="1"/>
  <c r="BO136" i="161" s="1"/>
  <c r="BM136" i="161"/>
  <c r="AZ136" i="161"/>
  <c r="AO136" i="161"/>
  <c r="AP136" i="161" s="1"/>
  <c r="AJ136" i="161" s="1"/>
  <c r="A136" i="161" s="1"/>
  <c r="AM136" i="161"/>
  <c r="AN136" i="161" s="1"/>
  <c r="AH136" i="161" s="1"/>
  <c r="B136" i="161" s="1"/>
  <c r="U136" i="161"/>
  <c r="L136" i="161"/>
  <c r="BT135" i="161"/>
  <c r="BU135" i="161" s="1"/>
  <c r="BR135" i="161" s="1"/>
  <c r="BS135" i="161" s="1"/>
  <c r="BP135" i="161"/>
  <c r="BQ135" i="161" s="1"/>
  <c r="BN135" i="161" s="1"/>
  <c r="BO135" i="161" s="1"/>
  <c r="BM135" i="161"/>
  <c r="AZ135" i="161"/>
  <c r="BT134" i="161"/>
  <c r="BU134" i="161" s="1"/>
  <c r="BR134" i="161" s="1"/>
  <c r="BS134" i="161" s="1"/>
  <c r="BP134" i="161"/>
  <c r="BQ134" i="161" s="1"/>
  <c r="BN134" i="161" s="1"/>
  <c r="BO134" i="161" s="1"/>
  <c r="BM134" i="161"/>
  <c r="AZ134" i="161"/>
  <c r="BT133" i="161"/>
  <c r="BU133" i="161" s="1"/>
  <c r="BR133" i="161" s="1"/>
  <c r="BS133" i="161" s="1"/>
  <c r="BP133" i="161"/>
  <c r="BQ133" i="161" s="1"/>
  <c r="BN133" i="161" s="1"/>
  <c r="BO133" i="161" s="1"/>
  <c r="BM133" i="161"/>
  <c r="AZ133" i="161"/>
  <c r="BT132" i="161"/>
  <c r="BU132" i="161" s="1"/>
  <c r="BR132" i="161" s="1"/>
  <c r="BS132" i="161" s="1"/>
  <c r="BP132" i="161"/>
  <c r="BQ132" i="161" s="1"/>
  <c r="BN132" i="161" s="1"/>
  <c r="BO132" i="161" s="1"/>
  <c r="BM132" i="161"/>
  <c r="AZ132" i="161"/>
  <c r="BT131" i="161"/>
  <c r="BU131" i="161" s="1"/>
  <c r="BR131" i="161" s="1"/>
  <c r="BS131" i="161" s="1"/>
  <c r="BP131" i="161"/>
  <c r="BQ131" i="161" s="1"/>
  <c r="BN131" i="161" s="1"/>
  <c r="BO131" i="161" s="1"/>
  <c r="BM131" i="161"/>
  <c r="AZ131" i="161"/>
  <c r="BT130" i="161"/>
  <c r="BU130" i="161" s="1"/>
  <c r="BR130" i="161" s="1"/>
  <c r="BS130" i="161" s="1"/>
  <c r="BP130" i="161"/>
  <c r="BQ130" i="161" s="1"/>
  <c r="BN130" i="161" s="1"/>
  <c r="BO130" i="161" s="1"/>
  <c r="BM130" i="161"/>
  <c r="AZ130" i="161"/>
  <c r="BT129" i="161"/>
  <c r="BU129" i="161" s="1"/>
  <c r="BR129" i="161" s="1"/>
  <c r="BS129" i="161" s="1"/>
  <c r="BP129" i="161"/>
  <c r="BQ129" i="161" s="1"/>
  <c r="BN129" i="161" s="1"/>
  <c r="BO129" i="161" s="1"/>
  <c r="BM129" i="161"/>
  <c r="AZ129" i="161"/>
  <c r="AO129" i="161"/>
  <c r="AP129" i="161" s="1"/>
  <c r="AJ129" i="161" s="1"/>
  <c r="A129" i="161" s="1"/>
  <c r="AM129" i="161"/>
  <c r="AN129" i="161" s="1"/>
  <c r="AH129" i="161" s="1"/>
  <c r="B129" i="161" s="1"/>
  <c r="U129" i="161"/>
  <c r="L129" i="161"/>
  <c r="BT128" i="161"/>
  <c r="BU128" i="161" s="1"/>
  <c r="BR128" i="161" s="1"/>
  <c r="BS128" i="161" s="1"/>
  <c r="BP128" i="161"/>
  <c r="BQ128" i="161" s="1"/>
  <c r="BN128" i="161" s="1"/>
  <c r="BO128" i="161" s="1"/>
  <c r="BM128" i="161"/>
  <c r="AZ128" i="161"/>
  <c r="AO128" i="161"/>
  <c r="AP128" i="161" s="1"/>
  <c r="AJ128" i="161" s="1"/>
  <c r="A128" i="161" s="1"/>
  <c r="AM128" i="161"/>
  <c r="AN128" i="161" s="1"/>
  <c r="AH128" i="161" s="1"/>
  <c r="B128" i="161" s="1"/>
  <c r="U128" i="161"/>
  <c r="L128" i="161"/>
  <c r="BT127" i="161"/>
  <c r="BU127" i="161" s="1"/>
  <c r="BR127" i="161" s="1"/>
  <c r="BS127" i="161" s="1"/>
  <c r="BP127" i="161"/>
  <c r="BQ127" i="161" s="1"/>
  <c r="BN127" i="161" s="1"/>
  <c r="BO127" i="161" s="1"/>
  <c r="BM127" i="161"/>
  <c r="AZ127" i="161"/>
  <c r="BT126" i="161"/>
  <c r="BU126" i="161" s="1"/>
  <c r="BR126" i="161" s="1"/>
  <c r="BS126" i="161" s="1"/>
  <c r="BP126" i="161"/>
  <c r="BQ126" i="161" s="1"/>
  <c r="BN126" i="161" s="1"/>
  <c r="BO126" i="161" s="1"/>
  <c r="BM126" i="161"/>
  <c r="AZ126" i="161"/>
  <c r="BT125" i="161"/>
  <c r="BU125" i="161" s="1"/>
  <c r="BR125" i="161" s="1"/>
  <c r="BS125" i="161" s="1"/>
  <c r="BP125" i="161"/>
  <c r="BQ125" i="161" s="1"/>
  <c r="BN125" i="161" s="1"/>
  <c r="BO125" i="161" s="1"/>
  <c r="BM125" i="161"/>
  <c r="AZ125" i="161"/>
  <c r="AO125" i="161"/>
  <c r="AP125" i="161" s="1"/>
  <c r="AJ125" i="161" s="1"/>
  <c r="A125" i="161" s="1"/>
  <c r="AM125" i="161"/>
  <c r="AN125" i="161" s="1"/>
  <c r="AH125" i="161" s="1"/>
  <c r="B125" i="161" s="1"/>
  <c r="U125" i="161"/>
  <c r="L125" i="161"/>
  <c r="BT124" i="161"/>
  <c r="BU124" i="161" s="1"/>
  <c r="BR124" i="161" s="1"/>
  <c r="BS124" i="161" s="1"/>
  <c r="BP124" i="161"/>
  <c r="BQ124" i="161" s="1"/>
  <c r="BN124" i="161" s="1"/>
  <c r="BO124" i="161" s="1"/>
  <c r="BM124" i="161"/>
  <c r="AZ124" i="161"/>
  <c r="BT123" i="161"/>
  <c r="BU123" i="161" s="1"/>
  <c r="BR123" i="161" s="1"/>
  <c r="BS123" i="161" s="1"/>
  <c r="BP123" i="161"/>
  <c r="BQ123" i="161" s="1"/>
  <c r="BN123" i="161" s="1"/>
  <c r="BO123" i="161" s="1"/>
  <c r="BM123" i="161"/>
  <c r="AZ123" i="161"/>
  <c r="BT122" i="161"/>
  <c r="BU122" i="161" s="1"/>
  <c r="BR122" i="161" s="1"/>
  <c r="BS122" i="161" s="1"/>
  <c r="BP122" i="161"/>
  <c r="BQ122" i="161" s="1"/>
  <c r="BN122" i="161" s="1"/>
  <c r="BO122" i="161" s="1"/>
  <c r="BM122" i="161"/>
  <c r="AZ122" i="161"/>
  <c r="AO122" i="161"/>
  <c r="AP122" i="161" s="1"/>
  <c r="AJ122" i="161" s="1"/>
  <c r="A122" i="161" s="1"/>
  <c r="AM122" i="161"/>
  <c r="AN122" i="161" s="1"/>
  <c r="AH122" i="161" s="1"/>
  <c r="B122" i="161" s="1"/>
  <c r="U122" i="161"/>
  <c r="L122" i="161"/>
  <c r="M122" i="161" s="1"/>
  <c r="BT121" i="161"/>
  <c r="BU121" i="161" s="1"/>
  <c r="BR121" i="161" s="1"/>
  <c r="BS121" i="161" s="1"/>
  <c r="BP121" i="161"/>
  <c r="BQ121" i="161" s="1"/>
  <c r="BN121" i="161" s="1"/>
  <c r="BO121" i="161" s="1"/>
  <c r="BM121" i="161"/>
  <c r="AZ121" i="161"/>
  <c r="BT120" i="161"/>
  <c r="BU120" i="161" s="1"/>
  <c r="BR120" i="161" s="1"/>
  <c r="BS120" i="161" s="1"/>
  <c r="BP120" i="161"/>
  <c r="BQ120" i="161" s="1"/>
  <c r="BN120" i="161" s="1"/>
  <c r="BO120" i="161" s="1"/>
  <c r="BM120" i="161"/>
  <c r="AZ120" i="161"/>
  <c r="BT119" i="161"/>
  <c r="BU119" i="161" s="1"/>
  <c r="BR119" i="161" s="1"/>
  <c r="BS119" i="161" s="1"/>
  <c r="BP119" i="161"/>
  <c r="BQ119" i="161" s="1"/>
  <c r="BN119" i="161" s="1"/>
  <c r="BO119" i="161" s="1"/>
  <c r="BM119" i="161"/>
  <c r="AZ119" i="161"/>
  <c r="BT118" i="161"/>
  <c r="BU118" i="161" s="1"/>
  <c r="BR118" i="161" s="1"/>
  <c r="BS118" i="161" s="1"/>
  <c r="BP118" i="161"/>
  <c r="BQ118" i="161" s="1"/>
  <c r="BN118" i="161" s="1"/>
  <c r="BO118" i="161" s="1"/>
  <c r="BM118" i="161"/>
  <c r="AZ118" i="161"/>
  <c r="BT117" i="161"/>
  <c r="BU117" i="161" s="1"/>
  <c r="BR117" i="161" s="1"/>
  <c r="BS117" i="161" s="1"/>
  <c r="BP117" i="161"/>
  <c r="BQ117" i="161" s="1"/>
  <c r="BN117" i="161" s="1"/>
  <c r="BO117" i="161" s="1"/>
  <c r="BM117" i="161"/>
  <c r="AZ117" i="161"/>
  <c r="BT116" i="161"/>
  <c r="BU116" i="161" s="1"/>
  <c r="BR116" i="161" s="1"/>
  <c r="BS116" i="161" s="1"/>
  <c r="BP116" i="161"/>
  <c r="BQ116" i="161" s="1"/>
  <c r="BN116" i="161" s="1"/>
  <c r="BO116" i="161" s="1"/>
  <c r="BM116" i="161"/>
  <c r="AZ116" i="161"/>
  <c r="BT115" i="161"/>
  <c r="BU115" i="161" s="1"/>
  <c r="BR115" i="161" s="1"/>
  <c r="BS115" i="161" s="1"/>
  <c r="BP115" i="161"/>
  <c r="BQ115" i="161" s="1"/>
  <c r="BN115" i="161" s="1"/>
  <c r="BO115" i="161" s="1"/>
  <c r="BM115" i="161"/>
  <c r="AZ115" i="161"/>
  <c r="BT114" i="161"/>
  <c r="BU114" i="161" s="1"/>
  <c r="BR114" i="161" s="1"/>
  <c r="BS114" i="161" s="1"/>
  <c r="BP114" i="161"/>
  <c r="BQ114" i="161" s="1"/>
  <c r="BN114" i="161" s="1"/>
  <c r="BO114" i="161" s="1"/>
  <c r="BM114" i="161"/>
  <c r="AZ114" i="161"/>
  <c r="BT113" i="161"/>
  <c r="BU113" i="161" s="1"/>
  <c r="BR113" i="161" s="1"/>
  <c r="BS113" i="161" s="1"/>
  <c r="BP113" i="161"/>
  <c r="BQ113" i="161" s="1"/>
  <c r="BN113" i="161" s="1"/>
  <c r="BO113" i="161" s="1"/>
  <c r="BM113" i="161"/>
  <c r="AZ113" i="161"/>
  <c r="BT112" i="161"/>
  <c r="BU112" i="161" s="1"/>
  <c r="BR112" i="161" s="1"/>
  <c r="BS112" i="161" s="1"/>
  <c r="BP112" i="161"/>
  <c r="BQ112" i="161" s="1"/>
  <c r="BN112" i="161" s="1"/>
  <c r="BO112" i="161" s="1"/>
  <c r="BM112" i="161"/>
  <c r="AZ112" i="161"/>
  <c r="AO112" i="161"/>
  <c r="AP112" i="161" s="1"/>
  <c r="AJ112" i="161" s="1"/>
  <c r="A112" i="161" s="1"/>
  <c r="AM112" i="161"/>
  <c r="AN112" i="161" s="1"/>
  <c r="AH112" i="161" s="1"/>
  <c r="B112" i="161" s="1"/>
  <c r="U112" i="161"/>
  <c r="L112" i="161"/>
  <c r="X112" i="161" s="1"/>
  <c r="BT110" i="161"/>
  <c r="BU110" i="161" s="1"/>
  <c r="BR110" i="161" s="1"/>
  <c r="BS110" i="161" s="1"/>
  <c r="BP110" i="161"/>
  <c r="BQ110" i="161" s="1"/>
  <c r="BN110" i="161" s="1"/>
  <c r="BO110" i="161" s="1"/>
  <c r="BM110" i="161"/>
  <c r="AZ110" i="161"/>
  <c r="BT109" i="161"/>
  <c r="BU109" i="161" s="1"/>
  <c r="BR109" i="161" s="1"/>
  <c r="BS109" i="161" s="1"/>
  <c r="BP109" i="161"/>
  <c r="BQ109" i="161" s="1"/>
  <c r="BN109" i="161" s="1"/>
  <c r="BO109" i="161" s="1"/>
  <c r="BM109" i="161"/>
  <c r="AZ109" i="161"/>
  <c r="BT108" i="161"/>
  <c r="BU108" i="161" s="1"/>
  <c r="BR108" i="161" s="1"/>
  <c r="BS108" i="161" s="1"/>
  <c r="BP108" i="161"/>
  <c r="BQ108" i="161" s="1"/>
  <c r="BN108" i="161" s="1"/>
  <c r="BO108" i="161" s="1"/>
  <c r="BM108" i="161"/>
  <c r="AZ108" i="161"/>
  <c r="BT107" i="161"/>
  <c r="BU107" i="161" s="1"/>
  <c r="BR107" i="161" s="1"/>
  <c r="BS107" i="161" s="1"/>
  <c r="BP107" i="161"/>
  <c r="BQ107" i="161" s="1"/>
  <c r="BN107" i="161" s="1"/>
  <c r="BO107" i="161" s="1"/>
  <c r="BM107" i="161"/>
  <c r="AZ107" i="161"/>
  <c r="BT106" i="161"/>
  <c r="BU106" i="161" s="1"/>
  <c r="BR106" i="161" s="1"/>
  <c r="BS106" i="161" s="1"/>
  <c r="BP106" i="161"/>
  <c r="BQ106" i="161" s="1"/>
  <c r="BN106" i="161" s="1"/>
  <c r="BO106" i="161" s="1"/>
  <c r="BM106" i="161"/>
  <c r="BL106" i="161"/>
  <c r="AZ106" i="161"/>
  <c r="BT105" i="161"/>
  <c r="BU105" i="161" s="1"/>
  <c r="BR105" i="161" s="1"/>
  <c r="BS105" i="161" s="1"/>
  <c r="BP105" i="161"/>
  <c r="BQ105" i="161" s="1"/>
  <c r="BN105" i="161" s="1"/>
  <c r="BO105" i="161" s="1"/>
  <c r="BM105" i="161"/>
  <c r="BL105" i="161"/>
  <c r="AZ105" i="161"/>
  <c r="BT103" i="161"/>
  <c r="BU103" i="161" s="1"/>
  <c r="BR103" i="161" s="1"/>
  <c r="BS103" i="161" s="1"/>
  <c r="BP103" i="161"/>
  <c r="BQ103" i="161" s="1"/>
  <c r="BN103" i="161" s="1"/>
  <c r="BO103" i="161" s="1"/>
  <c r="BM103" i="161"/>
  <c r="AZ103" i="161"/>
  <c r="BT102" i="161"/>
  <c r="BU102" i="161" s="1"/>
  <c r="BR102" i="161" s="1"/>
  <c r="BS102" i="161" s="1"/>
  <c r="BP102" i="161"/>
  <c r="BQ102" i="161" s="1"/>
  <c r="BN102" i="161" s="1"/>
  <c r="BO102" i="161" s="1"/>
  <c r="BM102" i="161"/>
  <c r="AZ102" i="161"/>
  <c r="BT101" i="161"/>
  <c r="BU101" i="161" s="1"/>
  <c r="BR101" i="161" s="1"/>
  <c r="BS101" i="161" s="1"/>
  <c r="BP101" i="161"/>
  <c r="BQ101" i="161" s="1"/>
  <c r="BN101" i="161" s="1"/>
  <c r="BO101" i="161" s="1"/>
  <c r="BM101" i="161"/>
  <c r="AZ101" i="161"/>
  <c r="BT100" i="161"/>
  <c r="BU100" i="161" s="1"/>
  <c r="BR100" i="161" s="1"/>
  <c r="BS100" i="161" s="1"/>
  <c r="BP100" i="161"/>
  <c r="BQ100" i="161" s="1"/>
  <c r="BN100" i="161" s="1"/>
  <c r="BO100" i="161" s="1"/>
  <c r="BM100" i="161"/>
  <c r="AZ100" i="161"/>
  <c r="BT99" i="161"/>
  <c r="BU99" i="161" s="1"/>
  <c r="BR99" i="161" s="1"/>
  <c r="BS99" i="161" s="1"/>
  <c r="BP99" i="161"/>
  <c r="BQ99" i="161" s="1"/>
  <c r="BN99" i="161" s="1"/>
  <c r="BO99" i="161" s="1"/>
  <c r="BM99" i="161"/>
  <c r="AZ99" i="161"/>
  <c r="AO99" i="161"/>
  <c r="AP99" i="161" s="1"/>
  <c r="AJ99" i="161" s="1"/>
  <c r="A99" i="161" s="1"/>
  <c r="AM99" i="161"/>
  <c r="AN99" i="161" s="1"/>
  <c r="AH99" i="161" s="1"/>
  <c r="B99" i="161" s="1"/>
  <c r="U99" i="161"/>
  <c r="L99" i="161"/>
  <c r="M99" i="161" s="1"/>
  <c r="BT98" i="161"/>
  <c r="BU98" i="161" s="1"/>
  <c r="BR98" i="161" s="1"/>
  <c r="BS98" i="161" s="1"/>
  <c r="BP98" i="161"/>
  <c r="BQ98" i="161" s="1"/>
  <c r="BN98" i="161" s="1"/>
  <c r="BO98" i="161" s="1"/>
  <c r="BM98" i="161"/>
  <c r="AZ98" i="161"/>
  <c r="BT97" i="161"/>
  <c r="BU97" i="161" s="1"/>
  <c r="BR97" i="161" s="1"/>
  <c r="BS97" i="161" s="1"/>
  <c r="BP97" i="161"/>
  <c r="BQ97" i="161" s="1"/>
  <c r="BN97" i="161" s="1"/>
  <c r="BO97" i="161" s="1"/>
  <c r="BM97" i="161"/>
  <c r="AZ97" i="161"/>
  <c r="BT96" i="161"/>
  <c r="BU96" i="161" s="1"/>
  <c r="BR96" i="161" s="1"/>
  <c r="BS96" i="161" s="1"/>
  <c r="BP96" i="161"/>
  <c r="BQ96" i="161" s="1"/>
  <c r="BN96" i="161" s="1"/>
  <c r="BO96" i="161" s="1"/>
  <c r="BM96" i="161"/>
  <c r="AZ96" i="161"/>
  <c r="BT95" i="161"/>
  <c r="BU95" i="161" s="1"/>
  <c r="BR95" i="161" s="1"/>
  <c r="BS95" i="161" s="1"/>
  <c r="BP95" i="161"/>
  <c r="BQ95" i="161" s="1"/>
  <c r="BN95" i="161" s="1"/>
  <c r="BO95" i="161" s="1"/>
  <c r="BM95" i="161"/>
  <c r="AZ95" i="161"/>
  <c r="AO95" i="161"/>
  <c r="AP95" i="161" s="1"/>
  <c r="AJ95" i="161" s="1"/>
  <c r="A95" i="161" s="1"/>
  <c r="AM95" i="161"/>
  <c r="AN95" i="161" s="1"/>
  <c r="AH95" i="161" s="1"/>
  <c r="B95" i="161" s="1"/>
  <c r="U95" i="161"/>
  <c r="L95" i="161"/>
  <c r="M95" i="161" s="1"/>
  <c r="BT94" i="161"/>
  <c r="BU94" i="161" s="1"/>
  <c r="BR94" i="161" s="1"/>
  <c r="BS94" i="161" s="1"/>
  <c r="BP94" i="161"/>
  <c r="BQ94" i="161" s="1"/>
  <c r="BN94" i="161" s="1"/>
  <c r="BO94" i="161" s="1"/>
  <c r="BM94" i="161"/>
  <c r="AZ94" i="161"/>
  <c r="BT93" i="161"/>
  <c r="BU93" i="161" s="1"/>
  <c r="BR93" i="161" s="1"/>
  <c r="BS93" i="161" s="1"/>
  <c r="BP93" i="161"/>
  <c r="BQ93" i="161" s="1"/>
  <c r="BN93" i="161" s="1"/>
  <c r="BO93" i="161" s="1"/>
  <c r="BM93" i="161"/>
  <c r="AZ93" i="161"/>
  <c r="BT92" i="161"/>
  <c r="BU92" i="161" s="1"/>
  <c r="BR92" i="161" s="1"/>
  <c r="BS92" i="161" s="1"/>
  <c r="BP92" i="161"/>
  <c r="BQ92" i="161" s="1"/>
  <c r="BN92" i="161" s="1"/>
  <c r="BO92" i="161" s="1"/>
  <c r="BM92" i="161"/>
  <c r="AZ92" i="161"/>
  <c r="BT91" i="161"/>
  <c r="BU91" i="161" s="1"/>
  <c r="BR91" i="161" s="1"/>
  <c r="BS91" i="161" s="1"/>
  <c r="BP91" i="161"/>
  <c r="BQ91" i="161" s="1"/>
  <c r="BN91" i="161" s="1"/>
  <c r="BO91" i="161" s="1"/>
  <c r="BM91" i="161"/>
  <c r="AZ91" i="161"/>
  <c r="BT90" i="161"/>
  <c r="BU90" i="161" s="1"/>
  <c r="BR90" i="161" s="1"/>
  <c r="BS90" i="161" s="1"/>
  <c r="BP90" i="161"/>
  <c r="BQ90" i="161" s="1"/>
  <c r="BN90" i="161" s="1"/>
  <c r="BO90" i="161" s="1"/>
  <c r="BM90" i="161"/>
  <c r="AZ90" i="161"/>
  <c r="AO90" i="161"/>
  <c r="AP90" i="161" s="1"/>
  <c r="AJ90" i="161" s="1"/>
  <c r="A90" i="161" s="1"/>
  <c r="AM90" i="161"/>
  <c r="AN90" i="161" s="1"/>
  <c r="AH90" i="161" s="1"/>
  <c r="B90" i="161" s="1"/>
  <c r="U90" i="161"/>
  <c r="L90" i="161"/>
  <c r="BT89" i="161"/>
  <c r="BU89" i="161" s="1"/>
  <c r="BR89" i="161" s="1"/>
  <c r="BS89" i="161" s="1"/>
  <c r="BP89" i="161"/>
  <c r="BQ89" i="161" s="1"/>
  <c r="BN89" i="161" s="1"/>
  <c r="BO89" i="161" s="1"/>
  <c r="BM89" i="161"/>
  <c r="AZ89" i="161"/>
  <c r="BT88" i="161"/>
  <c r="BU88" i="161" s="1"/>
  <c r="BR88" i="161" s="1"/>
  <c r="BS88" i="161" s="1"/>
  <c r="BP88" i="161"/>
  <c r="BQ88" i="161" s="1"/>
  <c r="BN88" i="161" s="1"/>
  <c r="BO88" i="161" s="1"/>
  <c r="BM88" i="161"/>
  <c r="AZ88" i="161"/>
  <c r="BT87" i="161"/>
  <c r="BU87" i="161" s="1"/>
  <c r="BR87" i="161" s="1"/>
  <c r="BS87" i="161" s="1"/>
  <c r="BP87" i="161"/>
  <c r="BQ87" i="161" s="1"/>
  <c r="BN87" i="161" s="1"/>
  <c r="BO87" i="161" s="1"/>
  <c r="BM87" i="161"/>
  <c r="AZ87" i="161"/>
  <c r="BT86" i="161"/>
  <c r="BU86" i="161" s="1"/>
  <c r="BR86" i="161" s="1"/>
  <c r="BS86" i="161" s="1"/>
  <c r="BP86" i="161"/>
  <c r="BQ86" i="161" s="1"/>
  <c r="BN86" i="161" s="1"/>
  <c r="BO86" i="161" s="1"/>
  <c r="BM86" i="161"/>
  <c r="BL86" i="161"/>
  <c r="AZ86" i="161"/>
  <c r="BT85" i="161"/>
  <c r="BU85" i="161" s="1"/>
  <c r="BR85" i="161" s="1"/>
  <c r="BS85" i="161" s="1"/>
  <c r="BP85" i="161"/>
  <c r="BQ85" i="161" s="1"/>
  <c r="BN85" i="161" s="1"/>
  <c r="BO85" i="161" s="1"/>
  <c r="BM85" i="161"/>
  <c r="BL85" i="161"/>
  <c r="AZ85" i="161"/>
  <c r="AO85" i="161"/>
  <c r="AP85" i="161" s="1"/>
  <c r="AJ85" i="161" s="1"/>
  <c r="A85" i="161" s="1"/>
  <c r="AM85" i="161"/>
  <c r="AN85" i="161" s="1"/>
  <c r="AH85" i="161" s="1"/>
  <c r="B85" i="161" s="1"/>
  <c r="U85" i="161"/>
  <c r="L85" i="161"/>
  <c r="BT83" i="161"/>
  <c r="BU83" i="161" s="1"/>
  <c r="BR83" i="161" s="1"/>
  <c r="BS83" i="161" s="1"/>
  <c r="BP83" i="161"/>
  <c r="BQ83" i="161" s="1"/>
  <c r="BN83" i="161" s="1"/>
  <c r="BO83" i="161" s="1"/>
  <c r="BM83" i="161"/>
  <c r="AZ83" i="161"/>
  <c r="BT82" i="161"/>
  <c r="BU82" i="161" s="1"/>
  <c r="BR82" i="161" s="1"/>
  <c r="BS82" i="161" s="1"/>
  <c r="BP82" i="161"/>
  <c r="BQ82" i="161" s="1"/>
  <c r="BN82" i="161" s="1"/>
  <c r="BO82" i="161" s="1"/>
  <c r="BM82" i="161"/>
  <c r="AZ82" i="161"/>
  <c r="BT81" i="161"/>
  <c r="BU81" i="161" s="1"/>
  <c r="BR81" i="161" s="1"/>
  <c r="BS81" i="161" s="1"/>
  <c r="BP81" i="161"/>
  <c r="BQ81" i="161" s="1"/>
  <c r="BN81" i="161" s="1"/>
  <c r="BO81" i="161" s="1"/>
  <c r="BM81" i="161"/>
  <c r="AZ81" i="161"/>
  <c r="BT80" i="161"/>
  <c r="BU80" i="161" s="1"/>
  <c r="BR80" i="161" s="1"/>
  <c r="BS80" i="161" s="1"/>
  <c r="BP80" i="161"/>
  <c r="BQ80" i="161" s="1"/>
  <c r="BN80" i="161" s="1"/>
  <c r="BO80" i="161" s="1"/>
  <c r="BM80" i="161"/>
  <c r="AZ80" i="161"/>
  <c r="BT78" i="161"/>
  <c r="BU78" i="161" s="1"/>
  <c r="BR78" i="161" s="1"/>
  <c r="BS78" i="161" s="1"/>
  <c r="BP78" i="161"/>
  <c r="BQ78" i="161" s="1"/>
  <c r="BN78" i="161" s="1"/>
  <c r="BO78" i="161" s="1"/>
  <c r="BM78" i="161"/>
  <c r="AZ78" i="161"/>
  <c r="BT77" i="161"/>
  <c r="BU77" i="161" s="1"/>
  <c r="BR77" i="161" s="1"/>
  <c r="BS77" i="161" s="1"/>
  <c r="BP77" i="161"/>
  <c r="BQ77" i="161" s="1"/>
  <c r="BN77" i="161" s="1"/>
  <c r="BO77" i="161" s="1"/>
  <c r="BM77" i="161"/>
  <c r="AZ77" i="161"/>
  <c r="BT76" i="161"/>
  <c r="BU76" i="161" s="1"/>
  <c r="BR76" i="161" s="1"/>
  <c r="BS76" i="161" s="1"/>
  <c r="BP76" i="161"/>
  <c r="BQ76" i="161" s="1"/>
  <c r="BN76" i="161" s="1"/>
  <c r="BO76" i="161" s="1"/>
  <c r="BM76" i="161"/>
  <c r="AZ76" i="161"/>
  <c r="BT75" i="161"/>
  <c r="BU75" i="161" s="1"/>
  <c r="BR75" i="161" s="1"/>
  <c r="BS75" i="161" s="1"/>
  <c r="BP75" i="161"/>
  <c r="BQ75" i="161" s="1"/>
  <c r="BN75" i="161" s="1"/>
  <c r="BO75" i="161" s="1"/>
  <c r="BM75" i="161"/>
  <c r="AZ75" i="161"/>
  <c r="BT74" i="161"/>
  <c r="BU74" i="161" s="1"/>
  <c r="BR74" i="161" s="1"/>
  <c r="BS74" i="161" s="1"/>
  <c r="BP74" i="161"/>
  <c r="BQ74" i="161" s="1"/>
  <c r="BN74" i="161" s="1"/>
  <c r="BO74" i="161" s="1"/>
  <c r="BM74" i="161"/>
  <c r="AZ74" i="161"/>
  <c r="BT73" i="161"/>
  <c r="BU73" i="161" s="1"/>
  <c r="BR73" i="161" s="1"/>
  <c r="BS73" i="161" s="1"/>
  <c r="BP73" i="161"/>
  <c r="BQ73" i="161" s="1"/>
  <c r="BN73" i="161" s="1"/>
  <c r="BO73" i="161" s="1"/>
  <c r="BM73" i="161"/>
  <c r="AZ73" i="161"/>
  <c r="AO73" i="161"/>
  <c r="AP73" i="161" s="1"/>
  <c r="AJ73" i="161" s="1"/>
  <c r="A73" i="161" s="1"/>
  <c r="AM73" i="161"/>
  <c r="AN73" i="161" s="1"/>
  <c r="AH73" i="161" s="1"/>
  <c r="B73" i="161" s="1"/>
  <c r="U73" i="161"/>
  <c r="L73" i="161"/>
  <c r="X73" i="161" s="1"/>
  <c r="BT72" i="161"/>
  <c r="BU72" i="161" s="1"/>
  <c r="BR72" i="161" s="1"/>
  <c r="BS72" i="161" s="1"/>
  <c r="BP72" i="161"/>
  <c r="BQ72" i="161" s="1"/>
  <c r="BN72" i="161" s="1"/>
  <c r="BO72" i="161" s="1"/>
  <c r="BM72" i="161"/>
  <c r="AZ72" i="161"/>
  <c r="AO72" i="161"/>
  <c r="AP72" i="161" s="1"/>
  <c r="AJ72" i="161" s="1"/>
  <c r="A72" i="161" s="1"/>
  <c r="AM72" i="161"/>
  <c r="AN72" i="161" s="1"/>
  <c r="AH72" i="161" s="1"/>
  <c r="B72" i="161" s="1"/>
  <c r="U72" i="161"/>
  <c r="L72" i="161"/>
  <c r="BT71" i="161"/>
  <c r="BU71" i="161" s="1"/>
  <c r="BR71" i="161" s="1"/>
  <c r="BS71" i="161" s="1"/>
  <c r="BP71" i="161"/>
  <c r="BQ71" i="161" s="1"/>
  <c r="BN71" i="161" s="1"/>
  <c r="BO71" i="161" s="1"/>
  <c r="BM71" i="161"/>
  <c r="AZ71" i="161"/>
  <c r="BT70" i="161"/>
  <c r="BU70" i="161" s="1"/>
  <c r="BR70" i="161" s="1"/>
  <c r="BS70" i="161" s="1"/>
  <c r="BP70" i="161"/>
  <c r="BQ70" i="161" s="1"/>
  <c r="BN70" i="161" s="1"/>
  <c r="BO70" i="161" s="1"/>
  <c r="BM70" i="161"/>
  <c r="AZ70" i="161"/>
  <c r="BT69" i="161"/>
  <c r="BU69" i="161" s="1"/>
  <c r="BR69" i="161" s="1"/>
  <c r="BS69" i="161" s="1"/>
  <c r="BP69" i="161"/>
  <c r="BQ69" i="161" s="1"/>
  <c r="BN69" i="161" s="1"/>
  <c r="BO69" i="161" s="1"/>
  <c r="BM69" i="161"/>
  <c r="AZ69" i="161"/>
  <c r="BT68" i="161"/>
  <c r="BU68" i="161" s="1"/>
  <c r="BR68" i="161" s="1"/>
  <c r="BS68" i="161" s="1"/>
  <c r="BP68" i="161"/>
  <c r="BQ68" i="161" s="1"/>
  <c r="BN68" i="161" s="1"/>
  <c r="BO68" i="161" s="1"/>
  <c r="BM68" i="161"/>
  <c r="AZ68" i="161"/>
  <c r="BT67" i="161"/>
  <c r="BU67" i="161" s="1"/>
  <c r="BR67" i="161" s="1"/>
  <c r="BS67" i="161" s="1"/>
  <c r="BP67" i="161"/>
  <c r="BQ67" i="161" s="1"/>
  <c r="BN67" i="161" s="1"/>
  <c r="BO67" i="161" s="1"/>
  <c r="BM67" i="161"/>
  <c r="AZ67" i="161"/>
  <c r="BT66" i="161"/>
  <c r="BU66" i="161" s="1"/>
  <c r="BR66" i="161" s="1"/>
  <c r="BS66" i="161" s="1"/>
  <c r="BP66" i="161"/>
  <c r="BQ66" i="161" s="1"/>
  <c r="BN66" i="161" s="1"/>
  <c r="BO66" i="161" s="1"/>
  <c r="BM66" i="161"/>
  <c r="AZ66" i="161"/>
  <c r="BT65" i="161"/>
  <c r="BU65" i="161" s="1"/>
  <c r="BR65" i="161" s="1"/>
  <c r="BS65" i="161" s="1"/>
  <c r="BP65" i="161"/>
  <c r="BQ65" i="161" s="1"/>
  <c r="BN65" i="161" s="1"/>
  <c r="BO65" i="161" s="1"/>
  <c r="BM65" i="161"/>
  <c r="AZ65" i="161"/>
  <c r="AO65" i="161"/>
  <c r="AP65" i="161" s="1"/>
  <c r="AJ65" i="161" s="1"/>
  <c r="A65" i="161" s="1"/>
  <c r="AM65" i="161"/>
  <c r="AN65" i="161" s="1"/>
  <c r="AH65" i="161" s="1"/>
  <c r="B65" i="161" s="1"/>
  <c r="U65" i="161"/>
  <c r="L65" i="161"/>
  <c r="M65" i="161" s="1"/>
  <c r="BT64" i="161"/>
  <c r="BU64" i="161" s="1"/>
  <c r="BR64" i="161" s="1"/>
  <c r="BS64" i="161" s="1"/>
  <c r="BP64" i="161"/>
  <c r="BQ64" i="161" s="1"/>
  <c r="BN64" i="161" s="1"/>
  <c r="BO64" i="161" s="1"/>
  <c r="BM64" i="161"/>
  <c r="AZ64" i="161"/>
  <c r="BT63" i="161"/>
  <c r="BU63" i="161" s="1"/>
  <c r="BR63" i="161" s="1"/>
  <c r="BS63" i="161" s="1"/>
  <c r="BP63" i="161"/>
  <c r="BQ63" i="161" s="1"/>
  <c r="BN63" i="161" s="1"/>
  <c r="BO63" i="161" s="1"/>
  <c r="BM63" i="161"/>
  <c r="AZ63" i="161"/>
  <c r="BT62" i="161"/>
  <c r="BU62" i="161" s="1"/>
  <c r="BR62" i="161" s="1"/>
  <c r="BS62" i="161" s="1"/>
  <c r="BP62" i="161"/>
  <c r="BQ62" i="161" s="1"/>
  <c r="BN62" i="161" s="1"/>
  <c r="BO62" i="161" s="1"/>
  <c r="BM62" i="161"/>
  <c r="AZ62" i="161"/>
  <c r="BT61" i="161"/>
  <c r="BU61" i="161" s="1"/>
  <c r="BR61" i="161" s="1"/>
  <c r="BS61" i="161" s="1"/>
  <c r="BP61" i="161"/>
  <c r="BQ61" i="161" s="1"/>
  <c r="BN61" i="161" s="1"/>
  <c r="BO61" i="161" s="1"/>
  <c r="BM61" i="161"/>
  <c r="AZ61" i="161"/>
  <c r="BT60" i="161"/>
  <c r="BU60" i="161" s="1"/>
  <c r="BR60" i="161" s="1"/>
  <c r="BS60" i="161" s="1"/>
  <c r="BP60" i="161"/>
  <c r="BQ60" i="161" s="1"/>
  <c r="BN60" i="161" s="1"/>
  <c r="BO60" i="161" s="1"/>
  <c r="BM60" i="161"/>
  <c r="AZ60" i="161"/>
  <c r="BT59" i="161"/>
  <c r="BU59" i="161" s="1"/>
  <c r="BR59" i="161" s="1"/>
  <c r="BS59" i="161" s="1"/>
  <c r="BQ59" i="161"/>
  <c r="BN59" i="161" s="1"/>
  <c r="BO59" i="161" s="1"/>
  <c r="BP59" i="161"/>
  <c r="BM59" i="161"/>
  <c r="AZ59" i="161"/>
  <c r="BT58" i="161"/>
  <c r="BU58" i="161" s="1"/>
  <c r="BR58" i="161" s="1"/>
  <c r="BS58" i="161" s="1"/>
  <c r="BP58" i="161"/>
  <c r="BQ58" i="161" s="1"/>
  <c r="BN58" i="161" s="1"/>
  <c r="BO58" i="161" s="1"/>
  <c r="BM58" i="161"/>
  <c r="AZ58" i="161"/>
  <c r="BT57" i="161"/>
  <c r="BU57" i="161" s="1"/>
  <c r="BR57" i="161" s="1"/>
  <c r="BS57" i="161" s="1"/>
  <c r="BP57" i="161"/>
  <c r="BQ57" i="161" s="1"/>
  <c r="BN57" i="161" s="1"/>
  <c r="BO57" i="161" s="1"/>
  <c r="BM57" i="161"/>
  <c r="AZ57" i="161"/>
  <c r="BT56" i="161"/>
  <c r="BU56" i="161" s="1"/>
  <c r="BR56" i="161" s="1"/>
  <c r="BS56" i="161" s="1"/>
  <c r="BP56" i="161"/>
  <c r="BQ56" i="161" s="1"/>
  <c r="BN56" i="161" s="1"/>
  <c r="BO56" i="161" s="1"/>
  <c r="BM56" i="161"/>
  <c r="AZ56" i="161"/>
  <c r="AO56" i="161"/>
  <c r="AP56" i="161" s="1"/>
  <c r="AJ56" i="161" s="1"/>
  <c r="A56" i="161" s="1"/>
  <c r="AM56" i="161"/>
  <c r="AN56" i="161" s="1"/>
  <c r="AH56" i="161" s="1"/>
  <c r="B56" i="161" s="1"/>
  <c r="U56" i="161"/>
  <c r="L56" i="161"/>
  <c r="M56" i="161" s="1"/>
  <c r="BT54" i="161"/>
  <c r="BU54" i="161" s="1"/>
  <c r="BR54" i="161" s="1"/>
  <c r="BS54" i="161" s="1"/>
  <c r="BP54" i="161"/>
  <c r="BQ54" i="161" s="1"/>
  <c r="BN54" i="161" s="1"/>
  <c r="BO54" i="161" s="1"/>
  <c r="BM54" i="161"/>
  <c r="BL54" i="161"/>
  <c r="AZ54" i="161"/>
  <c r="BT53" i="161"/>
  <c r="BU53" i="161" s="1"/>
  <c r="BR53" i="161" s="1"/>
  <c r="BS53" i="161" s="1"/>
  <c r="BP53" i="161"/>
  <c r="BQ53" i="161" s="1"/>
  <c r="BN53" i="161" s="1"/>
  <c r="BO53" i="161" s="1"/>
  <c r="BM53" i="161"/>
  <c r="BL53" i="161"/>
  <c r="AZ53" i="161"/>
  <c r="BT51" i="161"/>
  <c r="BU51" i="161" s="1"/>
  <c r="BR51" i="161" s="1"/>
  <c r="BS51" i="161" s="1"/>
  <c r="BP51" i="161"/>
  <c r="BQ51" i="161" s="1"/>
  <c r="BN51" i="161" s="1"/>
  <c r="BO51" i="161" s="1"/>
  <c r="BM51" i="161"/>
  <c r="AZ51" i="161"/>
  <c r="BT50" i="161"/>
  <c r="BU50" i="161" s="1"/>
  <c r="BR50" i="161" s="1"/>
  <c r="BS50" i="161" s="1"/>
  <c r="BP50" i="161"/>
  <c r="BQ50" i="161" s="1"/>
  <c r="BN50" i="161" s="1"/>
  <c r="BO50" i="161" s="1"/>
  <c r="BM50" i="161"/>
  <c r="AZ50" i="161"/>
  <c r="BT49" i="161"/>
  <c r="BU49" i="161" s="1"/>
  <c r="BR49" i="161" s="1"/>
  <c r="BS49" i="161" s="1"/>
  <c r="BP49" i="161"/>
  <c r="BQ49" i="161" s="1"/>
  <c r="BN49" i="161" s="1"/>
  <c r="BO49" i="161" s="1"/>
  <c r="BM49" i="161"/>
  <c r="AZ49" i="161"/>
  <c r="BT48" i="161"/>
  <c r="BU48" i="161" s="1"/>
  <c r="BR48" i="161" s="1"/>
  <c r="BS48" i="161" s="1"/>
  <c r="BP48" i="161"/>
  <c r="BQ48" i="161" s="1"/>
  <c r="BN48" i="161" s="1"/>
  <c r="BO48" i="161" s="1"/>
  <c r="BM48" i="161"/>
  <c r="AZ48" i="161"/>
  <c r="BT47" i="161"/>
  <c r="BU47" i="161" s="1"/>
  <c r="BR47" i="161" s="1"/>
  <c r="BS47" i="161" s="1"/>
  <c r="BP47" i="161"/>
  <c r="BQ47" i="161" s="1"/>
  <c r="BN47" i="161" s="1"/>
  <c r="BO47" i="161" s="1"/>
  <c r="BM47" i="161"/>
  <c r="AZ47" i="161"/>
  <c r="AO47" i="161"/>
  <c r="AP47" i="161" s="1"/>
  <c r="AJ47" i="161" s="1"/>
  <c r="A47" i="161" s="1"/>
  <c r="AM47" i="161"/>
  <c r="AN47" i="161" s="1"/>
  <c r="AH47" i="161" s="1"/>
  <c r="B47" i="161" s="1"/>
  <c r="U47" i="161"/>
  <c r="L47" i="161"/>
  <c r="M47" i="161" s="1"/>
  <c r="BT46" i="161"/>
  <c r="BU46" i="161" s="1"/>
  <c r="BR46" i="161" s="1"/>
  <c r="BS46" i="161" s="1"/>
  <c r="BP46" i="161"/>
  <c r="BQ46" i="161" s="1"/>
  <c r="BN46" i="161" s="1"/>
  <c r="BO46" i="161" s="1"/>
  <c r="BM46" i="161"/>
  <c r="AZ46" i="161"/>
  <c r="BT45" i="161"/>
  <c r="BU45" i="161" s="1"/>
  <c r="BR45" i="161" s="1"/>
  <c r="BS45" i="161" s="1"/>
  <c r="BP45" i="161"/>
  <c r="BQ45" i="161" s="1"/>
  <c r="BN45" i="161" s="1"/>
  <c r="BO45" i="161" s="1"/>
  <c r="BM45" i="161"/>
  <c r="AZ45" i="161"/>
  <c r="BT44" i="161"/>
  <c r="BU44" i="161" s="1"/>
  <c r="BR44" i="161" s="1"/>
  <c r="BS44" i="161" s="1"/>
  <c r="BP44" i="161"/>
  <c r="BQ44" i="161" s="1"/>
  <c r="BN44" i="161" s="1"/>
  <c r="BO44" i="161" s="1"/>
  <c r="BM44" i="161"/>
  <c r="AZ44" i="161"/>
  <c r="BT43" i="161"/>
  <c r="BU43" i="161" s="1"/>
  <c r="BR43" i="161" s="1"/>
  <c r="BS43" i="161" s="1"/>
  <c r="BP43" i="161"/>
  <c r="BQ43" i="161" s="1"/>
  <c r="BN43" i="161" s="1"/>
  <c r="BO43" i="161" s="1"/>
  <c r="BM43" i="161"/>
  <c r="AZ43" i="161"/>
  <c r="BT42" i="161"/>
  <c r="BU42" i="161" s="1"/>
  <c r="BR42" i="161" s="1"/>
  <c r="BS42" i="161" s="1"/>
  <c r="BP42" i="161"/>
  <c r="BQ42" i="161" s="1"/>
  <c r="BN42" i="161" s="1"/>
  <c r="BO42" i="161" s="1"/>
  <c r="BM42" i="161"/>
  <c r="AZ42" i="161"/>
  <c r="BT41" i="161"/>
  <c r="BU41" i="161" s="1"/>
  <c r="BR41" i="161" s="1"/>
  <c r="BS41" i="161" s="1"/>
  <c r="BP41" i="161"/>
  <c r="BQ41" i="161" s="1"/>
  <c r="BN41" i="161" s="1"/>
  <c r="BO41" i="161" s="1"/>
  <c r="BM41" i="161"/>
  <c r="AZ41" i="161"/>
  <c r="BT40" i="161"/>
  <c r="BU40" i="161" s="1"/>
  <c r="BR40" i="161" s="1"/>
  <c r="BS40" i="161" s="1"/>
  <c r="BP40" i="161"/>
  <c r="BQ40" i="161" s="1"/>
  <c r="BN40" i="161" s="1"/>
  <c r="BO40" i="161" s="1"/>
  <c r="BM40" i="161"/>
  <c r="AZ40" i="161"/>
  <c r="BT39" i="161"/>
  <c r="BU39" i="161" s="1"/>
  <c r="BR39" i="161" s="1"/>
  <c r="BS39" i="161" s="1"/>
  <c r="BP39" i="161"/>
  <c r="BQ39" i="161" s="1"/>
  <c r="BN39" i="161" s="1"/>
  <c r="BO39" i="161" s="1"/>
  <c r="BM39" i="161"/>
  <c r="AZ39" i="161"/>
  <c r="AO39" i="161"/>
  <c r="AP39" i="161" s="1"/>
  <c r="AJ39" i="161" s="1"/>
  <c r="A39" i="161" s="1"/>
  <c r="AM39" i="161"/>
  <c r="AN39" i="161" s="1"/>
  <c r="AH39" i="161" s="1"/>
  <c r="B39" i="161" s="1"/>
  <c r="U39" i="161"/>
  <c r="L39" i="161"/>
  <c r="M39" i="161" s="1"/>
  <c r="BT38" i="161"/>
  <c r="BU38" i="161" s="1"/>
  <c r="BR38" i="161" s="1"/>
  <c r="BS38" i="161" s="1"/>
  <c r="BP38" i="161"/>
  <c r="BQ38" i="161" s="1"/>
  <c r="BN38" i="161" s="1"/>
  <c r="BO38" i="161" s="1"/>
  <c r="BM38" i="161"/>
  <c r="AZ38" i="161"/>
  <c r="BT37" i="161"/>
  <c r="BU37" i="161" s="1"/>
  <c r="BR37" i="161" s="1"/>
  <c r="BS37" i="161" s="1"/>
  <c r="BP37" i="161"/>
  <c r="BQ37" i="161" s="1"/>
  <c r="BN37" i="161" s="1"/>
  <c r="BO37" i="161" s="1"/>
  <c r="BM37" i="161"/>
  <c r="AZ37" i="161"/>
  <c r="BT36" i="161"/>
  <c r="BU36" i="161" s="1"/>
  <c r="BR36" i="161" s="1"/>
  <c r="BS36" i="161" s="1"/>
  <c r="BP36" i="161"/>
  <c r="BQ36" i="161" s="1"/>
  <c r="BN36" i="161" s="1"/>
  <c r="BO36" i="161" s="1"/>
  <c r="BM36" i="161"/>
  <c r="AZ36" i="161"/>
  <c r="BT35" i="161"/>
  <c r="BU35" i="161" s="1"/>
  <c r="BR35" i="161" s="1"/>
  <c r="BS35" i="161" s="1"/>
  <c r="BP35" i="161"/>
  <c r="BQ35" i="161" s="1"/>
  <c r="BN35" i="161" s="1"/>
  <c r="BO35" i="161" s="1"/>
  <c r="BM35" i="161"/>
  <c r="AZ35" i="161"/>
  <c r="BT34" i="161"/>
  <c r="BU34" i="161" s="1"/>
  <c r="BR34" i="161" s="1"/>
  <c r="BS34" i="161" s="1"/>
  <c r="BP34" i="161"/>
  <c r="BQ34" i="161" s="1"/>
  <c r="BN34" i="161" s="1"/>
  <c r="BO34" i="161" s="1"/>
  <c r="BM34" i="161"/>
  <c r="BL34" i="161"/>
  <c r="AZ34" i="161"/>
  <c r="BT32" i="161"/>
  <c r="BU32" i="161" s="1"/>
  <c r="BR32" i="161" s="1"/>
  <c r="BS32" i="161" s="1"/>
  <c r="BP32" i="161"/>
  <c r="BQ32" i="161" s="1"/>
  <c r="BN32" i="161" s="1"/>
  <c r="BO32" i="161" s="1"/>
  <c r="BM32" i="161"/>
  <c r="AZ32" i="161"/>
  <c r="BT31" i="161"/>
  <c r="BU31" i="161" s="1"/>
  <c r="BR31" i="161" s="1"/>
  <c r="BS31" i="161" s="1"/>
  <c r="BP31" i="161"/>
  <c r="BQ31" i="161" s="1"/>
  <c r="BN31" i="161" s="1"/>
  <c r="BO31" i="161" s="1"/>
  <c r="BM31" i="161"/>
  <c r="AZ31" i="161"/>
  <c r="BT30" i="161"/>
  <c r="BU30" i="161" s="1"/>
  <c r="BR30" i="161" s="1"/>
  <c r="BS30" i="161" s="1"/>
  <c r="BP30" i="161"/>
  <c r="BQ30" i="161" s="1"/>
  <c r="BN30" i="161" s="1"/>
  <c r="BO30" i="161" s="1"/>
  <c r="BM30" i="161"/>
  <c r="AZ30" i="161"/>
  <c r="BT29" i="161"/>
  <c r="BU29" i="161" s="1"/>
  <c r="BR29" i="161" s="1"/>
  <c r="BS29" i="161" s="1"/>
  <c r="BP29" i="161"/>
  <c r="BQ29" i="161" s="1"/>
  <c r="BN29" i="161" s="1"/>
  <c r="BO29" i="161" s="1"/>
  <c r="BM29" i="161"/>
  <c r="AZ29" i="161"/>
  <c r="BT28" i="161"/>
  <c r="BU28" i="161" s="1"/>
  <c r="BR28" i="161" s="1"/>
  <c r="BS28" i="161" s="1"/>
  <c r="BP28" i="161"/>
  <c r="BQ28" i="161" s="1"/>
  <c r="BN28" i="161" s="1"/>
  <c r="BO28" i="161" s="1"/>
  <c r="BM28" i="161"/>
  <c r="AZ28" i="161"/>
  <c r="BT27" i="161"/>
  <c r="BU27" i="161" s="1"/>
  <c r="BR27" i="161" s="1"/>
  <c r="BS27" i="161" s="1"/>
  <c r="BP27" i="161"/>
  <c r="BQ27" i="161" s="1"/>
  <c r="BN27" i="161" s="1"/>
  <c r="BO27" i="161" s="1"/>
  <c r="BM27" i="161"/>
  <c r="AZ27" i="161"/>
  <c r="BT26" i="161"/>
  <c r="BU26" i="161" s="1"/>
  <c r="BR26" i="161" s="1"/>
  <c r="BS26" i="161" s="1"/>
  <c r="BP26" i="161"/>
  <c r="BQ26" i="161" s="1"/>
  <c r="BN26" i="161" s="1"/>
  <c r="BO26" i="161" s="1"/>
  <c r="BM26" i="161"/>
  <c r="AZ26" i="161"/>
  <c r="BT24" i="161"/>
  <c r="BU24" i="161" s="1"/>
  <c r="BR24" i="161" s="1"/>
  <c r="BS24" i="161" s="1"/>
  <c r="BP24" i="161"/>
  <c r="BQ24" i="161" s="1"/>
  <c r="BN24" i="161" s="1"/>
  <c r="BO24" i="161" s="1"/>
  <c r="BM24" i="161"/>
  <c r="AZ24" i="161"/>
  <c r="BT23" i="161"/>
  <c r="BU23" i="161" s="1"/>
  <c r="BR23" i="161" s="1"/>
  <c r="BS23" i="161" s="1"/>
  <c r="BP23" i="161"/>
  <c r="BQ23" i="161" s="1"/>
  <c r="BN23" i="161" s="1"/>
  <c r="BO23" i="161" s="1"/>
  <c r="BM23" i="161"/>
  <c r="AZ23" i="161"/>
  <c r="BT22" i="161"/>
  <c r="BU22" i="161" s="1"/>
  <c r="BR22" i="161" s="1"/>
  <c r="BS22" i="161" s="1"/>
  <c r="BP22" i="161"/>
  <c r="BQ22" i="161" s="1"/>
  <c r="BN22" i="161" s="1"/>
  <c r="BO22" i="161" s="1"/>
  <c r="BM22" i="161"/>
  <c r="AZ22" i="161"/>
  <c r="BT21" i="161"/>
  <c r="BU21" i="161" s="1"/>
  <c r="BR21" i="161" s="1"/>
  <c r="BS21" i="161" s="1"/>
  <c r="BP21" i="161"/>
  <c r="BQ21" i="161" s="1"/>
  <c r="BN21" i="161" s="1"/>
  <c r="BO21" i="161" s="1"/>
  <c r="BM21" i="161"/>
  <c r="AZ21" i="161"/>
  <c r="BT20" i="161"/>
  <c r="BU20" i="161" s="1"/>
  <c r="BR20" i="161" s="1"/>
  <c r="BS20" i="161" s="1"/>
  <c r="BP20" i="161"/>
  <c r="BQ20" i="161" s="1"/>
  <c r="BN20" i="161" s="1"/>
  <c r="BO20" i="161" s="1"/>
  <c r="BM20" i="161"/>
  <c r="AZ20" i="161"/>
  <c r="BT19" i="161"/>
  <c r="BU19" i="161" s="1"/>
  <c r="BR19" i="161" s="1"/>
  <c r="BS19" i="161" s="1"/>
  <c r="BP19" i="161"/>
  <c r="BQ19" i="161" s="1"/>
  <c r="BN19" i="161" s="1"/>
  <c r="BO19" i="161" s="1"/>
  <c r="BM19" i="161"/>
  <c r="AZ19" i="161"/>
  <c r="BT18" i="161"/>
  <c r="BU18" i="161" s="1"/>
  <c r="BR18" i="161" s="1"/>
  <c r="BS18" i="161" s="1"/>
  <c r="BP18" i="161"/>
  <c r="BQ18" i="161" s="1"/>
  <c r="BN18" i="161" s="1"/>
  <c r="BO18" i="161" s="1"/>
  <c r="BM18" i="161"/>
  <c r="AZ18" i="161"/>
  <c r="BT17" i="161"/>
  <c r="BU17" i="161" s="1"/>
  <c r="BR17" i="161" s="1"/>
  <c r="BS17" i="161" s="1"/>
  <c r="BP17" i="161"/>
  <c r="BQ17" i="161" s="1"/>
  <c r="BN17" i="161" s="1"/>
  <c r="BO17" i="161" s="1"/>
  <c r="BM17" i="161"/>
  <c r="AZ17" i="161"/>
  <c r="BT16" i="161"/>
  <c r="BU16" i="161" s="1"/>
  <c r="BR16" i="161" s="1"/>
  <c r="BS16" i="161" s="1"/>
  <c r="BP16" i="161"/>
  <c r="BQ16" i="161" s="1"/>
  <c r="BN16" i="161" s="1"/>
  <c r="BO16" i="161" s="1"/>
  <c r="BM16" i="161"/>
  <c r="AZ16" i="161"/>
  <c r="BT15" i="161"/>
  <c r="BU15" i="161" s="1"/>
  <c r="BR15" i="161" s="1"/>
  <c r="BS15" i="161" s="1"/>
  <c r="BP15" i="161"/>
  <c r="BQ15" i="161" s="1"/>
  <c r="BN15" i="161" s="1"/>
  <c r="BO15" i="161" s="1"/>
  <c r="BM15" i="161"/>
  <c r="AZ15" i="161"/>
  <c r="X366" i="161" l="1"/>
  <c r="D113" i="161"/>
  <c r="C113" i="161" s="1"/>
  <c r="BL112" i="161"/>
  <c r="D252" i="161"/>
  <c r="BL252" i="161" s="1"/>
  <c r="BL251" i="161"/>
  <c r="C220" i="161"/>
  <c r="BL220" i="161"/>
  <c r="C80" i="161"/>
  <c r="BL80" i="161"/>
  <c r="C53" i="161"/>
  <c r="N251" i="161"/>
  <c r="N413" i="161"/>
  <c r="R413" i="161"/>
  <c r="M331" i="161"/>
  <c r="X251" i="161"/>
  <c r="N212" i="161"/>
  <c r="X56" i="161"/>
  <c r="M229" i="161"/>
  <c r="N265" i="161"/>
  <c r="M345" i="161"/>
  <c r="X220" i="161"/>
  <c r="N463" i="161"/>
  <c r="X203" i="161"/>
  <c r="N239" i="161"/>
  <c r="X99" i="161"/>
  <c r="M413" i="161"/>
  <c r="N56" i="161"/>
  <c r="X95" i="161"/>
  <c r="M333" i="161"/>
  <c r="X147" i="161"/>
  <c r="M147" i="161"/>
  <c r="X191" i="161"/>
  <c r="M191" i="161"/>
  <c r="N65" i="161"/>
  <c r="N95" i="161"/>
  <c r="M203" i="161"/>
  <c r="X212" i="161"/>
  <c r="M220" i="161"/>
  <c r="N193" i="161"/>
  <c r="N333" i="161"/>
  <c r="Z413" i="161"/>
  <c r="M326" i="161"/>
  <c r="P422" i="161"/>
  <c r="Z422" i="161" s="1"/>
  <c r="N326" i="161"/>
  <c r="M343" i="161"/>
  <c r="M335" i="161"/>
  <c r="N72" i="161"/>
  <c r="N90" i="161"/>
  <c r="M90" i="161"/>
  <c r="N99" i="161"/>
  <c r="M112" i="161"/>
  <c r="M170" i="161"/>
  <c r="N112" i="161"/>
  <c r="X188" i="161"/>
  <c r="N188" i="161"/>
  <c r="X184" i="161"/>
  <c r="N184" i="161"/>
  <c r="M184" i="161"/>
  <c r="X214" i="161"/>
  <c r="M214" i="161"/>
  <c r="N216" i="161"/>
  <c r="N229" i="161"/>
  <c r="N214" i="161"/>
  <c r="M308" i="161"/>
  <c r="N308" i="161"/>
  <c r="X216" i="161"/>
  <c r="BL55" i="161"/>
  <c r="N304" i="161"/>
  <c r="C362" i="161"/>
  <c r="BL362" i="161"/>
  <c r="N314" i="161"/>
  <c r="X324" i="161"/>
  <c r="N324" i="161"/>
  <c r="M324" i="161"/>
  <c r="N335" i="161"/>
  <c r="X337" i="161"/>
  <c r="N316" i="161"/>
  <c r="T413" i="161"/>
  <c r="V413" i="161" s="1"/>
  <c r="W413" i="161" s="1"/>
  <c r="M445" i="161"/>
  <c r="X463" i="161"/>
  <c r="AA463" i="161" s="1"/>
  <c r="C330" i="161"/>
  <c r="N422" i="161"/>
  <c r="P445" i="161"/>
  <c r="R445" i="161" s="1"/>
  <c r="C112" i="161"/>
  <c r="C251" i="161"/>
  <c r="N337" i="161"/>
  <c r="X413" i="161"/>
  <c r="AA413" i="161" s="1"/>
  <c r="N452" i="161"/>
  <c r="X345" i="161"/>
  <c r="N371" i="161"/>
  <c r="M463" i="161"/>
  <c r="C105" i="161"/>
  <c r="X39" i="161"/>
  <c r="N39" i="161"/>
  <c r="X47" i="161"/>
  <c r="N47" i="161"/>
  <c r="M73" i="161"/>
  <c r="N73" i="161"/>
  <c r="X72" i="161"/>
  <c r="M72" i="161"/>
  <c r="M85" i="161"/>
  <c r="X85" i="161"/>
  <c r="X65" i="161"/>
  <c r="N85" i="161"/>
  <c r="X90" i="161"/>
  <c r="M128" i="161"/>
  <c r="M136" i="161"/>
  <c r="X129" i="161"/>
  <c r="N129" i="161"/>
  <c r="N141" i="161"/>
  <c r="M129" i="161"/>
  <c r="M141" i="161"/>
  <c r="X122" i="161"/>
  <c r="N122" i="161"/>
  <c r="X125" i="161"/>
  <c r="N125" i="161"/>
  <c r="M125" i="161"/>
  <c r="X128" i="161"/>
  <c r="N128" i="161"/>
  <c r="X136" i="161"/>
  <c r="N136" i="161"/>
  <c r="M146" i="161"/>
  <c r="X155" i="161"/>
  <c r="M155" i="161"/>
  <c r="X146" i="161"/>
  <c r="N146" i="161"/>
  <c r="X151" i="161"/>
  <c r="M151" i="161"/>
  <c r="X158" i="161"/>
  <c r="N158" i="161"/>
  <c r="X170" i="161"/>
  <c r="N170" i="161"/>
  <c r="X166" i="161"/>
  <c r="N166" i="161"/>
  <c r="X164" i="161"/>
  <c r="N164" i="161"/>
  <c r="M193" i="161"/>
  <c r="X193" i="161"/>
  <c r="M194" i="161"/>
  <c r="N181" i="161"/>
  <c r="X181" i="161"/>
  <c r="N191" i="161"/>
  <c r="X194" i="161"/>
  <c r="N194" i="161"/>
  <c r="N226" i="161"/>
  <c r="N206" i="161"/>
  <c r="X206" i="161"/>
  <c r="M226" i="161"/>
  <c r="X234" i="161"/>
  <c r="N234" i="161"/>
  <c r="M234" i="161"/>
  <c r="M239" i="161"/>
  <c r="M271" i="161"/>
  <c r="N271" i="161"/>
  <c r="M265" i="161"/>
  <c r="M304" i="161"/>
  <c r="X304" i="161"/>
  <c r="M312" i="161"/>
  <c r="X312" i="161"/>
  <c r="X308" i="161"/>
  <c r="M314" i="161"/>
  <c r="X314" i="161"/>
  <c r="M316" i="161"/>
  <c r="X316" i="161"/>
  <c r="X341" i="161"/>
  <c r="M341" i="161"/>
  <c r="N341" i="161"/>
  <c r="N343" i="161"/>
  <c r="X356" i="161"/>
  <c r="N356" i="161"/>
  <c r="X354" i="161"/>
  <c r="N354" i="161"/>
  <c r="M354" i="161"/>
  <c r="M362" i="161"/>
  <c r="N362" i="161"/>
  <c r="Y445" i="161"/>
  <c r="AA445" i="161" s="1"/>
  <c r="P403" i="161"/>
  <c r="X403" i="161"/>
  <c r="N403" i="161"/>
  <c r="M403" i="161"/>
  <c r="M366" i="161"/>
  <c r="M371" i="161"/>
  <c r="M422" i="161"/>
  <c r="Y422" i="161"/>
  <c r="AA422" i="161" s="1"/>
  <c r="R463" i="161"/>
  <c r="T463" i="161"/>
  <c r="V463" i="161" s="1"/>
  <c r="W463" i="161" s="1"/>
  <c r="Q463" i="161"/>
  <c r="Z463" i="161"/>
  <c r="Q413" i="161"/>
  <c r="N445" i="161"/>
  <c r="M452" i="161"/>
  <c r="P452" i="161"/>
  <c r="C34" i="161"/>
  <c r="D35" i="161"/>
  <c r="C55" i="161"/>
  <c r="D56" i="161"/>
  <c r="D26" i="161"/>
  <c r="D181" i="161"/>
  <c r="C86" i="161"/>
  <c r="D87" i="161"/>
  <c r="C85" i="161"/>
  <c r="D299" i="161"/>
  <c r="C106" i="161"/>
  <c r="D107" i="161"/>
  <c r="D81" i="161"/>
  <c r="D221" i="161"/>
  <c r="D226" i="161"/>
  <c r="C391" i="161"/>
  <c r="D392" i="161"/>
  <c r="C255" i="161"/>
  <c r="C331" i="161"/>
  <c r="D332" i="161"/>
  <c r="C256" i="161"/>
  <c r="D257" i="161"/>
  <c r="C280" i="161"/>
  <c r="D281" i="161"/>
  <c r="D304" i="161"/>
  <c r="D265" i="161"/>
  <c r="D403" i="161"/>
  <c r="C431" i="161"/>
  <c r="D432" i="161"/>
  <c r="D363" i="161"/>
  <c r="D453" i="161"/>
  <c r="D253" i="161" l="1"/>
  <c r="BL254" i="161" s="1"/>
  <c r="Z445" i="161"/>
  <c r="C252" i="161"/>
  <c r="Q445" i="161"/>
  <c r="D114" i="161"/>
  <c r="BL113" i="161"/>
  <c r="T445" i="161"/>
  <c r="V445" i="161" s="1"/>
  <c r="W445" i="161" s="1"/>
  <c r="T422" i="161"/>
  <c r="V422" i="161" s="1"/>
  <c r="W422" i="161" s="1"/>
  <c r="R422" i="161"/>
  <c r="Q422" i="161"/>
  <c r="D333" i="161"/>
  <c r="C332" i="161"/>
  <c r="BL332" i="161"/>
  <c r="C304" i="161"/>
  <c r="D305" i="161"/>
  <c r="BL304" i="161"/>
  <c r="D82" i="161"/>
  <c r="C81" i="161"/>
  <c r="BL81" i="161"/>
  <c r="D282" i="161"/>
  <c r="C281" i="161"/>
  <c r="BL281" i="161"/>
  <c r="C392" i="161"/>
  <c r="D393" i="161"/>
  <c r="C363" i="161"/>
  <c r="D364" i="161"/>
  <c r="BL363" i="161"/>
  <c r="D300" i="161"/>
  <c r="C299" i="161"/>
  <c r="BL299" i="161"/>
  <c r="D27" i="161"/>
  <c r="C26" i="161"/>
  <c r="BL26" i="161"/>
  <c r="C226" i="161"/>
  <c r="D227" i="161"/>
  <c r="BL226" i="161"/>
  <c r="D88" i="161"/>
  <c r="C87" i="161"/>
  <c r="BL87" i="161"/>
  <c r="D36" i="161"/>
  <c r="C35" i="161"/>
  <c r="BL35" i="161"/>
  <c r="C403" i="161"/>
  <c r="D404" i="161"/>
  <c r="D57" i="161"/>
  <c r="C56" i="161"/>
  <c r="BL56" i="161"/>
  <c r="C432" i="161"/>
  <c r="D433" i="161"/>
  <c r="D182" i="161"/>
  <c r="C181" i="161"/>
  <c r="BL181" i="161"/>
  <c r="R452" i="161"/>
  <c r="Z452" i="161"/>
  <c r="Q452" i="161"/>
  <c r="Y452" i="161"/>
  <c r="AA452" i="161" s="1"/>
  <c r="T452" i="161"/>
  <c r="D222" i="161"/>
  <c r="C221" i="161"/>
  <c r="BL221" i="161"/>
  <c r="C253" i="161"/>
  <c r="D108" i="161"/>
  <c r="C107" i="161"/>
  <c r="BL107" i="161"/>
  <c r="T403" i="161"/>
  <c r="Z403" i="161"/>
  <c r="Q403" i="161"/>
  <c r="Y403" i="161"/>
  <c r="AA403" i="161" s="1"/>
  <c r="R403" i="161"/>
  <c r="C453" i="161"/>
  <c r="D454" i="161"/>
  <c r="C265" i="161"/>
  <c r="D266" i="161"/>
  <c r="BL265" i="161"/>
  <c r="D258" i="161"/>
  <c r="C257" i="161"/>
  <c r="BL257" i="161"/>
  <c r="BL114" i="161" l="1"/>
  <c r="C114" i="161"/>
  <c r="D115" i="161"/>
  <c r="BL253" i="161"/>
  <c r="C254" i="161"/>
  <c r="C258" i="161"/>
  <c r="D259" i="161"/>
  <c r="BL258" i="161"/>
  <c r="C182" i="161"/>
  <c r="D183" i="161"/>
  <c r="BL182" i="161"/>
  <c r="C454" i="161"/>
  <c r="D455" i="161"/>
  <c r="C433" i="161"/>
  <c r="D434" i="161"/>
  <c r="C300" i="161"/>
  <c r="D301" i="161"/>
  <c r="BL300" i="161"/>
  <c r="C282" i="161"/>
  <c r="D283" i="161"/>
  <c r="BL282" i="161"/>
  <c r="C333" i="161"/>
  <c r="D334" i="161"/>
  <c r="BL333" i="161"/>
  <c r="V403" i="161"/>
  <c r="C222" i="161"/>
  <c r="D223" i="161"/>
  <c r="BL222" i="161"/>
  <c r="C36" i="161"/>
  <c r="D37" i="161"/>
  <c r="BL36" i="161"/>
  <c r="C364" i="161"/>
  <c r="D365" i="161"/>
  <c r="BL364" i="161"/>
  <c r="C82" i="161"/>
  <c r="D83" i="161"/>
  <c r="BL82" i="161"/>
  <c r="C57" i="161"/>
  <c r="D58" i="161"/>
  <c r="BL57" i="161"/>
  <c r="C393" i="161"/>
  <c r="D394" i="161"/>
  <c r="D306" i="161"/>
  <c r="C305" i="161"/>
  <c r="BL305" i="161"/>
  <c r="C108" i="161"/>
  <c r="D109" i="161"/>
  <c r="BL108" i="161"/>
  <c r="C266" i="161"/>
  <c r="D267" i="161"/>
  <c r="BL266" i="161"/>
  <c r="C88" i="161"/>
  <c r="D89" i="161"/>
  <c r="BL88" i="161"/>
  <c r="C27" i="161"/>
  <c r="D28" i="161"/>
  <c r="BL27" i="161"/>
  <c r="C404" i="161"/>
  <c r="D405" i="161"/>
  <c r="V452" i="161"/>
  <c r="D228" i="161"/>
  <c r="C227" i="161"/>
  <c r="BL227" i="161"/>
  <c r="D116" i="161" l="1"/>
  <c r="C115" i="161"/>
  <c r="BL115" i="161"/>
  <c r="C405" i="161"/>
  <c r="D406" i="161"/>
  <c r="D90" i="161"/>
  <c r="C89" i="161"/>
  <c r="BL89" i="161"/>
  <c r="C228" i="161"/>
  <c r="D229" i="161"/>
  <c r="BL228" i="161"/>
  <c r="C58" i="161"/>
  <c r="D59" i="161"/>
  <c r="BL58" i="161"/>
  <c r="C455" i="161"/>
  <c r="D456" i="161"/>
  <c r="W452" i="161"/>
  <c r="C28" i="161"/>
  <c r="D29" i="161"/>
  <c r="BL28" i="161"/>
  <c r="C334" i="161"/>
  <c r="D335" i="161"/>
  <c r="BL334" i="161"/>
  <c r="C259" i="161"/>
  <c r="D260" i="161"/>
  <c r="BL259" i="161"/>
  <c r="D268" i="161"/>
  <c r="C267" i="161"/>
  <c r="BL267" i="161"/>
  <c r="D110" i="161"/>
  <c r="C109" i="161"/>
  <c r="BL109" i="161"/>
  <c r="C306" i="161"/>
  <c r="D307" i="161"/>
  <c r="BL306" i="161"/>
  <c r="C84" i="161"/>
  <c r="C83" i="161"/>
  <c r="BL84" i="161"/>
  <c r="BL83" i="161"/>
  <c r="C283" i="161"/>
  <c r="D284" i="161"/>
  <c r="BL283" i="161"/>
  <c r="C37" i="161"/>
  <c r="D38" i="161"/>
  <c r="BL37" i="161"/>
  <c r="C394" i="161"/>
  <c r="D395" i="161"/>
  <c r="W403" i="161"/>
  <c r="C434" i="161"/>
  <c r="D435" i="161"/>
  <c r="C365" i="161"/>
  <c r="D366" i="161"/>
  <c r="BL365" i="161"/>
  <c r="D224" i="161"/>
  <c r="C223" i="161"/>
  <c r="BL223" i="161"/>
  <c r="C301" i="161"/>
  <c r="D302" i="161"/>
  <c r="BL301" i="161"/>
  <c r="D184" i="161"/>
  <c r="C183" i="161"/>
  <c r="BL183" i="161"/>
  <c r="C116" i="161" l="1"/>
  <c r="D117" i="161"/>
  <c r="BL116" i="161"/>
  <c r="C395" i="161"/>
  <c r="D396" i="161"/>
  <c r="D39" i="161"/>
  <c r="C38" i="161"/>
  <c r="BL38" i="161"/>
  <c r="C184" i="161"/>
  <c r="D185" i="161"/>
  <c r="BL184" i="161"/>
  <c r="C284" i="161"/>
  <c r="D285" i="161"/>
  <c r="BL284" i="161"/>
  <c r="C90" i="161"/>
  <c r="D91" i="161"/>
  <c r="BL90" i="161"/>
  <c r="C110" i="161"/>
  <c r="BL111" i="161"/>
  <c r="C111" i="161"/>
  <c r="BL110" i="161"/>
  <c r="C335" i="161"/>
  <c r="D336" i="161"/>
  <c r="BL335" i="161"/>
  <c r="D60" i="161"/>
  <c r="C59" i="161"/>
  <c r="BL59" i="161"/>
  <c r="C302" i="161"/>
  <c r="BL303" i="161"/>
  <c r="BL302" i="161"/>
  <c r="C303" i="161"/>
  <c r="C366" i="161"/>
  <c r="D367" i="161"/>
  <c r="BL366" i="161"/>
  <c r="C268" i="161"/>
  <c r="D269" i="161"/>
  <c r="BL268" i="161"/>
  <c r="C229" i="161"/>
  <c r="D230" i="161"/>
  <c r="BL229" i="161"/>
  <c r="C307" i="161"/>
  <c r="D308" i="161"/>
  <c r="BL307" i="161"/>
  <c r="C406" i="161"/>
  <c r="D407" i="161"/>
  <c r="C456" i="161"/>
  <c r="D457" i="161"/>
  <c r="C260" i="161"/>
  <c r="D261" i="161"/>
  <c r="BL260" i="161"/>
  <c r="C224" i="161"/>
  <c r="BL225" i="161"/>
  <c r="BL224" i="161"/>
  <c r="C225" i="161"/>
  <c r="C435" i="161"/>
  <c r="D436" i="161"/>
  <c r="D30" i="161"/>
  <c r="C29" i="161"/>
  <c r="BL29" i="161"/>
  <c r="I422" i="189"/>
  <c r="H422" i="189"/>
  <c r="G422" i="189"/>
  <c r="L422" i="189"/>
  <c r="Q422" i="189"/>
  <c r="R422" i="189" s="1"/>
  <c r="I421" i="189"/>
  <c r="H421" i="189"/>
  <c r="G421" i="189"/>
  <c r="D118" i="161" l="1"/>
  <c r="C117" i="161"/>
  <c r="BL117" i="161"/>
  <c r="C230" i="161"/>
  <c r="D231" i="161"/>
  <c r="BL230" i="161"/>
  <c r="C39" i="161"/>
  <c r="D40" i="161"/>
  <c r="BL39" i="161"/>
  <c r="C367" i="161"/>
  <c r="D368" i="161"/>
  <c r="BL367" i="161"/>
  <c r="D262" i="161"/>
  <c r="C261" i="161"/>
  <c r="BL261" i="161"/>
  <c r="C407" i="161"/>
  <c r="D408" i="161"/>
  <c r="C396" i="161"/>
  <c r="D397" i="161"/>
  <c r="C436" i="161"/>
  <c r="D437" i="161"/>
  <c r="C30" i="161"/>
  <c r="D31" i="161"/>
  <c r="BL30" i="161"/>
  <c r="C269" i="161"/>
  <c r="D270" i="161"/>
  <c r="BL269" i="161"/>
  <c r="C60" i="161"/>
  <c r="D61" i="161"/>
  <c r="BL60" i="161"/>
  <c r="C457" i="161"/>
  <c r="D458" i="161"/>
  <c r="D186" i="161"/>
  <c r="C185" i="161"/>
  <c r="BL185" i="161"/>
  <c r="C308" i="161"/>
  <c r="D309" i="161"/>
  <c r="BL308" i="161"/>
  <c r="C336" i="161"/>
  <c r="D337" i="161"/>
  <c r="BL336" i="161"/>
  <c r="D92" i="161"/>
  <c r="C91" i="161"/>
  <c r="BL91" i="161"/>
  <c r="D286" i="161"/>
  <c r="C285" i="161"/>
  <c r="BL285" i="161"/>
  <c r="K421" i="189"/>
  <c r="K422" i="189"/>
  <c r="M422" i="189" s="1"/>
  <c r="P422" i="189" s="1"/>
  <c r="C118" i="161" l="1"/>
  <c r="BL118" i="161"/>
  <c r="D119" i="161"/>
  <c r="C92" i="161"/>
  <c r="D93" i="161"/>
  <c r="BL92" i="161"/>
  <c r="C270" i="161"/>
  <c r="D271" i="161"/>
  <c r="BL270" i="161"/>
  <c r="C437" i="161"/>
  <c r="D438" i="161"/>
  <c r="C262" i="161"/>
  <c r="D263" i="161"/>
  <c r="BL262" i="161"/>
  <c r="D41" i="161"/>
  <c r="C40" i="161"/>
  <c r="BL40" i="161"/>
  <c r="C397" i="161"/>
  <c r="D398" i="161"/>
  <c r="C368" i="161"/>
  <c r="D369" i="161"/>
  <c r="BL368" i="161"/>
  <c r="C231" i="161"/>
  <c r="D232" i="161"/>
  <c r="BL231" i="161"/>
  <c r="C337" i="161"/>
  <c r="D338" i="161"/>
  <c r="BL337" i="161"/>
  <c r="C186" i="161"/>
  <c r="D187" i="161"/>
  <c r="BL186" i="161"/>
  <c r="D62" i="161"/>
  <c r="C61" i="161"/>
  <c r="BL61" i="161"/>
  <c r="C408" i="161"/>
  <c r="D409" i="161"/>
  <c r="C286" i="161"/>
  <c r="D287" i="161"/>
  <c r="BL286" i="161"/>
  <c r="D32" i="161"/>
  <c r="C31" i="161"/>
  <c r="BL31" i="161"/>
  <c r="C309" i="161"/>
  <c r="D310" i="161"/>
  <c r="BL309" i="161"/>
  <c r="C458" i="161"/>
  <c r="D459" i="161"/>
  <c r="C119" i="161" l="1"/>
  <c r="BL119" i="161"/>
  <c r="D120" i="161"/>
  <c r="C438" i="161"/>
  <c r="D439" i="161"/>
  <c r="D94" i="161"/>
  <c r="C93" i="161"/>
  <c r="BL93" i="161"/>
  <c r="D311" i="161"/>
  <c r="C310" i="161"/>
  <c r="BL310" i="161"/>
  <c r="D339" i="161"/>
  <c r="C338" i="161"/>
  <c r="BL338" i="161"/>
  <c r="C369" i="161"/>
  <c r="D370" i="161"/>
  <c r="BL369" i="161"/>
  <c r="C41" i="161"/>
  <c r="D42" i="161"/>
  <c r="BL41" i="161"/>
  <c r="C62" i="161"/>
  <c r="D63" i="161"/>
  <c r="BL62" i="161"/>
  <c r="D272" i="161"/>
  <c r="C271" i="161"/>
  <c r="BL271" i="161"/>
  <c r="C287" i="161"/>
  <c r="D288" i="161"/>
  <c r="BL287" i="161"/>
  <c r="C398" i="161"/>
  <c r="D399" i="161"/>
  <c r="C459" i="161"/>
  <c r="D460" i="161"/>
  <c r="C32" i="161"/>
  <c r="BL33" i="161"/>
  <c r="BL32" i="161"/>
  <c r="C33" i="161"/>
  <c r="D188" i="161"/>
  <c r="C187" i="161"/>
  <c r="BL187" i="161"/>
  <c r="C232" i="161"/>
  <c r="D233" i="161"/>
  <c r="BL232" i="161"/>
  <c r="C409" i="161"/>
  <c r="D410" i="161"/>
  <c r="C263" i="161"/>
  <c r="BL264" i="161"/>
  <c r="BL263" i="161"/>
  <c r="C264" i="161"/>
  <c r="C120" i="161" l="1"/>
  <c r="D121" i="161"/>
  <c r="BL120" i="161"/>
  <c r="C370" i="161"/>
  <c r="D371" i="161"/>
  <c r="BL370" i="161"/>
  <c r="D234" i="161"/>
  <c r="C233" i="161"/>
  <c r="BL233" i="161"/>
  <c r="C288" i="161"/>
  <c r="D289" i="161"/>
  <c r="BL288" i="161"/>
  <c r="C311" i="161"/>
  <c r="D312" i="161"/>
  <c r="BL311" i="161"/>
  <c r="C63" i="161"/>
  <c r="D64" i="161"/>
  <c r="BL63" i="161"/>
  <c r="C460" i="161"/>
  <c r="D461" i="161"/>
  <c r="C94" i="161"/>
  <c r="D95" i="161"/>
  <c r="BL94" i="161"/>
  <c r="C410" i="161"/>
  <c r="D411" i="161"/>
  <c r="C188" i="161"/>
  <c r="D189" i="161"/>
  <c r="BL188" i="161"/>
  <c r="C399" i="161"/>
  <c r="D400" i="161"/>
  <c r="C339" i="161"/>
  <c r="D340" i="161"/>
  <c r="BL339" i="161"/>
  <c r="C272" i="161"/>
  <c r="D273" i="161"/>
  <c r="BL272" i="161"/>
  <c r="D43" i="161"/>
  <c r="C42" i="161"/>
  <c r="BL42" i="161"/>
  <c r="C439" i="161"/>
  <c r="D440" i="161"/>
  <c r="A2473" i="163"/>
  <c r="A2472" i="163"/>
  <c r="A2471" i="163"/>
  <c r="A2470" i="163"/>
  <c r="A2469" i="163"/>
  <c r="A2468" i="163"/>
  <c r="A2467" i="163"/>
  <c r="A2466" i="163"/>
  <c r="A2465" i="163"/>
  <c r="A2464" i="163"/>
  <c r="A2463" i="163"/>
  <c r="A2462" i="163"/>
  <c r="A2461" i="163"/>
  <c r="A2460" i="163"/>
  <c r="A2459" i="163"/>
  <c r="A2458" i="163"/>
  <c r="A2457" i="163"/>
  <c r="A2456" i="163"/>
  <c r="A2455" i="163"/>
  <c r="A2454" i="163"/>
  <c r="A2453" i="163"/>
  <c r="A2452" i="163"/>
  <c r="A2451" i="163"/>
  <c r="A2450" i="163"/>
  <c r="A2449" i="163"/>
  <c r="A2448" i="163"/>
  <c r="A2447" i="163"/>
  <c r="A2446" i="163"/>
  <c r="A2445" i="163"/>
  <c r="A2444" i="163"/>
  <c r="A2443" i="163"/>
  <c r="A2442" i="163"/>
  <c r="A2441" i="163"/>
  <c r="A2440" i="163"/>
  <c r="A2439" i="163"/>
  <c r="A2438" i="163"/>
  <c r="A2437" i="163"/>
  <c r="A2436" i="163"/>
  <c r="A2435" i="163"/>
  <c r="A2434" i="163"/>
  <c r="A2433" i="163"/>
  <c r="A2432" i="163"/>
  <c r="A2431" i="163"/>
  <c r="A2430" i="163"/>
  <c r="A2429" i="163"/>
  <c r="A2428" i="163"/>
  <c r="A2427" i="163"/>
  <c r="A2426" i="163"/>
  <c r="A2425" i="163"/>
  <c r="A2424" i="163"/>
  <c r="A2423" i="163"/>
  <c r="A2422" i="163"/>
  <c r="A2421" i="163"/>
  <c r="A2420" i="163"/>
  <c r="A2419" i="163"/>
  <c r="A2418" i="163"/>
  <c r="A2417" i="163"/>
  <c r="A2416" i="163"/>
  <c r="A2415" i="163"/>
  <c r="A2414" i="163"/>
  <c r="A2413" i="163"/>
  <c r="A2412" i="163"/>
  <c r="A2411" i="163"/>
  <c r="A2410" i="163"/>
  <c r="A2409" i="163"/>
  <c r="A2408" i="163"/>
  <c r="A2407" i="163"/>
  <c r="A2406" i="163"/>
  <c r="A2405" i="163"/>
  <c r="A2404" i="163"/>
  <c r="A2403" i="163"/>
  <c r="A2402" i="163"/>
  <c r="A2401" i="163"/>
  <c r="A2400" i="163"/>
  <c r="A2399" i="163"/>
  <c r="A2398" i="163"/>
  <c r="A2397" i="163"/>
  <c r="A2396" i="163"/>
  <c r="A2395" i="163"/>
  <c r="A2394" i="163"/>
  <c r="A2393" i="163"/>
  <c r="A2392" i="163"/>
  <c r="A2391" i="163"/>
  <c r="A2390" i="163"/>
  <c r="A2389" i="163"/>
  <c r="A2388" i="163"/>
  <c r="A2387" i="163"/>
  <c r="A2386" i="163"/>
  <c r="A2385" i="163"/>
  <c r="A2384" i="163"/>
  <c r="A2383" i="163"/>
  <c r="A2382" i="163"/>
  <c r="A2381" i="163"/>
  <c r="A2380" i="163"/>
  <c r="A2379" i="163"/>
  <c r="A2378" i="163"/>
  <c r="A2377" i="163"/>
  <c r="A2376" i="163"/>
  <c r="A2374" i="163"/>
  <c r="A2373" i="163"/>
  <c r="A2372" i="163"/>
  <c r="A2371" i="163"/>
  <c r="A2370" i="163"/>
  <c r="A2369" i="163"/>
  <c r="A2368" i="163"/>
  <c r="A2367" i="163"/>
  <c r="A2366" i="163"/>
  <c r="A2365" i="163"/>
  <c r="A2364" i="163"/>
  <c r="A2363" i="163"/>
  <c r="A2362" i="163"/>
  <c r="A2361" i="163"/>
  <c r="A2360" i="163"/>
  <c r="A2359" i="163"/>
  <c r="A2358" i="163"/>
  <c r="A2357" i="163"/>
  <c r="A2356" i="163"/>
  <c r="A2355" i="163"/>
  <c r="A2354" i="163"/>
  <c r="A2353" i="163"/>
  <c r="A2352" i="163"/>
  <c r="A2351" i="163"/>
  <c r="A2350" i="163"/>
  <c r="A2349" i="163"/>
  <c r="A2348" i="163"/>
  <c r="A2347" i="163"/>
  <c r="A2346" i="163"/>
  <c r="A2345" i="163"/>
  <c r="A2344" i="163"/>
  <c r="A2343" i="163"/>
  <c r="A2342" i="163"/>
  <c r="A2341" i="163"/>
  <c r="A2340" i="163"/>
  <c r="A2339" i="163"/>
  <c r="A2338" i="163"/>
  <c r="A2337" i="163"/>
  <c r="A2336" i="163"/>
  <c r="A2335" i="163"/>
  <c r="A2334" i="163"/>
  <c r="A2333" i="163"/>
  <c r="A2332" i="163"/>
  <c r="A2331" i="163"/>
  <c r="A2330" i="163"/>
  <c r="A2329" i="163"/>
  <c r="A2328" i="163"/>
  <c r="A2327" i="163"/>
  <c r="A2326" i="163"/>
  <c r="A2325" i="163"/>
  <c r="A2324" i="163"/>
  <c r="A2323" i="163"/>
  <c r="A2322" i="163"/>
  <c r="A2321" i="163"/>
  <c r="A2320" i="163"/>
  <c r="A2319" i="163"/>
  <c r="A2318" i="163"/>
  <c r="A2317" i="163"/>
  <c r="A2316" i="163"/>
  <c r="A2315" i="163"/>
  <c r="A2314" i="163"/>
  <c r="A2313" i="163"/>
  <c r="A2312" i="163"/>
  <c r="A2311" i="163"/>
  <c r="A2310" i="163"/>
  <c r="A2309" i="163"/>
  <c r="A2308" i="163"/>
  <c r="A2307" i="163"/>
  <c r="A2306" i="163"/>
  <c r="A2305" i="163"/>
  <c r="A2304" i="163"/>
  <c r="A2303" i="163"/>
  <c r="A2302" i="163"/>
  <c r="A2301" i="163"/>
  <c r="A2300" i="163"/>
  <c r="A2299" i="163"/>
  <c r="A2298" i="163"/>
  <c r="A2297" i="163"/>
  <c r="A2296" i="163"/>
  <c r="A2295" i="163"/>
  <c r="A2294" i="163"/>
  <c r="A2293" i="163"/>
  <c r="A2292" i="163"/>
  <c r="A2291" i="163"/>
  <c r="A2290" i="163"/>
  <c r="A2289" i="163"/>
  <c r="A2288" i="163"/>
  <c r="A2287" i="163"/>
  <c r="A2286" i="163"/>
  <c r="A2285" i="163"/>
  <c r="A2284" i="163"/>
  <c r="A2283" i="163"/>
  <c r="A2282" i="163"/>
  <c r="A2281" i="163"/>
  <c r="A2280" i="163"/>
  <c r="A2279" i="163"/>
  <c r="A2278" i="163"/>
  <c r="A2277" i="163"/>
  <c r="A2276" i="163"/>
  <c r="A2275" i="163"/>
  <c r="A2274" i="163"/>
  <c r="A2273" i="163"/>
  <c r="A2272" i="163"/>
  <c r="A2271" i="163"/>
  <c r="A2270" i="163"/>
  <c r="A2269" i="163"/>
  <c r="A2268" i="163"/>
  <c r="A2267" i="163"/>
  <c r="A2266" i="163"/>
  <c r="A2265" i="163"/>
  <c r="A2264" i="163"/>
  <c r="A2263" i="163"/>
  <c r="A2262" i="163"/>
  <c r="A2261" i="163"/>
  <c r="A2260" i="163"/>
  <c r="A2259" i="163"/>
  <c r="A2258" i="163"/>
  <c r="A2257" i="163"/>
  <c r="A2256" i="163"/>
  <c r="A2255" i="163"/>
  <c r="A2254" i="163"/>
  <c r="A2253" i="163"/>
  <c r="A2252" i="163"/>
  <c r="A2251" i="163"/>
  <c r="A2250" i="163"/>
  <c r="A2249" i="163"/>
  <c r="A2248" i="163"/>
  <c r="A2247" i="163"/>
  <c r="A2246" i="163"/>
  <c r="A2245" i="163"/>
  <c r="A2244" i="163"/>
  <c r="A2243" i="163"/>
  <c r="A2242" i="163"/>
  <c r="A2241" i="163"/>
  <c r="A2240" i="163"/>
  <c r="A2239" i="163"/>
  <c r="A2238" i="163"/>
  <c r="A2237" i="163"/>
  <c r="A2236" i="163"/>
  <c r="A2235" i="163"/>
  <c r="A2234" i="163"/>
  <c r="A2233" i="163"/>
  <c r="A2232" i="163"/>
  <c r="A2231" i="163"/>
  <c r="A2230" i="163"/>
  <c r="A2229" i="163"/>
  <c r="A2228" i="163"/>
  <c r="A2227" i="163"/>
  <c r="A2226" i="163"/>
  <c r="A2225" i="163"/>
  <c r="A2224" i="163"/>
  <c r="A2223" i="163"/>
  <c r="A2222" i="163"/>
  <c r="A2221" i="163"/>
  <c r="A2220" i="163"/>
  <c r="A2219" i="163"/>
  <c r="A2218" i="163"/>
  <c r="A2217" i="163"/>
  <c r="A2216" i="163"/>
  <c r="A2215" i="163"/>
  <c r="A2214" i="163"/>
  <c r="A2213" i="163"/>
  <c r="A2212" i="163"/>
  <c r="A2211" i="163"/>
  <c r="A2210" i="163"/>
  <c r="A2209" i="163"/>
  <c r="A2208" i="163"/>
  <c r="A2207" i="163"/>
  <c r="A2206" i="163"/>
  <c r="A2205" i="163"/>
  <c r="A2204" i="163"/>
  <c r="A2203" i="163"/>
  <c r="A2202" i="163"/>
  <c r="A2201" i="163"/>
  <c r="A2200" i="163"/>
  <c r="A2199" i="163"/>
  <c r="A2198" i="163"/>
  <c r="A2197" i="163"/>
  <c r="A2196" i="163"/>
  <c r="A2195" i="163"/>
  <c r="A2194" i="163"/>
  <c r="A2193" i="163"/>
  <c r="A2192" i="163"/>
  <c r="A2191" i="163"/>
  <c r="A2190" i="163"/>
  <c r="A2189" i="163"/>
  <c r="A2188" i="163"/>
  <c r="A2187" i="163"/>
  <c r="A2186" i="163"/>
  <c r="A2185" i="163"/>
  <c r="A2184" i="163"/>
  <c r="A2183" i="163"/>
  <c r="A2182" i="163"/>
  <c r="A2181" i="163"/>
  <c r="A2180" i="163"/>
  <c r="A2179" i="163"/>
  <c r="A2178" i="163"/>
  <c r="A2177" i="163"/>
  <c r="A2176" i="163"/>
  <c r="A2175" i="163"/>
  <c r="A2174" i="163"/>
  <c r="A2173" i="163"/>
  <c r="A2172" i="163"/>
  <c r="A2171" i="163"/>
  <c r="A2170" i="163"/>
  <c r="A2169" i="163"/>
  <c r="A2168" i="163"/>
  <c r="A2167" i="163"/>
  <c r="A2166" i="163"/>
  <c r="A2165" i="163"/>
  <c r="A2164" i="163"/>
  <c r="A2163" i="163"/>
  <c r="A2162" i="163"/>
  <c r="A2161" i="163"/>
  <c r="A2160" i="163"/>
  <c r="A2159" i="163"/>
  <c r="A2158" i="163"/>
  <c r="A2157" i="163"/>
  <c r="A2156" i="163"/>
  <c r="A2155" i="163"/>
  <c r="A2154" i="163"/>
  <c r="A2153" i="163"/>
  <c r="A2152" i="163"/>
  <c r="A2151" i="163"/>
  <c r="A2150" i="163"/>
  <c r="A2149" i="163"/>
  <c r="A2148" i="163"/>
  <c r="A2147" i="163"/>
  <c r="A2146" i="163"/>
  <c r="A2145" i="163"/>
  <c r="A2144" i="163"/>
  <c r="A2143" i="163"/>
  <c r="A2142" i="163"/>
  <c r="A2141" i="163"/>
  <c r="A2140" i="163"/>
  <c r="A2139" i="163"/>
  <c r="A2138" i="163"/>
  <c r="A2137" i="163"/>
  <c r="A2136" i="163"/>
  <c r="A2135" i="163"/>
  <c r="A2134" i="163"/>
  <c r="A2133" i="163"/>
  <c r="A2132" i="163"/>
  <c r="A2131" i="163"/>
  <c r="A2130" i="163"/>
  <c r="A2129" i="163"/>
  <c r="A2128" i="163"/>
  <c r="A2127" i="163"/>
  <c r="A2126" i="163"/>
  <c r="A2125" i="163"/>
  <c r="A2124" i="163"/>
  <c r="A2123" i="163"/>
  <c r="A2122" i="163"/>
  <c r="A2121" i="163"/>
  <c r="A2120" i="163"/>
  <c r="A2119" i="163"/>
  <c r="A2118" i="163"/>
  <c r="A2117" i="163"/>
  <c r="A2116" i="163"/>
  <c r="A2115" i="163"/>
  <c r="A2114" i="163"/>
  <c r="A2113" i="163"/>
  <c r="A2112" i="163"/>
  <c r="A2111" i="163"/>
  <c r="A2110" i="163"/>
  <c r="A2109" i="163"/>
  <c r="A2108" i="163"/>
  <c r="A2107" i="163"/>
  <c r="A2106" i="163"/>
  <c r="A2105" i="163"/>
  <c r="A2104" i="163"/>
  <c r="A2103" i="163"/>
  <c r="A2102" i="163"/>
  <c r="A2101" i="163"/>
  <c r="A2100" i="163"/>
  <c r="A2099" i="163"/>
  <c r="A2098" i="163"/>
  <c r="A2097" i="163"/>
  <c r="A2096" i="163"/>
  <c r="A2095" i="163"/>
  <c r="A2094" i="163"/>
  <c r="A2093" i="163"/>
  <c r="A2092" i="163"/>
  <c r="A2091" i="163"/>
  <c r="A2090" i="163"/>
  <c r="A2089" i="163"/>
  <c r="A2088" i="163"/>
  <c r="A2087" i="163"/>
  <c r="A2086" i="163"/>
  <c r="A2085" i="163"/>
  <c r="A2084" i="163"/>
  <c r="A2083" i="163"/>
  <c r="A2082" i="163"/>
  <c r="A2081" i="163"/>
  <c r="A2080" i="163"/>
  <c r="A2079" i="163"/>
  <c r="A2078" i="163"/>
  <c r="A2077" i="163"/>
  <c r="A2076" i="163"/>
  <c r="A2075" i="163"/>
  <c r="A2074" i="163"/>
  <c r="A2073" i="163"/>
  <c r="A2072" i="163"/>
  <c r="A2071" i="163"/>
  <c r="A2070" i="163"/>
  <c r="A2069" i="163"/>
  <c r="A2068" i="163"/>
  <c r="A2067" i="163"/>
  <c r="A2066" i="163"/>
  <c r="A2065" i="163"/>
  <c r="A2064" i="163"/>
  <c r="A2063" i="163"/>
  <c r="A2062" i="163"/>
  <c r="A2061" i="163"/>
  <c r="A2060" i="163"/>
  <c r="A2059" i="163"/>
  <c r="A2058" i="163"/>
  <c r="A2057" i="163"/>
  <c r="A2056" i="163"/>
  <c r="A2055" i="163"/>
  <c r="A2054" i="163"/>
  <c r="A2053" i="163"/>
  <c r="A2052" i="163"/>
  <c r="A2051" i="163"/>
  <c r="A2050" i="163"/>
  <c r="A2049" i="163"/>
  <c r="A2048" i="163"/>
  <c r="A2047" i="163"/>
  <c r="A2046" i="163"/>
  <c r="A2045" i="163"/>
  <c r="A2044" i="163"/>
  <c r="A2043" i="163"/>
  <c r="A2042" i="163"/>
  <c r="A2041" i="163"/>
  <c r="A2040" i="163"/>
  <c r="A2039" i="163"/>
  <c r="A2038" i="163"/>
  <c r="A2037" i="163"/>
  <c r="A2036" i="163"/>
  <c r="A2035" i="163"/>
  <c r="A2034" i="163"/>
  <c r="A2033" i="163"/>
  <c r="A2032" i="163"/>
  <c r="A2031" i="163"/>
  <c r="A2030" i="163"/>
  <c r="A2029" i="163"/>
  <c r="A2028" i="163"/>
  <c r="A2027" i="163"/>
  <c r="A2026" i="163"/>
  <c r="A2025" i="163"/>
  <c r="A2024" i="163"/>
  <c r="A2023" i="163"/>
  <c r="A2022" i="163"/>
  <c r="A2021" i="163"/>
  <c r="A2020" i="163"/>
  <c r="A2019" i="163"/>
  <c r="A2018" i="163"/>
  <c r="A2017" i="163"/>
  <c r="A2016" i="163"/>
  <c r="A2015" i="163"/>
  <c r="A2014" i="163"/>
  <c r="A2013" i="163"/>
  <c r="A2012" i="163"/>
  <c r="A2011" i="163"/>
  <c r="A2010" i="163"/>
  <c r="A2009" i="163"/>
  <c r="D122" i="161" l="1"/>
  <c r="C121" i="161"/>
  <c r="BL121" i="161"/>
  <c r="C440" i="161"/>
  <c r="D441" i="161"/>
  <c r="D96" i="161"/>
  <c r="C95" i="161"/>
  <c r="BL95" i="161"/>
  <c r="D290" i="161"/>
  <c r="C289" i="161"/>
  <c r="BL289" i="161"/>
  <c r="D341" i="161"/>
  <c r="C340" i="161"/>
  <c r="BL340" i="161"/>
  <c r="C461" i="161"/>
  <c r="D462" i="161"/>
  <c r="C371" i="161"/>
  <c r="D372" i="161"/>
  <c r="BL371" i="161"/>
  <c r="D190" i="161"/>
  <c r="C189" i="161"/>
  <c r="BL189" i="161"/>
  <c r="C273" i="161"/>
  <c r="D274" i="161"/>
  <c r="BL273" i="161"/>
  <c r="C43" i="161"/>
  <c r="D44" i="161"/>
  <c r="BL43" i="161"/>
  <c r="C411" i="161"/>
  <c r="D412" i="161"/>
  <c r="C64" i="161"/>
  <c r="D65" i="161"/>
  <c r="BL64" i="161"/>
  <c r="C400" i="161"/>
  <c r="D401" i="161"/>
  <c r="D313" i="161"/>
  <c r="C312" i="161"/>
  <c r="BL312" i="161"/>
  <c r="C234" i="161"/>
  <c r="D235" i="161"/>
  <c r="BL234" i="161"/>
  <c r="Z26" i="158"/>
  <c r="Y26" i="158"/>
  <c r="X26" i="158"/>
  <c r="W26" i="158"/>
  <c r="V26" i="158"/>
  <c r="U26" i="158"/>
  <c r="T26" i="158"/>
  <c r="S26" i="158"/>
  <c r="R26" i="158"/>
  <c r="Q26" i="158"/>
  <c r="P26" i="158"/>
  <c r="O26" i="158"/>
  <c r="N26" i="158"/>
  <c r="M26" i="158"/>
  <c r="L26" i="158"/>
  <c r="K26" i="158"/>
  <c r="J26" i="158"/>
  <c r="I26" i="158"/>
  <c r="Z13" i="158"/>
  <c r="Y13" i="158"/>
  <c r="X13" i="158"/>
  <c r="W13" i="158"/>
  <c r="V13" i="158"/>
  <c r="U13" i="158"/>
  <c r="T13" i="158"/>
  <c r="S13" i="158"/>
  <c r="R13" i="158"/>
  <c r="Q13" i="158"/>
  <c r="P13" i="158"/>
  <c r="Q12" i="158" s="1"/>
  <c r="O13" i="158"/>
  <c r="N13" i="158"/>
  <c r="M13" i="158"/>
  <c r="L13" i="158"/>
  <c r="K13" i="158"/>
  <c r="J13" i="158"/>
  <c r="I13" i="158"/>
  <c r="C122" i="161" l="1"/>
  <c r="D123" i="161"/>
  <c r="BL122" i="161"/>
  <c r="X25" i="158"/>
  <c r="AA12" i="158"/>
  <c r="C401" i="161"/>
  <c r="C402" i="161"/>
  <c r="D66" i="161"/>
  <c r="C65" i="161"/>
  <c r="BL65" i="161"/>
  <c r="C274" i="161"/>
  <c r="D275" i="161"/>
  <c r="BL274" i="161"/>
  <c r="D236" i="161"/>
  <c r="C235" i="161"/>
  <c r="BL235" i="161"/>
  <c r="C412" i="161"/>
  <c r="D413" i="161"/>
  <c r="C313" i="161"/>
  <c r="D314" i="161"/>
  <c r="BL313" i="161"/>
  <c r="C372" i="161"/>
  <c r="D373" i="161"/>
  <c r="BL372" i="161"/>
  <c r="C44" i="161"/>
  <c r="D45" i="161"/>
  <c r="BL44" i="161"/>
  <c r="C341" i="161"/>
  <c r="D342" i="161"/>
  <c r="BL341" i="161"/>
  <c r="C96" i="161"/>
  <c r="D97" i="161"/>
  <c r="BL96" i="161"/>
  <c r="C190" i="161"/>
  <c r="D191" i="161"/>
  <c r="BL190" i="161"/>
  <c r="C462" i="161"/>
  <c r="D463" i="161"/>
  <c r="C290" i="161"/>
  <c r="D291" i="161"/>
  <c r="BL290" i="161"/>
  <c r="C441" i="161"/>
  <c r="D442" i="161"/>
  <c r="P25" i="158"/>
  <c r="P12" i="158"/>
  <c r="R12" i="158"/>
  <c r="N25" i="158"/>
  <c r="V25" i="158"/>
  <c r="O25" i="158"/>
  <c r="W25" i="158"/>
  <c r="Q25" i="158"/>
  <c r="Y25" i="158"/>
  <c r="X12" i="158"/>
  <c r="Y12" i="158"/>
  <c r="Z12" i="158"/>
  <c r="J25" i="158"/>
  <c r="R25" i="158"/>
  <c r="Z25" i="158"/>
  <c r="S12" i="158"/>
  <c r="J12" i="158"/>
  <c r="K12" i="158"/>
  <c r="T12" i="158"/>
  <c r="K25" i="158"/>
  <c r="S25" i="158"/>
  <c r="AA25" i="158"/>
  <c r="L25" i="158"/>
  <c r="T25" i="158"/>
  <c r="M12" i="158"/>
  <c r="U12" i="158"/>
  <c r="L12" i="158"/>
  <c r="O12" i="158"/>
  <c r="W12" i="158"/>
  <c r="M25" i="158"/>
  <c r="U25" i="158"/>
  <c r="N12" i="158"/>
  <c r="V12" i="158"/>
  <c r="D124" i="161" l="1"/>
  <c r="C123" i="161"/>
  <c r="BL123" i="161"/>
  <c r="D276" i="161"/>
  <c r="C275" i="161"/>
  <c r="BL275" i="161"/>
  <c r="C413" i="161"/>
  <c r="D414" i="161"/>
  <c r="C291" i="161"/>
  <c r="D292" i="161"/>
  <c r="BL291" i="161"/>
  <c r="C463" i="161"/>
  <c r="D464" i="161"/>
  <c r="C373" i="161"/>
  <c r="D374" i="161"/>
  <c r="BL373" i="161"/>
  <c r="C342" i="161"/>
  <c r="D343" i="161"/>
  <c r="BL342" i="161"/>
  <c r="C66" i="161"/>
  <c r="D67" i="161"/>
  <c r="BL66" i="161"/>
  <c r="D98" i="161"/>
  <c r="C97" i="161"/>
  <c r="BL97" i="161"/>
  <c r="C442" i="161"/>
  <c r="D443" i="161"/>
  <c r="D192" i="161"/>
  <c r="C191" i="161"/>
  <c r="BL191" i="161"/>
  <c r="C236" i="161"/>
  <c r="D237" i="161"/>
  <c r="BL236" i="161"/>
  <c r="D46" i="161"/>
  <c r="C45" i="161"/>
  <c r="BL45" i="161"/>
  <c r="D315" i="161"/>
  <c r="C314" i="161"/>
  <c r="BL314" i="161"/>
  <c r="C124" i="161" l="1"/>
  <c r="D125" i="161"/>
  <c r="BL124" i="161"/>
  <c r="C46" i="161"/>
  <c r="D47" i="161"/>
  <c r="BL46" i="161"/>
  <c r="C315" i="161"/>
  <c r="D316" i="161"/>
  <c r="BL315" i="161"/>
  <c r="C98" i="161"/>
  <c r="D99" i="161"/>
  <c r="BL98" i="161"/>
  <c r="C464" i="161"/>
  <c r="D465" i="161"/>
  <c r="C192" i="161"/>
  <c r="D193" i="161"/>
  <c r="BL192" i="161"/>
  <c r="C343" i="161"/>
  <c r="D344" i="161"/>
  <c r="BL343" i="161"/>
  <c r="C443" i="161"/>
  <c r="D444" i="161"/>
  <c r="D68" i="161"/>
  <c r="C67" i="161"/>
  <c r="BL67" i="161"/>
  <c r="C374" i="161"/>
  <c r="D375" i="161"/>
  <c r="BL374" i="161"/>
  <c r="D238" i="161"/>
  <c r="C237" i="161"/>
  <c r="BL237" i="161"/>
  <c r="C292" i="161"/>
  <c r="D293" i="161"/>
  <c r="BL292" i="161"/>
  <c r="C276" i="161"/>
  <c r="D277" i="161"/>
  <c r="BL276" i="161"/>
  <c r="C414" i="161"/>
  <c r="D415" i="161"/>
  <c r="I474" i="189"/>
  <c r="I473" i="189" s="1"/>
  <c r="I472" i="189"/>
  <c r="I471" i="189"/>
  <c r="I470" i="189"/>
  <c r="I469" i="189"/>
  <c r="I468" i="189"/>
  <c r="I467" i="189"/>
  <c r="I466" i="189"/>
  <c r="I465" i="189"/>
  <c r="I464" i="189"/>
  <c r="I463" i="189"/>
  <c r="I462" i="189"/>
  <c r="I461" i="189"/>
  <c r="I460" i="189"/>
  <c r="I459" i="189"/>
  <c r="I458" i="189"/>
  <c r="I457" i="189"/>
  <c r="I456" i="189"/>
  <c r="I455" i="189"/>
  <c r="I454" i="189"/>
  <c r="I453" i="189"/>
  <c r="I452" i="189"/>
  <c r="I451" i="189"/>
  <c r="I450" i="189"/>
  <c r="I448" i="189"/>
  <c r="I447" i="189"/>
  <c r="I445" i="189"/>
  <c r="I444" i="189"/>
  <c r="I443" i="189"/>
  <c r="I442" i="189"/>
  <c r="I441" i="189"/>
  <c r="I440" i="189"/>
  <c r="I439" i="189"/>
  <c r="I438" i="189"/>
  <c r="I437" i="189"/>
  <c r="I436" i="189"/>
  <c r="I435" i="189"/>
  <c r="I434" i="189"/>
  <c r="I433" i="189"/>
  <c r="I432" i="189"/>
  <c r="I431" i="189"/>
  <c r="I430" i="189"/>
  <c r="I429" i="189"/>
  <c r="I428" i="189"/>
  <c r="I427" i="189"/>
  <c r="I426" i="189"/>
  <c r="I423" i="189"/>
  <c r="I420" i="189"/>
  <c r="I419" i="189"/>
  <c r="I418" i="189"/>
  <c r="I417" i="189"/>
  <c r="I416" i="189"/>
  <c r="I415" i="189"/>
  <c r="I414" i="189"/>
  <c r="I413" i="189"/>
  <c r="I412" i="189"/>
  <c r="I411" i="189"/>
  <c r="I410" i="189"/>
  <c r="I409" i="189"/>
  <c r="I408" i="189"/>
  <c r="I407" i="189"/>
  <c r="I406" i="189"/>
  <c r="I405" i="189"/>
  <c r="I404" i="189"/>
  <c r="I403" i="189"/>
  <c r="I402" i="189"/>
  <c r="I401" i="189"/>
  <c r="I400" i="189"/>
  <c r="I399" i="189"/>
  <c r="I398" i="189"/>
  <c r="I386" i="189"/>
  <c r="I385" i="189" s="1"/>
  <c r="I384" i="189"/>
  <c r="I383" i="189"/>
  <c r="I382" i="189"/>
  <c r="I381" i="189"/>
  <c r="I380" i="189"/>
  <c r="I379" i="189"/>
  <c r="I378" i="189"/>
  <c r="H474" i="189"/>
  <c r="H473" i="189" s="1"/>
  <c r="G474" i="189"/>
  <c r="G473" i="189" s="1"/>
  <c r="H472" i="189"/>
  <c r="G472" i="189"/>
  <c r="H471" i="189"/>
  <c r="G471" i="189"/>
  <c r="H470" i="189"/>
  <c r="G470" i="189"/>
  <c r="H469" i="189"/>
  <c r="G469" i="189"/>
  <c r="H468" i="189"/>
  <c r="G468" i="189"/>
  <c r="H467" i="189"/>
  <c r="G467" i="189"/>
  <c r="H466" i="189"/>
  <c r="G466" i="189"/>
  <c r="H465" i="189"/>
  <c r="G465" i="189"/>
  <c r="H464" i="189"/>
  <c r="G464" i="189"/>
  <c r="H463" i="189"/>
  <c r="G463" i="189"/>
  <c r="H462" i="189"/>
  <c r="G462" i="189"/>
  <c r="H461" i="189"/>
  <c r="G461" i="189"/>
  <c r="H460" i="189"/>
  <c r="G460" i="189"/>
  <c r="H459" i="189"/>
  <c r="G459" i="189"/>
  <c r="H458" i="189"/>
  <c r="G458" i="189"/>
  <c r="H457" i="189"/>
  <c r="G457" i="189"/>
  <c r="H456" i="189"/>
  <c r="G456" i="189"/>
  <c r="H455" i="189"/>
  <c r="G455" i="189"/>
  <c r="H454" i="189"/>
  <c r="G454" i="189"/>
  <c r="H453" i="189"/>
  <c r="G453" i="189"/>
  <c r="H452" i="189"/>
  <c r="G452" i="189"/>
  <c r="H451" i="189"/>
  <c r="G451" i="189"/>
  <c r="H450" i="189"/>
  <c r="G450" i="189"/>
  <c r="H448" i="189"/>
  <c r="G448" i="189"/>
  <c r="H447" i="189"/>
  <c r="G447" i="189"/>
  <c r="H445" i="189"/>
  <c r="G445" i="189"/>
  <c r="H444" i="189"/>
  <c r="G444" i="189"/>
  <c r="H443" i="189"/>
  <c r="G443" i="189"/>
  <c r="H442" i="189"/>
  <c r="G442" i="189"/>
  <c r="H441" i="189"/>
  <c r="G441" i="189"/>
  <c r="H440" i="189"/>
  <c r="G440" i="189"/>
  <c r="H439" i="189"/>
  <c r="G439" i="189"/>
  <c r="H438" i="189"/>
  <c r="G438" i="189"/>
  <c r="H437" i="189"/>
  <c r="G437" i="189"/>
  <c r="H436" i="189"/>
  <c r="G436" i="189"/>
  <c r="H435" i="189"/>
  <c r="G435" i="189"/>
  <c r="H434" i="189"/>
  <c r="G434" i="189"/>
  <c r="H433" i="189"/>
  <c r="G433" i="189"/>
  <c r="H432" i="189"/>
  <c r="G432" i="189"/>
  <c r="H431" i="189"/>
  <c r="G431" i="189"/>
  <c r="H430" i="189"/>
  <c r="G430" i="189"/>
  <c r="H429" i="189"/>
  <c r="G429" i="189"/>
  <c r="H428" i="189"/>
  <c r="G428" i="189"/>
  <c r="H427" i="189"/>
  <c r="G427" i="189"/>
  <c r="H426" i="189"/>
  <c r="G426" i="189"/>
  <c r="H423" i="189"/>
  <c r="G423" i="189"/>
  <c r="H420" i="189"/>
  <c r="G420" i="189"/>
  <c r="H419" i="189"/>
  <c r="G419" i="189"/>
  <c r="H418" i="189"/>
  <c r="G418" i="189"/>
  <c r="H417" i="189"/>
  <c r="G417" i="189"/>
  <c r="H416" i="189"/>
  <c r="G416" i="189"/>
  <c r="H415" i="189"/>
  <c r="G415" i="189"/>
  <c r="H414" i="189"/>
  <c r="G414" i="189"/>
  <c r="H413" i="189"/>
  <c r="G413" i="189"/>
  <c r="H412" i="189"/>
  <c r="G412" i="189"/>
  <c r="H411" i="189"/>
  <c r="G411" i="189"/>
  <c r="H410" i="189"/>
  <c r="G410" i="189"/>
  <c r="H409" i="189"/>
  <c r="G409" i="189"/>
  <c r="H408" i="189"/>
  <c r="G408" i="189"/>
  <c r="H407" i="189"/>
  <c r="G407" i="189"/>
  <c r="H406" i="189"/>
  <c r="G406" i="189"/>
  <c r="H405" i="189"/>
  <c r="G405" i="189"/>
  <c r="H404" i="189"/>
  <c r="G404" i="189"/>
  <c r="H403" i="189"/>
  <c r="G403" i="189"/>
  <c r="H402" i="189"/>
  <c r="G402" i="189"/>
  <c r="H401" i="189"/>
  <c r="G401" i="189"/>
  <c r="H400" i="189"/>
  <c r="G400" i="189"/>
  <c r="H399" i="189"/>
  <c r="G399" i="189"/>
  <c r="H398" i="189"/>
  <c r="G398" i="189"/>
  <c r="H386" i="189"/>
  <c r="H385" i="189" s="1"/>
  <c r="G386" i="189"/>
  <c r="G385" i="189" s="1"/>
  <c r="H384" i="189"/>
  <c r="G384" i="189"/>
  <c r="H383" i="189"/>
  <c r="G383" i="189"/>
  <c r="H382" i="189"/>
  <c r="G382" i="189"/>
  <c r="H381" i="189"/>
  <c r="G381" i="189"/>
  <c r="H380" i="189"/>
  <c r="G380" i="189"/>
  <c r="H379" i="189"/>
  <c r="G379" i="189"/>
  <c r="H378" i="189"/>
  <c r="G378" i="189"/>
  <c r="H9" i="189"/>
  <c r="H8" i="189" s="1"/>
  <c r="G9" i="189"/>
  <c r="G8" i="189" s="1"/>
  <c r="G425" i="189" l="1"/>
  <c r="G377" i="189"/>
  <c r="G397" i="189"/>
  <c r="I377" i="189"/>
  <c r="I397" i="189"/>
  <c r="G446" i="189"/>
  <c r="I446" i="189"/>
  <c r="H377" i="189"/>
  <c r="H397" i="189"/>
  <c r="H425" i="189"/>
  <c r="H446" i="189"/>
  <c r="I425" i="189"/>
  <c r="D126" i="161"/>
  <c r="C125" i="161"/>
  <c r="BL125" i="161"/>
  <c r="C277" i="161"/>
  <c r="D278" i="161"/>
  <c r="BL277" i="161"/>
  <c r="C344" i="161"/>
  <c r="D345" i="161"/>
  <c r="BL344" i="161"/>
  <c r="C465" i="161"/>
  <c r="D466" i="161"/>
  <c r="C375" i="161"/>
  <c r="D376" i="161"/>
  <c r="BL375" i="161"/>
  <c r="D100" i="161"/>
  <c r="C99" i="161"/>
  <c r="BL99" i="161"/>
  <c r="D48" i="161"/>
  <c r="C47" i="161"/>
  <c r="BL47" i="161"/>
  <c r="C415" i="161"/>
  <c r="D416" i="161"/>
  <c r="C444" i="161"/>
  <c r="D445" i="161"/>
  <c r="C238" i="161"/>
  <c r="D239" i="161"/>
  <c r="BL238" i="161"/>
  <c r="D194" i="161"/>
  <c r="C193" i="161"/>
  <c r="BL193" i="161"/>
  <c r="C68" i="161"/>
  <c r="D69" i="161"/>
  <c r="BL68" i="161"/>
  <c r="D294" i="161"/>
  <c r="C293" i="161"/>
  <c r="BL293" i="161"/>
  <c r="D317" i="161"/>
  <c r="C316" i="161"/>
  <c r="BL316" i="161"/>
  <c r="C126" i="161" l="1"/>
  <c r="D127" i="161"/>
  <c r="BL126" i="161"/>
  <c r="C376" i="161"/>
  <c r="D377" i="161"/>
  <c r="BL376" i="161"/>
  <c r="C278" i="161"/>
  <c r="BL279" i="161"/>
  <c r="BL278" i="161"/>
  <c r="C279" i="161"/>
  <c r="C294" i="161"/>
  <c r="D295" i="161"/>
  <c r="BL294" i="161"/>
  <c r="C48" i="161"/>
  <c r="D49" i="161"/>
  <c r="BL48" i="161"/>
  <c r="C466" i="161"/>
  <c r="D467" i="161"/>
  <c r="C194" i="161"/>
  <c r="D195" i="161"/>
  <c r="BL194" i="161"/>
  <c r="C345" i="161"/>
  <c r="D346" i="161"/>
  <c r="BL345" i="161"/>
  <c r="C445" i="161"/>
  <c r="D446" i="161"/>
  <c r="D70" i="161"/>
  <c r="C69" i="161"/>
  <c r="BL69" i="161"/>
  <c r="C239" i="161"/>
  <c r="D240" i="161"/>
  <c r="BL239" i="161"/>
  <c r="C416" i="161"/>
  <c r="D417" i="161"/>
  <c r="C100" i="161"/>
  <c r="D101" i="161"/>
  <c r="BL100" i="161"/>
  <c r="C317" i="161"/>
  <c r="D318" i="161"/>
  <c r="BL317" i="161"/>
  <c r="K380" i="189"/>
  <c r="K400" i="189"/>
  <c r="K408" i="189"/>
  <c r="K414" i="189"/>
  <c r="K427" i="189"/>
  <c r="K435" i="189"/>
  <c r="K443" i="189"/>
  <c r="K450" i="189"/>
  <c r="K456" i="189"/>
  <c r="K458" i="189"/>
  <c r="K460" i="189"/>
  <c r="K462" i="189"/>
  <c r="K411" i="189"/>
  <c r="K417" i="189"/>
  <c r="K426" i="189"/>
  <c r="K434" i="189"/>
  <c r="K442" i="189"/>
  <c r="K451" i="189"/>
  <c r="K402" i="189"/>
  <c r="K410" i="189"/>
  <c r="K459" i="189"/>
  <c r="K463" i="189"/>
  <c r="K467" i="189"/>
  <c r="K469" i="189"/>
  <c r="K471" i="189"/>
  <c r="K457" i="189"/>
  <c r="K461" i="189"/>
  <c r="K399" i="189"/>
  <c r="K407" i="189"/>
  <c r="K384" i="189"/>
  <c r="K398" i="189"/>
  <c r="K406" i="189"/>
  <c r="K432" i="189"/>
  <c r="K440" i="189"/>
  <c r="K448" i="189"/>
  <c r="K379" i="189"/>
  <c r="K381" i="189"/>
  <c r="K382" i="189"/>
  <c r="K401" i="189"/>
  <c r="K409" i="189"/>
  <c r="K412" i="189"/>
  <c r="K419" i="189"/>
  <c r="K429" i="189"/>
  <c r="K437" i="189"/>
  <c r="K445" i="189"/>
  <c r="K453" i="189"/>
  <c r="K416" i="189"/>
  <c r="K403" i="189"/>
  <c r="K413" i="189"/>
  <c r="K423" i="189"/>
  <c r="K431" i="189"/>
  <c r="K439" i="189"/>
  <c r="K447" i="189"/>
  <c r="K455" i="189"/>
  <c r="K418" i="189"/>
  <c r="K428" i="189"/>
  <c r="K436" i="189"/>
  <c r="K444" i="189"/>
  <c r="K452" i="189"/>
  <c r="K386" i="189"/>
  <c r="K385" i="189" s="1"/>
  <c r="K404" i="189"/>
  <c r="K405" i="189"/>
  <c r="K415" i="189"/>
  <c r="K433" i="189"/>
  <c r="K441" i="189"/>
  <c r="K465" i="189"/>
  <c r="K383" i="189"/>
  <c r="K420" i="189"/>
  <c r="K430" i="189"/>
  <c r="K438" i="189"/>
  <c r="K454" i="189"/>
  <c r="K464" i="189"/>
  <c r="K468" i="189"/>
  <c r="K472" i="189"/>
  <c r="K466" i="189"/>
  <c r="K470" i="189"/>
  <c r="K474" i="189"/>
  <c r="K473" i="189" s="1"/>
  <c r="K378" i="189"/>
  <c r="K397" i="189" l="1"/>
  <c r="K425" i="189"/>
  <c r="K377" i="189"/>
  <c r="K446" i="189"/>
  <c r="C127" i="161"/>
  <c r="D128" i="161"/>
  <c r="BL127" i="161"/>
  <c r="C318" i="161"/>
  <c r="D319" i="161"/>
  <c r="BL318" i="161"/>
  <c r="C295" i="161"/>
  <c r="D296" i="161"/>
  <c r="BL295" i="161"/>
  <c r="C377" i="161"/>
  <c r="D378" i="161"/>
  <c r="BL377" i="161"/>
  <c r="D102" i="161"/>
  <c r="C101" i="161"/>
  <c r="BL101" i="161"/>
  <c r="C240" i="161"/>
  <c r="D241" i="161"/>
  <c r="BL240" i="161"/>
  <c r="D196" i="161"/>
  <c r="C195" i="161"/>
  <c r="BL195" i="161"/>
  <c r="D50" i="161"/>
  <c r="C49" i="161"/>
  <c r="BL49" i="161"/>
  <c r="C70" i="161"/>
  <c r="D71" i="161"/>
  <c r="BL70" i="161"/>
  <c r="D347" i="161"/>
  <c r="C346" i="161"/>
  <c r="BL346" i="161"/>
  <c r="C417" i="161"/>
  <c r="D418" i="161"/>
  <c r="C446" i="161"/>
  <c r="D447" i="161"/>
  <c r="C467" i="161"/>
  <c r="D468" i="161"/>
  <c r="C128" i="161" l="1"/>
  <c r="D129" i="161"/>
  <c r="BL128" i="161"/>
  <c r="C378" i="161"/>
  <c r="D379" i="161"/>
  <c r="BL378" i="161"/>
  <c r="C418" i="161"/>
  <c r="D419" i="161"/>
  <c r="C71" i="161"/>
  <c r="D72" i="161"/>
  <c r="BL71" i="161"/>
  <c r="C468" i="161"/>
  <c r="D469" i="161"/>
  <c r="C102" i="161"/>
  <c r="D103" i="161"/>
  <c r="BL102" i="161"/>
  <c r="C196" i="161"/>
  <c r="D197" i="161"/>
  <c r="BL196" i="161"/>
  <c r="C296" i="161"/>
  <c r="D297" i="161"/>
  <c r="BL296" i="161"/>
  <c r="C447" i="161"/>
  <c r="D448" i="161"/>
  <c r="C347" i="161"/>
  <c r="D348" i="161"/>
  <c r="BL347" i="161"/>
  <c r="C50" i="161"/>
  <c r="D51" i="161"/>
  <c r="BL50" i="161"/>
  <c r="D242" i="161"/>
  <c r="C241" i="161"/>
  <c r="BL241" i="161"/>
  <c r="C319" i="161"/>
  <c r="D320" i="161"/>
  <c r="BL319" i="161"/>
  <c r="AA23" i="158"/>
  <c r="Z23" i="158"/>
  <c r="Y23" i="158"/>
  <c r="X23" i="158"/>
  <c r="W23" i="158"/>
  <c r="V23" i="158"/>
  <c r="U23" i="158"/>
  <c r="T23" i="158"/>
  <c r="S23" i="158"/>
  <c r="R23" i="158"/>
  <c r="Q23" i="158"/>
  <c r="P23" i="158"/>
  <c r="O23" i="158"/>
  <c r="N23" i="158"/>
  <c r="M23" i="158"/>
  <c r="L23" i="158"/>
  <c r="K23" i="158"/>
  <c r="J23" i="158"/>
  <c r="I23" i="158"/>
  <c r="H23" i="158"/>
  <c r="G23" i="158"/>
  <c r="F23" i="158"/>
  <c r="E23" i="158"/>
  <c r="D23" i="158"/>
  <c r="H26" i="158"/>
  <c r="G26" i="158"/>
  <c r="E26" i="158"/>
  <c r="H13" i="158"/>
  <c r="G13" i="158"/>
  <c r="E13" i="158"/>
  <c r="C26" i="158"/>
  <c r="C129" i="161" l="1"/>
  <c r="D130" i="161"/>
  <c r="BL129" i="161"/>
  <c r="C348" i="161"/>
  <c r="D349" i="161"/>
  <c r="BL348" i="161"/>
  <c r="C379" i="161"/>
  <c r="BL379" i="161"/>
  <c r="C242" i="161"/>
  <c r="D243" i="161"/>
  <c r="BL242" i="161"/>
  <c r="C104" i="161"/>
  <c r="C103" i="161"/>
  <c r="BL104" i="161"/>
  <c r="BL103" i="161"/>
  <c r="D321" i="161"/>
  <c r="C320" i="161"/>
  <c r="BL320" i="161"/>
  <c r="C419" i="161"/>
  <c r="D420" i="161"/>
  <c r="C72" i="161"/>
  <c r="D73" i="161"/>
  <c r="BL72" i="161"/>
  <c r="C51" i="161"/>
  <c r="BL52" i="161"/>
  <c r="BL51" i="161"/>
  <c r="C52" i="161"/>
  <c r="C297" i="161"/>
  <c r="BL298" i="161"/>
  <c r="BL297" i="161"/>
  <c r="C298" i="161"/>
  <c r="C469" i="161"/>
  <c r="D470" i="161"/>
  <c r="C448" i="161"/>
  <c r="D449" i="161"/>
  <c r="D198" i="161"/>
  <c r="C197" i="161"/>
  <c r="BL197" i="161"/>
  <c r="F12" i="158"/>
  <c r="E25" i="158"/>
  <c r="G25" i="158"/>
  <c r="F25" i="158"/>
  <c r="E12" i="158"/>
  <c r="H25" i="158"/>
  <c r="I25" i="158"/>
  <c r="G12" i="158"/>
  <c r="H12" i="158"/>
  <c r="I12" i="158"/>
  <c r="D13" i="161"/>
  <c r="D14" i="161" s="1"/>
  <c r="C130" i="161" l="1"/>
  <c r="D131" i="161"/>
  <c r="BL130" i="161"/>
  <c r="D244" i="161"/>
  <c r="C243" i="161"/>
  <c r="BL243" i="161"/>
  <c r="C198" i="161"/>
  <c r="D199" i="161"/>
  <c r="BL198" i="161"/>
  <c r="C470" i="161"/>
  <c r="D471" i="161"/>
  <c r="D74" i="161"/>
  <c r="C73" i="161"/>
  <c r="BL73" i="161"/>
  <c r="C321" i="161"/>
  <c r="D322" i="161"/>
  <c r="BL321" i="161"/>
  <c r="C349" i="161"/>
  <c r="D350" i="161"/>
  <c r="BL349" i="161"/>
  <c r="C420" i="161"/>
  <c r="D421" i="161"/>
  <c r="C14" i="161"/>
  <c r="D15" i="161"/>
  <c r="C449" i="161"/>
  <c r="D450" i="161"/>
  <c r="AE380" i="161"/>
  <c r="D132" i="161" l="1"/>
  <c r="BL131" i="161"/>
  <c r="C131" i="161"/>
  <c r="C450" i="161"/>
  <c r="C451" i="161"/>
  <c r="D200" i="161"/>
  <c r="C199" i="161"/>
  <c r="BL199" i="161"/>
  <c r="C350" i="161"/>
  <c r="D351" i="161"/>
  <c r="BL350" i="161"/>
  <c r="C74" i="161"/>
  <c r="D75" i="161"/>
  <c r="BL74" i="161"/>
  <c r="C421" i="161"/>
  <c r="D422" i="161"/>
  <c r="C471" i="161"/>
  <c r="D472" i="161"/>
  <c r="D16" i="161"/>
  <c r="C15" i="161"/>
  <c r="BL15" i="161"/>
  <c r="C322" i="161"/>
  <c r="D323" i="161"/>
  <c r="BL322" i="161"/>
  <c r="C244" i="161"/>
  <c r="D245" i="161"/>
  <c r="BL244" i="161"/>
  <c r="AZ14" i="161"/>
  <c r="C132" i="161" l="1"/>
  <c r="D133" i="161"/>
  <c r="BL132" i="161"/>
  <c r="C323" i="161"/>
  <c r="D324" i="161"/>
  <c r="BL323" i="161"/>
  <c r="C422" i="161"/>
  <c r="D423" i="161"/>
  <c r="C16" i="161"/>
  <c r="D17" i="161"/>
  <c r="BL16" i="161"/>
  <c r="C200" i="161"/>
  <c r="D201" i="161"/>
  <c r="BL200" i="161"/>
  <c r="D76" i="161"/>
  <c r="C75" i="161"/>
  <c r="BL75" i="161"/>
  <c r="C472" i="161"/>
  <c r="D473" i="161"/>
  <c r="D246" i="161"/>
  <c r="C245" i="161"/>
  <c r="BL245" i="161"/>
  <c r="C351" i="161"/>
  <c r="D352" i="161"/>
  <c r="BL351" i="161"/>
  <c r="C23" i="158"/>
  <c r="C25" i="158"/>
  <c r="BT14" i="161"/>
  <c r="BU14" i="161" s="1"/>
  <c r="BR14" i="161" s="1"/>
  <c r="BS14" i="161" s="1"/>
  <c r="BP14" i="161"/>
  <c r="BQ14" i="161" s="1"/>
  <c r="BN14" i="161" s="1"/>
  <c r="BO14" i="161" s="1"/>
  <c r="BM14" i="161"/>
  <c r="D134" i="161" l="1"/>
  <c r="C133" i="161"/>
  <c r="BL133" i="161"/>
  <c r="C246" i="161"/>
  <c r="D247" i="161"/>
  <c r="BL246" i="161"/>
  <c r="C423" i="161"/>
  <c r="D424" i="161"/>
  <c r="C76" i="161"/>
  <c r="D77" i="161"/>
  <c r="BL76" i="161"/>
  <c r="C352" i="161"/>
  <c r="D353" i="161"/>
  <c r="BL352" i="161"/>
  <c r="C473" i="161"/>
  <c r="D474" i="161"/>
  <c r="D18" i="161"/>
  <c r="C17" i="161"/>
  <c r="BL17" i="161"/>
  <c r="D325" i="161"/>
  <c r="C324" i="161"/>
  <c r="BL324" i="161"/>
  <c r="C201" i="161"/>
  <c r="D202" i="161"/>
  <c r="BL201" i="161"/>
  <c r="C12" i="158"/>
  <c r="C134" i="161" l="1"/>
  <c r="D135" i="161"/>
  <c r="BL134" i="161"/>
  <c r="C18" i="161"/>
  <c r="D19" i="161"/>
  <c r="BL18" i="161"/>
  <c r="D78" i="161"/>
  <c r="C77" i="161"/>
  <c r="BL77" i="161"/>
  <c r="C325" i="161"/>
  <c r="D326" i="161"/>
  <c r="BL325" i="161"/>
  <c r="C202" i="161"/>
  <c r="D203" i="161"/>
  <c r="BL202" i="161"/>
  <c r="C474" i="161"/>
  <c r="D475" i="161"/>
  <c r="C424" i="161"/>
  <c r="D425" i="161"/>
  <c r="C353" i="161"/>
  <c r="D354" i="161"/>
  <c r="BL353" i="161"/>
  <c r="C247" i="161"/>
  <c r="D248" i="161"/>
  <c r="BL247" i="161"/>
  <c r="E41" i="201"/>
  <c r="D136" i="161" l="1"/>
  <c r="C135" i="161"/>
  <c r="BL135" i="161"/>
  <c r="C203" i="161"/>
  <c r="D204" i="161"/>
  <c r="BL203" i="161"/>
  <c r="C78" i="161"/>
  <c r="C79" i="161"/>
  <c r="BL79" i="161"/>
  <c r="BL78" i="161"/>
  <c r="C248" i="161"/>
  <c r="D249" i="161"/>
  <c r="BL248" i="161"/>
  <c r="C425" i="161"/>
  <c r="D426" i="161"/>
  <c r="D327" i="161"/>
  <c r="C326" i="161"/>
  <c r="BL326" i="161"/>
  <c r="C354" i="161"/>
  <c r="D355" i="161"/>
  <c r="BL354" i="161"/>
  <c r="C475" i="161"/>
  <c r="D476" i="161"/>
  <c r="D20" i="161"/>
  <c r="C19" i="161"/>
  <c r="BL19" i="161"/>
  <c r="M3" i="201"/>
  <c r="BL136" i="161" l="1"/>
  <c r="C136" i="161"/>
  <c r="D137" i="161"/>
  <c r="C249" i="161"/>
  <c r="BL250" i="161"/>
  <c r="BL249" i="161"/>
  <c r="C250" i="161"/>
  <c r="C20" i="161"/>
  <c r="D21" i="161"/>
  <c r="BL20" i="161"/>
  <c r="C327" i="161"/>
  <c r="D328" i="161"/>
  <c r="BL327" i="161"/>
  <c r="C476" i="161"/>
  <c r="D477" i="161"/>
  <c r="C426" i="161"/>
  <c r="D427" i="161"/>
  <c r="C204" i="161"/>
  <c r="D205" i="161"/>
  <c r="BL204" i="161"/>
  <c r="C355" i="161"/>
  <c r="D356" i="161"/>
  <c r="BL355" i="161"/>
  <c r="M9" i="164"/>
  <c r="I66" i="164"/>
  <c r="D138" i="161" l="1"/>
  <c r="C137" i="161"/>
  <c r="BL137" i="161"/>
  <c r="C21" i="161"/>
  <c r="D22" i="161"/>
  <c r="BL21" i="161"/>
  <c r="C477" i="161"/>
  <c r="C478" i="161"/>
  <c r="C356" i="161"/>
  <c r="D357" i="161"/>
  <c r="BL356" i="161"/>
  <c r="C205" i="161"/>
  <c r="D206" i="161"/>
  <c r="BL205" i="161"/>
  <c r="C427" i="161"/>
  <c r="D428" i="161"/>
  <c r="C328" i="161"/>
  <c r="BL329" i="161"/>
  <c r="BL328" i="161"/>
  <c r="C329" i="161"/>
  <c r="J9" i="189"/>
  <c r="J8" i="189" s="1"/>
  <c r="D139" i="161" l="1"/>
  <c r="BL138" i="161"/>
  <c r="C138" i="161"/>
  <c r="C357" i="161"/>
  <c r="D358" i="161"/>
  <c r="BL357" i="161"/>
  <c r="C428" i="161"/>
  <c r="D429" i="161"/>
  <c r="C206" i="161"/>
  <c r="D207" i="161"/>
  <c r="BL206" i="161"/>
  <c r="D23" i="161"/>
  <c r="C22" i="161"/>
  <c r="BL22" i="161"/>
  <c r="J375" i="189" a="1"/>
  <c r="J375" i="189" s="1"/>
  <c r="BL139" i="161" l="1"/>
  <c r="C139" i="161"/>
  <c r="D140" i="161"/>
  <c r="C207" i="161"/>
  <c r="D208" i="161"/>
  <c r="BL207" i="161"/>
  <c r="C429" i="161"/>
  <c r="C430" i="161"/>
  <c r="C23" i="161"/>
  <c r="D24" i="161"/>
  <c r="BL23" i="161"/>
  <c r="C358" i="161"/>
  <c r="D359" i="161"/>
  <c r="BL358" i="161"/>
  <c r="C140" i="161" l="1"/>
  <c r="D141" i="161"/>
  <c r="BL140" i="161"/>
  <c r="C359" i="161"/>
  <c r="D360" i="161"/>
  <c r="BL359" i="161"/>
  <c r="C24" i="161"/>
  <c r="BL25" i="161"/>
  <c r="BL24" i="161"/>
  <c r="C25" i="161"/>
  <c r="C208" i="161"/>
  <c r="D209" i="161"/>
  <c r="BL208" i="161"/>
  <c r="BL141" i="161" l="1"/>
  <c r="C141" i="161"/>
  <c r="D142" i="161"/>
  <c r="C360" i="161"/>
  <c r="BL361" i="161"/>
  <c r="BL360" i="161"/>
  <c r="C361" i="161"/>
  <c r="C209" i="161"/>
  <c r="D210" i="161"/>
  <c r="BL209" i="161"/>
  <c r="C142" i="161" l="1"/>
  <c r="D143" i="161"/>
  <c r="BL142" i="161"/>
  <c r="C210" i="161"/>
  <c r="D211" i="161"/>
  <c r="BL210" i="161"/>
  <c r="C143" i="161" l="1"/>
  <c r="BL143" i="161"/>
  <c r="D144" i="161"/>
  <c r="D212" i="161"/>
  <c r="C211" i="161"/>
  <c r="BL211" i="161"/>
  <c r="G375" i="189" a="1"/>
  <c r="G375" i="189" s="1"/>
  <c r="D36" i="201"/>
  <c r="D35" i="201"/>
  <c r="D34" i="201"/>
  <c r="D33" i="201"/>
  <c r="D32" i="201"/>
  <c r="D31" i="201"/>
  <c r="D29" i="201"/>
  <c r="D28" i="201"/>
  <c r="D27" i="201"/>
  <c r="D26" i="201"/>
  <c r="D25" i="201"/>
  <c r="D24" i="201"/>
  <c r="D23" i="201"/>
  <c r="D22" i="201"/>
  <c r="D21" i="201"/>
  <c r="D20" i="201"/>
  <c r="D19" i="201"/>
  <c r="D18" i="201"/>
  <c r="D17" i="201"/>
  <c r="D16" i="201"/>
  <c r="D15" i="201"/>
  <c r="D14" i="201"/>
  <c r="D13" i="201"/>
  <c r="D12" i="201"/>
  <c r="D11" i="201"/>
  <c r="D10" i="201"/>
  <c r="BL144" i="161" l="1"/>
  <c r="C144" i="161"/>
  <c r="D145" i="161"/>
  <c r="C212" i="161"/>
  <c r="D213" i="161"/>
  <c r="BL212" i="161"/>
  <c r="O9" i="158"/>
  <c r="O8" i="158" s="1"/>
  <c r="BL145" i="161" l="1"/>
  <c r="C145" i="161"/>
  <c r="D146" i="161"/>
  <c r="C213" i="161"/>
  <c r="D214" i="161"/>
  <c r="BL213" i="161"/>
  <c r="D105" i="190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BL146" i="161" l="1"/>
  <c r="C146" i="161"/>
  <c r="D147" i="161"/>
  <c r="C214" i="161"/>
  <c r="D215" i="161"/>
  <c r="BL214" i="161"/>
  <c r="B4" i="189"/>
  <c r="H2" i="199"/>
  <c r="C147" i="161" l="1"/>
  <c r="D148" i="161"/>
  <c r="BL147" i="161"/>
  <c r="D216" i="161"/>
  <c r="C215" i="161"/>
  <c r="BL215" i="161"/>
  <c r="J28" i="201"/>
  <c r="J14" i="201"/>
  <c r="J13" i="201"/>
  <c r="J15" i="201"/>
  <c r="J33" i="201"/>
  <c r="J17" i="201"/>
  <c r="J12" i="201"/>
  <c r="J32" i="201"/>
  <c r="J34" i="201"/>
  <c r="J20" i="201"/>
  <c r="J24" i="201"/>
  <c r="J27" i="201"/>
  <c r="BL148" i="161" l="1"/>
  <c r="C148" i="161"/>
  <c r="D149" i="161"/>
  <c r="C216" i="161"/>
  <c r="D217" i="161"/>
  <c r="BL216" i="161"/>
  <c r="D382" i="161"/>
  <c r="D383" i="161" s="1"/>
  <c r="B382" i="161"/>
  <c r="A382" i="161"/>
  <c r="B381" i="161"/>
  <c r="A381" i="161"/>
  <c r="D150" i="161" l="1"/>
  <c r="C149" i="161"/>
  <c r="BL149" i="161"/>
  <c r="C217" i="161"/>
  <c r="D218" i="161"/>
  <c r="BL217" i="161"/>
  <c r="C383" i="161"/>
  <c r="D384" i="161"/>
  <c r="C382" i="161"/>
  <c r="BL150" i="161" l="1"/>
  <c r="D151" i="161"/>
  <c r="C150" i="161"/>
  <c r="C218" i="161"/>
  <c r="C219" i="161"/>
  <c r="BL219" i="161"/>
  <c r="BL218" i="161"/>
  <c r="C384" i="161"/>
  <c r="D385" i="161"/>
  <c r="AZ13" i="161"/>
  <c r="D152" i="161" l="1"/>
  <c r="C151" i="161"/>
  <c r="BL151" i="161"/>
  <c r="C385" i="161"/>
  <c r="D386" i="161"/>
  <c r="J66" i="164"/>
  <c r="K66" i="164" s="1"/>
  <c r="L66" i="164" s="1"/>
  <c r="C152" i="161" l="1"/>
  <c r="D153" i="161"/>
  <c r="BL152" i="161"/>
  <c r="C386" i="161"/>
  <c r="D387" i="161"/>
  <c r="E7" i="161"/>
  <c r="E6" i="161"/>
  <c r="D154" i="161" l="1"/>
  <c r="C153" i="161"/>
  <c r="BL153" i="161"/>
  <c r="L350" i="161"/>
  <c r="L233" i="161"/>
  <c r="L165" i="161"/>
  <c r="L77" i="161"/>
  <c r="L357" i="161"/>
  <c r="L351" i="161"/>
  <c r="L277" i="161"/>
  <c r="L201" i="161"/>
  <c r="L179" i="161"/>
  <c r="L63" i="161"/>
  <c r="L237" i="161"/>
  <c r="L429" i="161"/>
  <c r="L323" i="161"/>
  <c r="L238" i="161"/>
  <c r="L74" i="161"/>
  <c r="L103" i="161"/>
  <c r="L428" i="161"/>
  <c r="L358" i="161"/>
  <c r="L348" i="161"/>
  <c r="L102" i="161"/>
  <c r="L76" i="161"/>
  <c r="L352" i="161"/>
  <c r="L278" i="161"/>
  <c r="L263" i="161"/>
  <c r="L202" i="161"/>
  <c r="L78" i="161"/>
  <c r="L64" i="161"/>
  <c r="L75" i="161"/>
  <c r="L401" i="161"/>
  <c r="L360" i="161"/>
  <c r="L359" i="161"/>
  <c r="L349" i="161"/>
  <c r="L321" i="161"/>
  <c r="L228" i="161"/>
  <c r="L322" i="161"/>
  <c r="L400" i="161"/>
  <c r="L353" i="161"/>
  <c r="L253" i="161"/>
  <c r="L200" i="161"/>
  <c r="L178" i="161"/>
  <c r="L475" i="161"/>
  <c r="L457" i="161"/>
  <c r="L450" i="161"/>
  <c r="L446" i="161"/>
  <c r="L441" i="161"/>
  <c r="L434" i="161"/>
  <c r="L416" i="161"/>
  <c r="L408" i="161"/>
  <c r="L397" i="161"/>
  <c r="L395" i="161"/>
  <c r="L392" i="161"/>
  <c r="L388" i="161"/>
  <c r="L378" i="161"/>
  <c r="L377" i="161"/>
  <c r="L368" i="161"/>
  <c r="L367" i="161"/>
  <c r="L344" i="161"/>
  <c r="L340" i="161"/>
  <c r="L332" i="161"/>
  <c r="L474" i="161"/>
  <c r="L469" i="161"/>
  <c r="L456" i="161"/>
  <c r="L449" i="161"/>
  <c r="L440" i="161"/>
  <c r="L438" i="161"/>
  <c r="L433" i="161"/>
  <c r="L427" i="161"/>
  <c r="L423" i="161"/>
  <c r="L415" i="161"/>
  <c r="L410" i="161"/>
  <c r="L407" i="161"/>
  <c r="L404" i="161"/>
  <c r="L394" i="161"/>
  <c r="L347" i="161"/>
  <c r="L346" i="161"/>
  <c r="L307" i="161"/>
  <c r="L302" i="161"/>
  <c r="L301" i="161"/>
  <c r="L297" i="161"/>
  <c r="L468" i="161"/>
  <c r="L466" i="161"/>
  <c r="L462" i="161"/>
  <c r="L460" i="161"/>
  <c r="L455" i="161"/>
  <c r="L448" i="161"/>
  <c r="L432" i="161"/>
  <c r="L426" i="161"/>
  <c r="L420" i="161"/>
  <c r="L399" i="161"/>
  <c r="L384" i="161"/>
  <c r="L379" i="161"/>
  <c r="L355" i="161"/>
  <c r="L339" i="161"/>
  <c r="L334" i="161"/>
  <c r="L300" i="161"/>
  <c r="L295" i="161"/>
  <c r="L294" i="161"/>
  <c r="L465" i="161"/>
  <c r="L454" i="161"/>
  <c r="L444" i="161"/>
  <c r="L437" i="161"/>
  <c r="L398" i="161"/>
  <c r="L342" i="161"/>
  <c r="L338" i="161"/>
  <c r="L320" i="161"/>
  <c r="L313" i="161"/>
  <c r="L306" i="161"/>
  <c r="L292" i="161"/>
  <c r="L291" i="161"/>
  <c r="L272" i="161"/>
  <c r="L479" i="161"/>
  <c r="L473" i="161"/>
  <c r="L459" i="161"/>
  <c r="L439" i="161"/>
  <c r="L414" i="161"/>
  <c r="L412" i="161"/>
  <c r="L409" i="161"/>
  <c r="L406" i="161"/>
  <c r="L396" i="161"/>
  <c r="L391" i="161"/>
  <c r="L387" i="161"/>
  <c r="L372" i="161"/>
  <c r="L319" i="161"/>
  <c r="L315" i="161"/>
  <c r="L276" i="161"/>
  <c r="L477" i="161"/>
  <c r="L472" i="161"/>
  <c r="L464" i="161"/>
  <c r="L461" i="161"/>
  <c r="L453" i="161"/>
  <c r="L419" i="161"/>
  <c r="L411" i="161"/>
  <c r="L393" i="161"/>
  <c r="L389" i="161"/>
  <c r="L386" i="161"/>
  <c r="L373" i="161"/>
  <c r="L369" i="161"/>
  <c r="L275" i="161"/>
  <c r="L274" i="161"/>
  <c r="L273" i="161"/>
  <c r="L268" i="161"/>
  <c r="L476" i="161"/>
  <c r="L471" i="161"/>
  <c r="L447" i="161"/>
  <c r="L443" i="161"/>
  <c r="L436" i="161"/>
  <c r="L431" i="161"/>
  <c r="L425" i="161"/>
  <c r="L421" i="161"/>
  <c r="L418" i="161"/>
  <c r="L385" i="161"/>
  <c r="L336" i="161"/>
  <c r="L330" i="161"/>
  <c r="L318" i="161"/>
  <c r="L317" i="161"/>
  <c r="L305" i="161"/>
  <c r="L282" i="161"/>
  <c r="L281" i="161"/>
  <c r="L376" i="161"/>
  <c r="L327" i="161"/>
  <c r="L293" i="161"/>
  <c r="L286" i="161"/>
  <c r="L269" i="161"/>
  <c r="L260" i="161"/>
  <c r="L258" i="161"/>
  <c r="L257" i="161"/>
  <c r="L256" i="161"/>
  <c r="L255" i="161"/>
  <c r="L246" i="161"/>
  <c r="L211" i="161"/>
  <c r="L209" i="161"/>
  <c r="L208" i="161"/>
  <c r="L197" i="161"/>
  <c r="L442" i="161"/>
  <c r="L288" i="161"/>
  <c r="L287" i="161"/>
  <c r="L262" i="161"/>
  <c r="L261" i="161"/>
  <c r="L259" i="161"/>
  <c r="L245" i="161"/>
  <c r="L236" i="161"/>
  <c r="L210" i="161"/>
  <c r="L174" i="161"/>
  <c r="L417" i="161"/>
  <c r="L405" i="161"/>
  <c r="L364" i="161"/>
  <c r="L289" i="161"/>
  <c r="L270" i="161"/>
  <c r="L244" i="161"/>
  <c r="L243" i="161"/>
  <c r="L235" i="161"/>
  <c r="L213" i="161"/>
  <c r="L190" i="161"/>
  <c r="L175" i="161"/>
  <c r="L172" i="161"/>
  <c r="L167" i="161"/>
  <c r="L163" i="161"/>
  <c r="L458" i="161"/>
  <c r="L435" i="161"/>
  <c r="L328" i="161"/>
  <c r="L296" i="161"/>
  <c r="L283" i="161"/>
  <c r="L267" i="161"/>
  <c r="L252" i="161"/>
  <c r="L242" i="161"/>
  <c r="L207" i="161"/>
  <c r="L192" i="161"/>
  <c r="L182" i="161"/>
  <c r="L171" i="161"/>
  <c r="L169" i="161"/>
  <c r="L168" i="161"/>
  <c r="L161" i="161"/>
  <c r="L160" i="161"/>
  <c r="L374" i="161"/>
  <c r="L310" i="161"/>
  <c r="L309" i="161"/>
  <c r="L290" i="161"/>
  <c r="L280" i="161"/>
  <c r="L224" i="161"/>
  <c r="L217" i="161"/>
  <c r="L189" i="161"/>
  <c r="L183" i="161"/>
  <c r="L162" i="161"/>
  <c r="L150" i="161"/>
  <c r="L144" i="161"/>
  <c r="L470" i="161"/>
  <c r="L370" i="161"/>
  <c r="L365" i="161"/>
  <c r="L285" i="161"/>
  <c r="L284" i="161"/>
  <c r="L249" i="161"/>
  <c r="L241" i="161"/>
  <c r="L232" i="161"/>
  <c r="L230" i="161"/>
  <c r="L223" i="161"/>
  <c r="L218" i="161"/>
  <c r="L215" i="161"/>
  <c r="L467" i="161"/>
  <c r="L424" i="161"/>
  <c r="L375" i="161"/>
  <c r="L325" i="161"/>
  <c r="L311" i="161"/>
  <c r="L266" i="161"/>
  <c r="L240" i="161"/>
  <c r="L231" i="161"/>
  <c r="L222" i="161"/>
  <c r="L177" i="161"/>
  <c r="L140" i="161"/>
  <c r="L363" i="161"/>
  <c r="L299" i="161"/>
  <c r="L248" i="161"/>
  <c r="L247" i="161"/>
  <c r="L227" i="161"/>
  <c r="L221" i="161"/>
  <c r="L138" i="161"/>
  <c r="L137" i="161"/>
  <c r="L131" i="161"/>
  <c r="L110" i="161"/>
  <c r="L87" i="161"/>
  <c r="L86" i="161"/>
  <c r="L61" i="161"/>
  <c r="L54" i="161"/>
  <c r="L50" i="161"/>
  <c r="L46" i="161"/>
  <c r="L38" i="161"/>
  <c r="L35" i="161"/>
  <c r="L159" i="161"/>
  <c r="L132" i="161"/>
  <c r="L109" i="161"/>
  <c r="L107" i="161"/>
  <c r="L96" i="161"/>
  <c r="L94" i="161"/>
  <c r="L93" i="161"/>
  <c r="L69" i="161"/>
  <c r="L60" i="161"/>
  <c r="L51" i="161"/>
  <c r="L49" i="161"/>
  <c r="L41" i="161"/>
  <c r="L34" i="161"/>
  <c r="L28" i="161"/>
  <c r="L173" i="161"/>
  <c r="L139" i="161"/>
  <c r="L108" i="161"/>
  <c r="L92" i="161"/>
  <c r="L68" i="161"/>
  <c r="L62" i="161"/>
  <c r="L48" i="161"/>
  <c r="L43" i="161"/>
  <c r="L42" i="161"/>
  <c r="L198" i="161"/>
  <c r="L185" i="161"/>
  <c r="L157" i="161"/>
  <c r="L156" i="161"/>
  <c r="L148" i="161"/>
  <c r="L145" i="161"/>
  <c r="L135" i="161"/>
  <c r="L134" i="161"/>
  <c r="L130" i="161"/>
  <c r="L126" i="161"/>
  <c r="L116" i="161"/>
  <c r="L115" i="161"/>
  <c r="L113" i="161"/>
  <c r="L106" i="161"/>
  <c r="L204" i="161"/>
  <c r="L186" i="161"/>
  <c r="L149" i="161"/>
  <c r="L124" i="161"/>
  <c r="L123" i="161"/>
  <c r="L119" i="161"/>
  <c r="L118" i="161"/>
  <c r="L114" i="161"/>
  <c r="L105" i="161"/>
  <c r="L91" i="161"/>
  <c r="L199" i="161"/>
  <c r="L195" i="161"/>
  <c r="L154" i="161"/>
  <c r="L153" i="161"/>
  <c r="L152" i="161"/>
  <c r="L143" i="161"/>
  <c r="L142" i="161"/>
  <c r="L127" i="161"/>
  <c r="L120" i="161"/>
  <c r="L117" i="161"/>
  <c r="L81" i="161"/>
  <c r="L80" i="161"/>
  <c r="L205" i="161"/>
  <c r="L187" i="161"/>
  <c r="L176" i="161"/>
  <c r="L133" i="161"/>
  <c r="L121" i="161"/>
  <c r="L100" i="161"/>
  <c r="L97" i="161"/>
  <c r="L71" i="161"/>
  <c r="L196" i="161"/>
  <c r="L101" i="161"/>
  <c r="L98" i="161"/>
  <c r="L89" i="161"/>
  <c r="L88" i="161"/>
  <c r="L70" i="161"/>
  <c r="L66" i="161"/>
  <c r="L29" i="161"/>
  <c r="L26" i="161"/>
  <c r="L23" i="161"/>
  <c r="L32" i="161"/>
  <c r="L17" i="161"/>
  <c r="L15" i="161"/>
  <c r="L31" i="161"/>
  <c r="L16" i="161"/>
  <c r="L36" i="161"/>
  <c r="L37" i="161"/>
  <c r="L82" i="161"/>
  <c r="L57" i="161"/>
  <c r="L30" i="161"/>
  <c r="L21" i="161"/>
  <c r="L58" i="161"/>
  <c r="L53" i="161"/>
  <c r="L44" i="161"/>
  <c r="L40" i="161"/>
  <c r="L83" i="161"/>
  <c r="L67" i="161"/>
  <c r="L45" i="161"/>
  <c r="L24" i="161"/>
  <c r="L59" i="161"/>
  <c r="L27" i="161"/>
  <c r="C387" i="161"/>
  <c r="D388" i="161"/>
  <c r="L383" i="161"/>
  <c r="BL154" i="161" l="1"/>
  <c r="C154" i="161"/>
  <c r="D155" i="161"/>
  <c r="X178" i="161"/>
  <c r="N178" i="161"/>
  <c r="M178" i="161"/>
  <c r="N349" i="161"/>
  <c r="M349" i="161"/>
  <c r="X349" i="161"/>
  <c r="M263" i="161"/>
  <c r="X263" i="161"/>
  <c r="N263" i="161"/>
  <c r="M103" i="161"/>
  <c r="N103" i="161"/>
  <c r="X103" i="161"/>
  <c r="M201" i="161"/>
  <c r="X201" i="161"/>
  <c r="N201" i="161"/>
  <c r="M200" i="161"/>
  <c r="N200" i="161"/>
  <c r="X200" i="161"/>
  <c r="N359" i="161"/>
  <c r="M359" i="161"/>
  <c r="X359" i="161"/>
  <c r="M278" i="161"/>
  <c r="N278" i="161"/>
  <c r="X278" i="161"/>
  <c r="N74" i="161"/>
  <c r="M74" i="161"/>
  <c r="X74" i="161"/>
  <c r="M277" i="161"/>
  <c r="N277" i="161"/>
  <c r="X277" i="161"/>
  <c r="X253" i="161"/>
  <c r="M253" i="161"/>
  <c r="N253" i="161"/>
  <c r="X360" i="161"/>
  <c r="M360" i="161"/>
  <c r="N360" i="161"/>
  <c r="X352" i="161"/>
  <c r="N352" i="161"/>
  <c r="M352" i="161"/>
  <c r="X238" i="161"/>
  <c r="M238" i="161"/>
  <c r="N238" i="161"/>
  <c r="M351" i="161"/>
  <c r="N351" i="161"/>
  <c r="X351" i="161"/>
  <c r="X353" i="161"/>
  <c r="M353" i="161"/>
  <c r="N353" i="161"/>
  <c r="M401" i="161"/>
  <c r="N401" i="161"/>
  <c r="X401" i="161"/>
  <c r="X76" i="161"/>
  <c r="M76" i="161"/>
  <c r="N76" i="161"/>
  <c r="N323" i="161"/>
  <c r="M323" i="161"/>
  <c r="X323" i="161"/>
  <c r="M357" i="161"/>
  <c r="N357" i="161"/>
  <c r="X357" i="161"/>
  <c r="M400" i="161"/>
  <c r="N400" i="161"/>
  <c r="X400" i="161"/>
  <c r="M75" i="161"/>
  <c r="X75" i="161"/>
  <c r="N75" i="161"/>
  <c r="M102" i="161"/>
  <c r="N102" i="161"/>
  <c r="X102" i="161"/>
  <c r="M429" i="161"/>
  <c r="X429" i="161"/>
  <c r="N429" i="161"/>
  <c r="X77" i="161"/>
  <c r="M77" i="161"/>
  <c r="N77" i="161"/>
  <c r="X322" i="161"/>
  <c r="N322" i="161"/>
  <c r="M322" i="161"/>
  <c r="N64" i="161"/>
  <c r="M64" i="161"/>
  <c r="X64" i="161"/>
  <c r="M348" i="161"/>
  <c r="X348" i="161"/>
  <c r="N348" i="161"/>
  <c r="M237" i="161"/>
  <c r="X237" i="161"/>
  <c r="N237" i="161"/>
  <c r="M165" i="161"/>
  <c r="X165" i="161"/>
  <c r="N165" i="161"/>
  <c r="X228" i="161"/>
  <c r="M228" i="161"/>
  <c r="N228" i="161"/>
  <c r="M78" i="161"/>
  <c r="N78" i="161"/>
  <c r="X78" i="161"/>
  <c r="X358" i="161"/>
  <c r="N358" i="161"/>
  <c r="M358" i="161"/>
  <c r="M63" i="161"/>
  <c r="N63" i="161"/>
  <c r="X63" i="161"/>
  <c r="M233" i="161"/>
  <c r="N233" i="161"/>
  <c r="X233" i="161"/>
  <c r="N321" i="161"/>
  <c r="X321" i="161"/>
  <c r="M321" i="161"/>
  <c r="M202" i="161"/>
  <c r="X202" i="161"/>
  <c r="N202" i="161"/>
  <c r="X428" i="161"/>
  <c r="N428" i="161"/>
  <c r="M428" i="161"/>
  <c r="M179" i="161"/>
  <c r="X179" i="161"/>
  <c r="N179" i="161"/>
  <c r="M350" i="161"/>
  <c r="N350" i="161"/>
  <c r="X350" i="161"/>
  <c r="M204" i="161"/>
  <c r="X204" i="161"/>
  <c r="N204" i="161"/>
  <c r="M43" i="161"/>
  <c r="X43" i="161"/>
  <c r="N43" i="161"/>
  <c r="X140" i="161"/>
  <c r="N140" i="161"/>
  <c r="M140" i="161"/>
  <c r="M150" i="161"/>
  <c r="X150" i="161"/>
  <c r="N150" i="161"/>
  <c r="N255" i="161"/>
  <c r="M255" i="161"/>
  <c r="X255" i="161"/>
  <c r="X373" i="161"/>
  <c r="N373" i="161"/>
  <c r="M373" i="161"/>
  <c r="M338" i="161"/>
  <c r="X338" i="161"/>
  <c r="N338" i="161"/>
  <c r="M367" i="161"/>
  <c r="X367" i="161"/>
  <c r="N367" i="161"/>
  <c r="X408" i="161"/>
  <c r="N408" i="161"/>
  <c r="M408" i="161"/>
  <c r="N22" i="161"/>
  <c r="X22" i="161"/>
  <c r="M22" i="161"/>
  <c r="N40" i="161"/>
  <c r="M40" i="161"/>
  <c r="X40" i="161"/>
  <c r="M82" i="161"/>
  <c r="X82" i="161"/>
  <c r="N82" i="161"/>
  <c r="M23" i="161"/>
  <c r="N23" i="161"/>
  <c r="X23" i="161"/>
  <c r="M101" i="161"/>
  <c r="X101" i="161"/>
  <c r="N101" i="161"/>
  <c r="M187" i="161"/>
  <c r="N187" i="161"/>
  <c r="X187" i="161"/>
  <c r="M143" i="161"/>
  <c r="X143" i="161"/>
  <c r="N143" i="161"/>
  <c r="M114" i="161"/>
  <c r="X114" i="161"/>
  <c r="N114" i="161"/>
  <c r="M106" i="161"/>
  <c r="N106" i="161"/>
  <c r="X106" i="161"/>
  <c r="M145" i="161"/>
  <c r="X145" i="161"/>
  <c r="N145" i="161"/>
  <c r="N48" i="161"/>
  <c r="M48" i="161"/>
  <c r="X48" i="161"/>
  <c r="M34" i="161"/>
  <c r="N34" i="161"/>
  <c r="X34" i="161"/>
  <c r="M96" i="161"/>
  <c r="N96" i="161"/>
  <c r="X96" i="161"/>
  <c r="M50" i="161"/>
  <c r="X50" i="161"/>
  <c r="N50" i="161"/>
  <c r="M138" i="161"/>
  <c r="X138" i="161"/>
  <c r="N138" i="161"/>
  <c r="M177" i="161"/>
  <c r="X177" i="161"/>
  <c r="N177" i="161"/>
  <c r="N424" i="161"/>
  <c r="M424" i="161"/>
  <c r="X424" i="161"/>
  <c r="N249" i="161"/>
  <c r="X249" i="161"/>
  <c r="M249" i="161"/>
  <c r="X162" i="161"/>
  <c r="N162" i="161"/>
  <c r="M162" i="161"/>
  <c r="M310" i="161"/>
  <c r="N310" i="161"/>
  <c r="X310" i="161"/>
  <c r="M192" i="161"/>
  <c r="N192" i="161"/>
  <c r="X192" i="161"/>
  <c r="X435" i="161"/>
  <c r="N435" i="161"/>
  <c r="M435" i="161"/>
  <c r="N235" i="161"/>
  <c r="X235" i="161"/>
  <c r="M235" i="161"/>
  <c r="M174" i="161"/>
  <c r="X174" i="161"/>
  <c r="N174" i="161"/>
  <c r="X288" i="161"/>
  <c r="M288" i="161"/>
  <c r="N288" i="161"/>
  <c r="M256" i="161"/>
  <c r="N256" i="161"/>
  <c r="X256" i="161"/>
  <c r="N376" i="161"/>
  <c r="M376" i="161"/>
  <c r="X376" i="161"/>
  <c r="M385" i="161"/>
  <c r="X385" i="161"/>
  <c r="N385" i="161"/>
  <c r="N471" i="161"/>
  <c r="X471" i="161"/>
  <c r="M471" i="161"/>
  <c r="M386" i="161"/>
  <c r="X386" i="161"/>
  <c r="N386" i="161"/>
  <c r="E470" i="189"/>
  <c r="N472" i="161"/>
  <c r="X472" i="161"/>
  <c r="M472" i="161"/>
  <c r="P396" i="161"/>
  <c r="E391" i="189" s="1"/>
  <c r="M396" i="161"/>
  <c r="N396" i="161"/>
  <c r="X396" i="161"/>
  <c r="N479" i="161"/>
  <c r="M479" i="161"/>
  <c r="X479" i="161"/>
  <c r="L478" i="161" a="1"/>
  <c r="L478" i="161" s="1"/>
  <c r="M342" i="161"/>
  <c r="X342" i="161"/>
  <c r="N342" i="161"/>
  <c r="N300" i="161"/>
  <c r="X300" i="161"/>
  <c r="M300" i="161"/>
  <c r="X426" i="161"/>
  <c r="N426" i="161"/>
  <c r="M426" i="161"/>
  <c r="X297" i="161"/>
  <c r="M297" i="161"/>
  <c r="N297" i="161"/>
  <c r="X407" i="161"/>
  <c r="N407" i="161"/>
  <c r="M407" i="161"/>
  <c r="X449" i="161"/>
  <c r="P449" i="161"/>
  <c r="M449" i="161"/>
  <c r="N449" i="161"/>
  <c r="X368" i="161"/>
  <c r="M368" i="161"/>
  <c r="N368" i="161"/>
  <c r="X416" i="161"/>
  <c r="M416" i="161"/>
  <c r="N416" i="161"/>
  <c r="N32" i="161"/>
  <c r="X32" i="161"/>
  <c r="M32" i="161"/>
  <c r="X375" i="161"/>
  <c r="N375" i="161"/>
  <c r="M375" i="161"/>
  <c r="M287" i="161"/>
  <c r="N287" i="161"/>
  <c r="X287" i="161"/>
  <c r="N327" i="161"/>
  <c r="M327" i="161"/>
  <c r="X327" i="161"/>
  <c r="N447" i="161"/>
  <c r="X447" i="161"/>
  <c r="P447" i="161"/>
  <c r="M447" i="161"/>
  <c r="X464" i="161"/>
  <c r="N464" i="161"/>
  <c r="M464" i="161"/>
  <c r="X391" i="161"/>
  <c r="N391" i="161"/>
  <c r="M391" i="161"/>
  <c r="M295" i="161"/>
  <c r="N295" i="161"/>
  <c r="X295" i="161"/>
  <c r="M420" i="161"/>
  <c r="X420" i="161"/>
  <c r="N420" i="161"/>
  <c r="N468" i="161"/>
  <c r="M468" i="161"/>
  <c r="X468" i="161"/>
  <c r="N404" i="161"/>
  <c r="X404" i="161"/>
  <c r="M404" i="161"/>
  <c r="X440" i="161"/>
  <c r="M440" i="161"/>
  <c r="P440" i="161"/>
  <c r="N440" i="161"/>
  <c r="X18" i="161"/>
  <c r="N18" i="161"/>
  <c r="M18" i="161"/>
  <c r="N44" i="161"/>
  <c r="X44" i="161"/>
  <c r="M44" i="161"/>
  <c r="M37" i="161"/>
  <c r="X37" i="161"/>
  <c r="N37" i="161"/>
  <c r="M26" i="161"/>
  <c r="X26" i="161"/>
  <c r="N26" i="161"/>
  <c r="N196" i="161"/>
  <c r="M196" i="161"/>
  <c r="X196" i="161"/>
  <c r="M205" i="161"/>
  <c r="X205" i="161"/>
  <c r="N205" i="161"/>
  <c r="X152" i="161"/>
  <c r="N152" i="161"/>
  <c r="M152" i="161"/>
  <c r="M118" i="161"/>
  <c r="X118" i="161"/>
  <c r="N118" i="161"/>
  <c r="X113" i="161"/>
  <c r="N113" i="161"/>
  <c r="M113" i="161"/>
  <c r="X148" i="161"/>
  <c r="N148" i="161"/>
  <c r="M148" i="161"/>
  <c r="N62" i="161"/>
  <c r="X62" i="161"/>
  <c r="M62" i="161"/>
  <c r="M41" i="161"/>
  <c r="X41" i="161"/>
  <c r="N41" i="161"/>
  <c r="N107" i="161"/>
  <c r="X107" i="161"/>
  <c r="M107" i="161"/>
  <c r="M54" i="161"/>
  <c r="N54" i="161"/>
  <c r="X54" i="161"/>
  <c r="X221" i="161"/>
  <c r="N221" i="161"/>
  <c r="M221" i="161"/>
  <c r="N222" i="161"/>
  <c r="M222" i="161"/>
  <c r="X222" i="161"/>
  <c r="N467" i="161"/>
  <c r="X467" i="161"/>
  <c r="M467" i="161"/>
  <c r="M284" i="161"/>
  <c r="X284" i="161"/>
  <c r="N284" i="161"/>
  <c r="M183" i="161"/>
  <c r="N183" i="161"/>
  <c r="X183" i="161"/>
  <c r="X374" i="161"/>
  <c r="N374" i="161"/>
  <c r="M374" i="161"/>
  <c r="M207" i="161"/>
  <c r="N207" i="161"/>
  <c r="X207" i="161"/>
  <c r="M458" i="161"/>
  <c r="N458" i="161"/>
  <c r="X458" i="161"/>
  <c r="N243" i="161"/>
  <c r="M243" i="161"/>
  <c r="X243" i="161"/>
  <c r="M210" i="161"/>
  <c r="N210" i="161"/>
  <c r="X210" i="161"/>
  <c r="X442" i="161"/>
  <c r="N442" i="161"/>
  <c r="M442" i="161"/>
  <c r="N257" i="161"/>
  <c r="M257" i="161"/>
  <c r="X257" i="161"/>
  <c r="X281" i="161"/>
  <c r="M281" i="161"/>
  <c r="N281" i="161"/>
  <c r="X418" i="161"/>
  <c r="N418" i="161"/>
  <c r="M418" i="161"/>
  <c r="N476" i="161"/>
  <c r="M476" i="161"/>
  <c r="X476" i="161"/>
  <c r="M389" i="161"/>
  <c r="X389" i="161"/>
  <c r="N389" i="161"/>
  <c r="M477" i="161"/>
  <c r="X477" i="161"/>
  <c r="N477" i="161"/>
  <c r="E399" i="189"/>
  <c r="X406" i="161"/>
  <c r="N406" i="161"/>
  <c r="M406" i="161"/>
  <c r="X272" i="161"/>
  <c r="M272" i="161"/>
  <c r="N272" i="161"/>
  <c r="E393" i="189"/>
  <c r="M398" i="161"/>
  <c r="X398" i="161"/>
  <c r="N398" i="161"/>
  <c r="M334" i="161"/>
  <c r="N334" i="161"/>
  <c r="X334" i="161"/>
  <c r="X432" i="161"/>
  <c r="M432" i="161"/>
  <c r="P432" i="161"/>
  <c r="E426" i="189" s="1"/>
  <c r="N432" i="161"/>
  <c r="M301" i="161"/>
  <c r="X301" i="161"/>
  <c r="N301" i="161"/>
  <c r="N410" i="161"/>
  <c r="M410" i="161"/>
  <c r="X410" i="161"/>
  <c r="E403" i="189"/>
  <c r="N456" i="161"/>
  <c r="X456" i="161"/>
  <c r="M456" i="161"/>
  <c r="N377" i="161"/>
  <c r="X377" i="161"/>
  <c r="M377" i="161"/>
  <c r="X434" i="161"/>
  <c r="N434" i="161"/>
  <c r="M434" i="161"/>
  <c r="M176" i="161"/>
  <c r="X176" i="161"/>
  <c r="N176" i="161"/>
  <c r="N241" i="161"/>
  <c r="M241" i="161"/>
  <c r="X241" i="161"/>
  <c r="N213" i="161"/>
  <c r="M213" i="161"/>
  <c r="X213" i="161"/>
  <c r="X417" i="161"/>
  <c r="M417" i="161"/>
  <c r="N417" i="161"/>
  <c r="M336" i="161"/>
  <c r="X336" i="161"/>
  <c r="N336" i="161"/>
  <c r="M473" i="161"/>
  <c r="N473" i="161"/>
  <c r="X473" i="161"/>
  <c r="M59" i="161"/>
  <c r="N59" i="161"/>
  <c r="X59" i="161"/>
  <c r="N20" i="161"/>
  <c r="M20" i="161"/>
  <c r="X20" i="161"/>
  <c r="X36" i="161"/>
  <c r="M36" i="161"/>
  <c r="N36" i="161"/>
  <c r="X29" i="161"/>
  <c r="N29" i="161"/>
  <c r="M29" i="161"/>
  <c r="M71" i="161"/>
  <c r="N71" i="161"/>
  <c r="X71" i="161"/>
  <c r="N80" i="161"/>
  <c r="M80" i="161"/>
  <c r="X80" i="161"/>
  <c r="X153" i="161"/>
  <c r="M153" i="161"/>
  <c r="N153" i="161"/>
  <c r="M119" i="161"/>
  <c r="X119" i="161"/>
  <c r="N119" i="161"/>
  <c r="N115" i="161"/>
  <c r="M115" i="161"/>
  <c r="X115" i="161"/>
  <c r="X156" i="161"/>
  <c r="N156" i="161"/>
  <c r="M156" i="161"/>
  <c r="N68" i="161"/>
  <c r="X68" i="161"/>
  <c r="M68" i="161"/>
  <c r="N49" i="161"/>
  <c r="X49" i="161"/>
  <c r="M49" i="161"/>
  <c r="M109" i="161"/>
  <c r="N109" i="161"/>
  <c r="X109" i="161"/>
  <c r="N61" i="161"/>
  <c r="X61" i="161"/>
  <c r="M61" i="161"/>
  <c r="N227" i="161"/>
  <c r="M227" i="161"/>
  <c r="X227" i="161"/>
  <c r="X231" i="161"/>
  <c r="N231" i="161"/>
  <c r="M231" i="161"/>
  <c r="M215" i="161"/>
  <c r="X215" i="161"/>
  <c r="N215" i="161"/>
  <c r="X285" i="161"/>
  <c r="M285" i="161"/>
  <c r="N285" i="161"/>
  <c r="M189" i="161"/>
  <c r="N189" i="161"/>
  <c r="X189" i="161"/>
  <c r="X160" i="161"/>
  <c r="N160" i="161"/>
  <c r="M160" i="161"/>
  <c r="N242" i="161"/>
  <c r="X242" i="161"/>
  <c r="M242" i="161"/>
  <c r="X163" i="161"/>
  <c r="N163" i="161"/>
  <c r="M163" i="161"/>
  <c r="M244" i="161"/>
  <c r="X244" i="161"/>
  <c r="N244" i="161"/>
  <c r="X236" i="161"/>
  <c r="N236" i="161"/>
  <c r="M236" i="161"/>
  <c r="N197" i="161"/>
  <c r="X197" i="161"/>
  <c r="M197" i="161"/>
  <c r="X258" i="161"/>
  <c r="M258" i="161"/>
  <c r="N258" i="161"/>
  <c r="M282" i="161"/>
  <c r="N282" i="161"/>
  <c r="X282" i="161"/>
  <c r="N421" i="161"/>
  <c r="M421" i="161"/>
  <c r="X421" i="161"/>
  <c r="N268" i="161"/>
  <c r="X268" i="161"/>
  <c r="M268" i="161"/>
  <c r="X393" i="161"/>
  <c r="P393" i="161"/>
  <c r="E388" i="189" s="1"/>
  <c r="N393" i="161"/>
  <c r="M393" i="161"/>
  <c r="M276" i="161"/>
  <c r="X276" i="161"/>
  <c r="N276" i="161"/>
  <c r="X409" i="161"/>
  <c r="E402" i="189"/>
  <c r="M409" i="161"/>
  <c r="N409" i="161"/>
  <c r="M291" i="161"/>
  <c r="X291" i="161"/>
  <c r="N291" i="161"/>
  <c r="X437" i="161"/>
  <c r="N437" i="161"/>
  <c r="M437" i="161"/>
  <c r="N339" i="161"/>
  <c r="M339" i="161"/>
  <c r="X339" i="161"/>
  <c r="X448" i="161"/>
  <c r="P448" i="161"/>
  <c r="M448" i="161"/>
  <c r="N448" i="161"/>
  <c r="M302" i="161"/>
  <c r="X302" i="161"/>
  <c r="N302" i="161"/>
  <c r="M415" i="161"/>
  <c r="N415" i="161"/>
  <c r="X415" i="161"/>
  <c r="X469" i="161"/>
  <c r="N469" i="161"/>
  <c r="M469" i="161"/>
  <c r="X378" i="161"/>
  <c r="M378" i="161"/>
  <c r="N378" i="161"/>
  <c r="X441" i="161"/>
  <c r="M441" i="161"/>
  <c r="P441" i="161"/>
  <c r="N441" i="161"/>
  <c r="M57" i="161"/>
  <c r="N57" i="161"/>
  <c r="X57" i="161"/>
  <c r="N105" i="161"/>
  <c r="X105" i="161"/>
  <c r="M105" i="161"/>
  <c r="N309" i="161"/>
  <c r="X309" i="161"/>
  <c r="M309" i="161"/>
  <c r="M19" i="161"/>
  <c r="X19" i="161"/>
  <c r="N19" i="161"/>
  <c r="M97" i="161"/>
  <c r="N97" i="161"/>
  <c r="X97" i="161"/>
  <c r="M123" i="161"/>
  <c r="X123" i="161"/>
  <c r="N123" i="161"/>
  <c r="X116" i="161"/>
  <c r="N116" i="161"/>
  <c r="M116" i="161"/>
  <c r="X157" i="161"/>
  <c r="M157" i="161"/>
  <c r="N157" i="161"/>
  <c r="N92" i="161"/>
  <c r="M92" i="161"/>
  <c r="X92" i="161"/>
  <c r="M51" i="161"/>
  <c r="N51" i="161"/>
  <c r="X51" i="161"/>
  <c r="M132" i="161"/>
  <c r="X132" i="161"/>
  <c r="N132" i="161"/>
  <c r="X86" i="161"/>
  <c r="M86" i="161"/>
  <c r="N86" i="161"/>
  <c r="X247" i="161"/>
  <c r="M247" i="161"/>
  <c r="N247" i="161"/>
  <c r="X240" i="161"/>
  <c r="N240" i="161"/>
  <c r="M240" i="161"/>
  <c r="M218" i="161"/>
  <c r="N218" i="161"/>
  <c r="X218" i="161"/>
  <c r="X365" i="161"/>
  <c r="N365" i="161"/>
  <c r="M365" i="161"/>
  <c r="X217" i="161"/>
  <c r="M217" i="161"/>
  <c r="N217" i="161"/>
  <c r="X161" i="161"/>
  <c r="N161" i="161"/>
  <c r="M161" i="161"/>
  <c r="N252" i="161"/>
  <c r="X252" i="161"/>
  <c r="M252" i="161"/>
  <c r="M167" i="161"/>
  <c r="N167" i="161"/>
  <c r="X167" i="161"/>
  <c r="M270" i="161"/>
  <c r="N270" i="161"/>
  <c r="X270" i="161"/>
  <c r="X245" i="161"/>
  <c r="M245" i="161"/>
  <c r="N245" i="161"/>
  <c r="M208" i="161"/>
  <c r="N208" i="161"/>
  <c r="X208" i="161"/>
  <c r="N260" i="161"/>
  <c r="X260" i="161"/>
  <c r="M260" i="161"/>
  <c r="N305" i="161"/>
  <c r="X305" i="161"/>
  <c r="M305" i="161"/>
  <c r="X425" i="161"/>
  <c r="N425" i="161"/>
  <c r="M425" i="161"/>
  <c r="M273" i="161"/>
  <c r="N273" i="161"/>
  <c r="X273" i="161"/>
  <c r="M411" i="161"/>
  <c r="N411" i="161"/>
  <c r="X411" i="161"/>
  <c r="M315" i="161"/>
  <c r="N315" i="161"/>
  <c r="X315" i="161"/>
  <c r="E405" i="189"/>
  <c r="X412" i="161"/>
  <c r="M412" i="161"/>
  <c r="N412" i="161"/>
  <c r="M292" i="161"/>
  <c r="N292" i="161"/>
  <c r="X292" i="161"/>
  <c r="X444" i="161"/>
  <c r="M444" i="161"/>
  <c r="P444" i="161"/>
  <c r="N444" i="161"/>
  <c r="X355" i="161"/>
  <c r="N355" i="161"/>
  <c r="M355" i="161"/>
  <c r="N455" i="161"/>
  <c r="X455" i="161"/>
  <c r="M455" i="161"/>
  <c r="X307" i="161"/>
  <c r="M307" i="161"/>
  <c r="N307" i="161"/>
  <c r="N423" i="161"/>
  <c r="X423" i="161"/>
  <c r="M423" i="161"/>
  <c r="M474" i="161"/>
  <c r="X474" i="161"/>
  <c r="N474" i="161"/>
  <c r="X388" i="161"/>
  <c r="N388" i="161"/>
  <c r="M388" i="161"/>
  <c r="P388" i="161"/>
  <c r="E383" i="189" s="1"/>
  <c r="N446" i="161"/>
  <c r="P446" i="161"/>
  <c r="X446" i="161"/>
  <c r="M446" i="161"/>
  <c r="M27" i="161"/>
  <c r="X27" i="161"/>
  <c r="N27" i="161"/>
  <c r="M142" i="161"/>
  <c r="X142" i="161"/>
  <c r="N142" i="161"/>
  <c r="M94" i="161"/>
  <c r="N94" i="161"/>
  <c r="X94" i="161"/>
  <c r="X328" i="161"/>
  <c r="N328" i="161"/>
  <c r="M328" i="161"/>
  <c r="N16" i="161"/>
  <c r="M16" i="161"/>
  <c r="X16" i="161"/>
  <c r="M154" i="161"/>
  <c r="N154" i="161"/>
  <c r="X154" i="161"/>
  <c r="N24" i="161"/>
  <c r="X24" i="161"/>
  <c r="M24" i="161"/>
  <c r="X70" i="161"/>
  <c r="N70" i="161"/>
  <c r="M70" i="161"/>
  <c r="N100" i="161"/>
  <c r="M100" i="161"/>
  <c r="X100" i="161"/>
  <c r="N117" i="161"/>
  <c r="M117" i="161"/>
  <c r="X117" i="161"/>
  <c r="M195" i="161"/>
  <c r="X195" i="161"/>
  <c r="N195" i="161"/>
  <c r="M124" i="161"/>
  <c r="X124" i="161"/>
  <c r="N124" i="161"/>
  <c r="M126" i="161"/>
  <c r="X126" i="161"/>
  <c r="N126" i="161"/>
  <c r="M185" i="161"/>
  <c r="N185" i="161"/>
  <c r="X185" i="161"/>
  <c r="M108" i="161"/>
  <c r="N108" i="161"/>
  <c r="X108" i="161"/>
  <c r="N60" i="161"/>
  <c r="M60" i="161"/>
  <c r="X60" i="161"/>
  <c r="N159" i="161"/>
  <c r="X159" i="161"/>
  <c r="M159" i="161"/>
  <c r="M87" i="161"/>
  <c r="N87" i="161"/>
  <c r="X87" i="161"/>
  <c r="X248" i="161"/>
  <c r="N248" i="161"/>
  <c r="M248" i="161"/>
  <c r="X266" i="161"/>
  <c r="N266" i="161"/>
  <c r="M266" i="161"/>
  <c r="M223" i="161"/>
  <c r="N223" i="161"/>
  <c r="X223" i="161"/>
  <c r="X370" i="161"/>
  <c r="M370" i="161"/>
  <c r="N370" i="161"/>
  <c r="N224" i="161"/>
  <c r="M224" i="161"/>
  <c r="X224" i="161"/>
  <c r="N168" i="161"/>
  <c r="M168" i="161"/>
  <c r="X168" i="161"/>
  <c r="X267" i="161"/>
  <c r="M267" i="161"/>
  <c r="N267" i="161"/>
  <c r="X172" i="161"/>
  <c r="N172" i="161"/>
  <c r="M172" i="161"/>
  <c r="X289" i="161"/>
  <c r="M289" i="161"/>
  <c r="N289" i="161"/>
  <c r="X259" i="161"/>
  <c r="M259" i="161"/>
  <c r="N259" i="161"/>
  <c r="M209" i="161"/>
  <c r="N209" i="161"/>
  <c r="X209" i="161"/>
  <c r="X269" i="161"/>
  <c r="N269" i="161"/>
  <c r="M269" i="161"/>
  <c r="X317" i="161"/>
  <c r="N317" i="161"/>
  <c r="M317" i="161"/>
  <c r="N431" i="161"/>
  <c r="X431" i="161"/>
  <c r="M431" i="161"/>
  <c r="N274" i="161"/>
  <c r="M274" i="161"/>
  <c r="X274" i="161"/>
  <c r="N419" i="161"/>
  <c r="E412" i="189"/>
  <c r="M419" i="161"/>
  <c r="X419" i="161"/>
  <c r="X319" i="161"/>
  <c r="N319" i="161"/>
  <c r="M319" i="161"/>
  <c r="E407" i="189"/>
  <c r="X414" i="161"/>
  <c r="M414" i="161"/>
  <c r="N414" i="161"/>
  <c r="X306" i="161"/>
  <c r="N306" i="161"/>
  <c r="M306" i="161"/>
  <c r="N454" i="161"/>
  <c r="X454" i="161"/>
  <c r="M454" i="161"/>
  <c r="M379" i="161"/>
  <c r="N379" i="161"/>
  <c r="X379" i="161"/>
  <c r="N460" i="161"/>
  <c r="M460" i="161"/>
  <c r="X460" i="161"/>
  <c r="M346" i="161"/>
  <c r="X346" i="161"/>
  <c r="N346" i="161"/>
  <c r="X427" i="161"/>
  <c r="M427" i="161"/>
  <c r="N427" i="161"/>
  <c r="M332" i="161"/>
  <c r="X332" i="161"/>
  <c r="N332" i="161"/>
  <c r="M392" i="161"/>
  <c r="X392" i="161"/>
  <c r="N392" i="161"/>
  <c r="X450" i="161"/>
  <c r="N450" i="161"/>
  <c r="M450" i="161"/>
  <c r="M98" i="161"/>
  <c r="X98" i="161"/>
  <c r="N98" i="161"/>
  <c r="M135" i="161"/>
  <c r="N135" i="161"/>
  <c r="X135" i="161"/>
  <c r="N28" i="161"/>
  <c r="X28" i="161"/>
  <c r="M28" i="161"/>
  <c r="X137" i="161"/>
  <c r="N137" i="161"/>
  <c r="M137" i="161"/>
  <c r="M182" i="161"/>
  <c r="N182" i="161"/>
  <c r="X182" i="161"/>
  <c r="N53" i="161"/>
  <c r="M53" i="161"/>
  <c r="X53" i="161"/>
  <c r="N66" i="161"/>
  <c r="X66" i="161"/>
  <c r="M66" i="161"/>
  <c r="X81" i="161"/>
  <c r="M81" i="161"/>
  <c r="N81" i="161"/>
  <c r="N58" i="161"/>
  <c r="X58" i="161"/>
  <c r="M58" i="161"/>
  <c r="N31" i="161"/>
  <c r="X31" i="161"/>
  <c r="M31" i="161"/>
  <c r="X45" i="161"/>
  <c r="N45" i="161"/>
  <c r="M45" i="161"/>
  <c r="X21" i="161"/>
  <c r="N21" i="161"/>
  <c r="M21" i="161"/>
  <c r="N15" i="161"/>
  <c r="X15" i="161"/>
  <c r="M15" i="161"/>
  <c r="X88" i="161"/>
  <c r="M88" i="161"/>
  <c r="N88" i="161"/>
  <c r="X121" i="161"/>
  <c r="N121" i="161"/>
  <c r="M121" i="161"/>
  <c r="M120" i="161"/>
  <c r="X120" i="161"/>
  <c r="N120" i="161"/>
  <c r="X199" i="161"/>
  <c r="M199" i="161"/>
  <c r="N199" i="161"/>
  <c r="X149" i="161"/>
  <c r="N149" i="161"/>
  <c r="M149" i="161"/>
  <c r="M130" i="161"/>
  <c r="X130" i="161"/>
  <c r="N130" i="161"/>
  <c r="X198" i="161"/>
  <c r="N198" i="161"/>
  <c r="M198" i="161"/>
  <c r="X139" i="161"/>
  <c r="M139" i="161"/>
  <c r="N139" i="161"/>
  <c r="N69" i="161"/>
  <c r="M69" i="161"/>
  <c r="X69" i="161"/>
  <c r="X35" i="161"/>
  <c r="N35" i="161"/>
  <c r="M35" i="161"/>
  <c r="X110" i="161"/>
  <c r="N110" i="161"/>
  <c r="M110" i="161"/>
  <c r="N299" i="161"/>
  <c r="M299" i="161"/>
  <c r="X299" i="161"/>
  <c r="M311" i="161"/>
  <c r="X311" i="161"/>
  <c r="N311" i="161"/>
  <c r="X230" i="161"/>
  <c r="N230" i="161"/>
  <c r="M230" i="161"/>
  <c r="N470" i="161"/>
  <c r="X470" i="161"/>
  <c r="M470" i="161"/>
  <c r="X280" i="161"/>
  <c r="N280" i="161"/>
  <c r="M280" i="161"/>
  <c r="M169" i="161"/>
  <c r="X169" i="161"/>
  <c r="N169" i="161"/>
  <c r="X283" i="161"/>
  <c r="N283" i="161"/>
  <c r="M283" i="161"/>
  <c r="N175" i="161"/>
  <c r="M175" i="161"/>
  <c r="X175" i="161"/>
  <c r="N364" i="161"/>
  <c r="X364" i="161"/>
  <c r="M364" i="161"/>
  <c r="N261" i="161"/>
  <c r="X261" i="161"/>
  <c r="M261" i="161"/>
  <c r="M211" i="161"/>
  <c r="N211" i="161"/>
  <c r="X211" i="161"/>
  <c r="M286" i="161"/>
  <c r="N286" i="161"/>
  <c r="X286" i="161"/>
  <c r="M318" i="161"/>
  <c r="X318" i="161"/>
  <c r="N318" i="161"/>
  <c r="X436" i="161"/>
  <c r="M436" i="161"/>
  <c r="N436" i="161"/>
  <c r="M275" i="161"/>
  <c r="X275" i="161"/>
  <c r="N275" i="161"/>
  <c r="X453" i="161"/>
  <c r="M453" i="161"/>
  <c r="N453" i="161"/>
  <c r="L451" i="161" a="1"/>
  <c r="L451" i="161" s="1"/>
  <c r="X372" i="161"/>
  <c r="M372" i="161"/>
  <c r="N372" i="161"/>
  <c r="X439" i="161"/>
  <c r="N439" i="161"/>
  <c r="M439" i="161"/>
  <c r="N313" i="161"/>
  <c r="M313" i="161"/>
  <c r="X313" i="161"/>
  <c r="M465" i="161"/>
  <c r="N465" i="161"/>
  <c r="X465" i="161"/>
  <c r="M384" i="161"/>
  <c r="X384" i="161"/>
  <c r="N384" i="161"/>
  <c r="N462" i="161"/>
  <c r="M462" i="161"/>
  <c r="X462" i="161"/>
  <c r="N347" i="161"/>
  <c r="M347" i="161"/>
  <c r="X347" i="161"/>
  <c r="X433" i="161"/>
  <c r="P433" i="161"/>
  <c r="M433" i="161"/>
  <c r="N433" i="161"/>
  <c r="M340" i="161"/>
  <c r="X340" i="161"/>
  <c r="N340" i="161"/>
  <c r="P395" i="161"/>
  <c r="E390" i="189" s="1"/>
  <c r="X395" i="161"/>
  <c r="N395" i="161"/>
  <c r="M395" i="161"/>
  <c r="M457" i="161"/>
  <c r="N457" i="161"/>
  <c r="X457" i="161"/>
  <c r="N83" i="161"/>
  <c r="M83" i="161"/>
  <c r="X83" i="161"/>
  <c r="M46" i="161"/>
  <c r="X46" i="161"/>
  <c r="N46" i="161"/>
  <c r="M67" i="161"/>
  <c r="N67" i="161"/>
  <c r="X67" i="161"/>
  <c r="M30" i="161"/>
  <c r="X30" i="161"/>
  <c r="N30" i="161"/>
  <c r="M17" i="161"/>
  <c r="X17" i="161"/>
  <c r="N17" i="161"/>
  <c r="M89" i="161"/>
  <c r="X89" i="161"/>
  <c r="N89" i="161"/>
  <c r="M133" i="161"/>
  <c r="X133" i="161"/>
  <c r="N133" i="161"/>
  <c r="M127" i="161"/>
  <c r="X127" i="161"/>
  <c r="N127" i="161"/>
  <c r="M91" i="161"/>
  <c r="N91" i="161"/>
  <c r="X91" i="161"/>
  <c r="N186" i="161"/>
  <c r="X186" i="161"/>
  <c r="M186" i="161"/>
  <c r="M134" i="161"/>
  <c r="X134" i="161"/>
  <c r="N134" i="161"/>
  <c r="N42" i="161"/>
  <c r="M42" i="161"/>
  <c r="X42" i="161"/>
  <c r="X173" i="161"/>
  <c r="M173" i="161"/>
  <c r="N173" i="161"/>
  <c r="M93" i="161"/>
  <c r="X93" i="161"/>
  <c r="N93" i="161"/>
  <c r="N38" i="161"/>
  <c r="X38" i="161"/>
  <c r="M38" i="161"/>
  <c r="M131" i="161"/>
  <c r="X131" i="161"/>
  <c r="N131" i="161"/>
  <c r="X363" i="161"/>
  <c r="N363" i="161"/>
  <c r="M363" i="161"/>
  <c r="L361" i="161" a="1"/>
  <c r="L361" i="161" s="1"/>
  <c r="L329" i="161" s="1" a="1"/>
  <c r="L329" i="161" s="1"/>
  <c r="L303" i="161" s="1" a="1"/>
  <c r="L303" i="161" s="1"/>
  <c r="X325" i="161"/>
  <c r="M325" i="161"/>
  <c r="N325" i="161"/>
  <c r="M232" i="161"/>
  <c r="X232" i="161"/>
  <c r="N232" i="161"/>
  <c r="X144" i="161"/>
  <c r="N144" i="161"/>
  <c r="M144" i="161"/>
  <c r="M290" i="161"/>
  <c r="N290" i="161"/>
  <c r="X290" i="161"/>
  <c r="N171" i="161"/>
  <c r="M171" i="161"/>
  <c r="X171" i="161"/>
  <c r="N296" i="161"/>
  <c r="M296" i="161"/>
  <c r="X296" i="161"/>
  <c r="X190" i="161"/>
  <c r="N190" i="161"/>
  <c r="M190" i="161"/>
  <c r="M405" i="161"/>
  <c r="N405" i="161"/>
  <c r="X405" i="161"/>
  <c r="M262" i="161"/>
  <c r="N262" i="161"/>
  <c r="X262" i="161"/>
  <c r="X246" i="161"/>
  <c r="N246" i="161"/>
  <c r="M246" i="161"/>
  <c r="M293" i="161"/>
  <c r="N293" i="161"/>
  <c r="X293" i="161"/>
  <c r="M330" i="161"/>
  <c r="X330" i="161"/>
  <c r="N330" i="161"/>
  <c r="X443" i="161"/>
  <c r="N443" i="161"/>
  <c r="M443" i="161"/>
  <c r="P443" i="161"/>
  <c r="X369" i="161"/>
  <c r="N369" i="161"/>
  <c r="M369" i="161"/>
  <c r="M461" i="161"/>
  <c r="E459" i="189"/>
  <c r="N461" i="161"/>
  <c r="X461" i="161"/>
  <c r="X387" i="161"/>
  <c r="N387" i="161"/>
  <c r="M387" i="161"/>
  <c r="N459" i="161"/>
  <c r="M459" i="161"/>
  <c r="X459" i="161"/>
  <c r="N320" i="161"/>
  <c r="M320" i="161"/>
  <c r="X320" i="161"/>
  <c r="M294" i="161"/>
  <c r="N294" i="161"/>
  <c r="X294" i="161"/>
  <c r="X399" i="161"/>
  <c r="N399" i="161"/>
  <c r="M399" i="161"/>
  <c r="E464" i="189"/>
  <c r="M466" i="161"/>
  <c r="X466" i="161"/>
  <c r="N466" i="161"/>
  <c r="X394" i="161"/>
  <c r="N394" i="161"/>
  <c r="P394" i="161"/>
  <c r="E389" i="189" s="1"/>
  <c r="M394" i="161"/>
  <c r="N438" i="161"/>
  <c r="M438" i="161"/>
  <c r="X438" i="161"/>
  <c r="M344" i="161"/>
  <c r="X344" i="161"/>
  <c r="N344" i="161"/>
  <c r="X397" i="161"/>
  <c r="P397" i="161"/>
  <c r="E392" i="189" s="1"/>
  <c r="N397" i="161"/>
  <c r="M397" i="161"/>
  <c r="X475" i="161"/>
  <c r="N475" i="161"/>
  <c r="M475" i="161"/>
  <c r="C388" i="161"/>
  <c r="D389" i="161"/>
  <c r="E448" i="189"/>
  <c r="E380" i="189"/>
  <c r="E414" i="189"/>
  <c r="E415" i="189"/>
  <c r="E431" i="189"/>
  <c r="E386" i="189"/>
  <c r="E466" i="189"/>
  <c r="E410" i="189"/>
  <c r="E468" i="189"/>
  <c r="E381" i="189"/>
  <c r="E437" i="189"/>
  <c r="E440" i="189"/>
  <c r="E384" i="189"/>
  <c r="E409" i="189"/>
  <c r="E398" i="189"/>
  <c r="E419" i="189"/>
  <c r="E382" i="189"/>
  <c r="E455" i="189"/>
  <c r="E401" i="189"/>
  <c r="E435" i="189"/>
  <c r="E420" i="189"/>
  <c r="E462" i="189"/>
  <c r="E400" i="189"/>
  <c r="E408" i="189"/>
  <c r="E458" i="189"/>
  <c r="E404" i="189"/>
  <c r="E467" i="189"/>
  <c r="E438" i="189"/>
  <c r="E471" i="189"/>
  <c r="E465" i="189"/>
  <c r="E411" i="189"/>
  <c r="N383" i="161"/>
  <c r="N14" i="161"/>
  <c r="P383" i="161"/>
  <c r="X14" i="161"/>
  <c r="M14" i="161"/>
  <c r="D156" i="161" l="1"/>
  <c r="C155" i="161"/>
  <c r="BL155" i="161"/>
  <c r="R429" i="161"/>
  <c r="T429" i="161"/>
  <c r="U429" i="161" s="1"/>
  <c r="V429" i="161" s="1"/>
  <c r="W429" i="161" s="1"/>
  <c r="Z429" i="161"/>
  <c r="Q429" i="161"/>
  <c r="Y429" i="161"/>
  <c r="AA429" i="161" s="1"/>
  <c r="Q400" i="161"/>
  <c r="Z400" i="161"/>
  <c r="T400" i="161"/>
  <c r="U400" i="161" s="1"/>
  <c r="V400" i="161" s="1"/>
  <c r="Y400" i="161"/>
  <c r="AA400" i="161" s="1"/>
  <c r="R400" i="161"/>
  <c r="T428" i="161"/>
  <c r="U428" i="161" s="1"/>
  <c r="V428" i="161" s="1"/>
  <c r="W428" i="161" s="1"/>
  <c r="R428" i="161"/>
  <c r="Q428" i="161"/>
  <c r="Y428" i="161"/>
  <c r="AA428" i="161" s="1"/>
  <c r="Z428" i="161"/>
  <c r="Y401" i="161"/>
  <c r="AA401" i="161" s="1"/>
  <c r="R401" i="161"/>
  <c r="T401" i="161"/>
  <c r="U401" i="161" s="1"/>
  <c r="V401" i="161" s="1"/>
  <c r="Z401" i="161"/>
  <c r="Q401" i="161"/>
  <c r="M451" i="161"/>
  <c r="X451" i="161"/>
  <c r="N451" i="161"/>
  <c r="L430" i="161" a="1"/>
  <c r="L430" i="161" s="1"/>
  <c r="L402" i="161" s="1" a="1"/>
  <c r="L402" i="161" s="1"/>
  <c r="L390" i="161" s="1" a="1"/>
  <c r="L390" i="161" s="1"/>
  <c r="M390" i="161" s="1"/>
  <c r="Y431" i="161"/>
  <c r="AA431" i="161" s="1"/>
  <c r="Q431" i="161"/>
  <c r="Z431" i="161"/>
  <c r="T431" i="161"/>
  <c r="R431" i="161"/>
  <c r="T438" i="161"/>
  <c r="U438" i="161" s="1"/>
  <c r="V438" i="161" s="1"/>
  <c r="W438" i="161" s="1"/>
  <c r="R438" i="161"/>
  <c r="Y438" i="161"/>
  <c r="AA438" i="161" s="1"/>
  <c r="Q438" i="161"/>
  <c r="Z438" i="161"/>
  <c r="Q395" i="161"/>
  <c r="Y395" i="161"/>
  <c r="AA395" i="161" s="1"/>
  <c r="T395" i="161"/>
  <c r="U395" i="161" s="1"/>
  <c r="V395" i="161" s="1"/>
  <c r="R395" i="161"/>
  <c r="Z395" i="161"/>
  <c r="Y470" i="161"/>
  <c r="AA470" i="161" s="1"/>
  <c r="T470" i="161"/>
  <c r="U470" i="161" s="1"/>
  <c r="V470" i="161" s="1"/>
  <c r="W470" i="161" s="1"/>
  <c r="Q470" i="161"/>
  <c r="Z470" i="161"/>
  <c r="R470" i="161"/>
  <c r="N329" i="161"/>
  <c r="X329" i="161"/>
  <c r="L298" i="161" a="1"/>
  <c r="L298" i="161" s="1"/>
  <c r="N361" i="161"/>
  <c r="X361" i="161"/>
  <c r="Y439" i="161"/>
  <c r="AA439" i="161" s="1"/>
  <c r="Q439" i="161"/>
  <c r="Z439" i="161"/>
  <c r="T439" i="161"/>
  <c r="U439" i="161" s="1"/>
  <c r="V439" i="161" s="1"/>
  <c r="W439" i="161" s="1"/>
  <c r="R439" i="161"/>
  <c r="T394" i="161"/>
  <c r="U394" i="161" s="1"/>
  <c r="V394" i="161" s="1"/>
  <c r="Z394" i="161"/>
  <c r="Q394" i="161"/>
  <c r="Y394" i="161"/>
  <c r="AA394" i="161" s="1"/>
  <c r="R394" i="161"/>
  <c r="Q454" i="161"/>
  <c r="Z454" i="161"/>
  <c r="T454" i="161"/>
  <c r="U454" i="161" s="1"/>
  <c r="V454" i="161" s="1"/>
  <c r="R454" i="161"/>
  <c r="Y454" i="161"/>
  <c r="AA454" i="161" s="1"/>
  <c r="Z450" i="161"/>
  <c r="Y450" i="161"/>
  <c r="AA450" i="161" s="1"/>
  <c r="R450" i="161"/>
  <c r="T450" i="161"/>
  <c r="U450" i="161" s="1"/>
  <c r="V450" i="161" s="1"/>
  <c r="W450" i="161" s="1"/>
  <c r="Q450" i="161"/>
  <c r="T384" i="161"/>
  <c r="U384" i="161" s="1"/>
  <c r="V384" i="161" s="1"/>
  <c r="W384" i="161" s="1"/>
  <c r="Q384" i="161"/>
  <c r="R384" i="161"/>
  <c r="Z384" i="161"/>
  <c r="Y384" i="161"/>
  <c r="AA384" i="161" s="1"/>
  <c r="E379" i="189"/>
  <c r="Z387" i="161"/>
  <c r="Q387" i="161"/>
  <c r="Y387" i="161"/>
  <c r="AA387" i="161" s="1"/>
  <c r="T387" i="161"/>
  <c r="U387" i="161" s="1"/>
  <c r="V387" i="161" s="1"/>
  <c r="W387" i="161" s="1"/>
  <c r="R387" i="161"/>
  <c r="Y443" i="161"/>
  <c r="AA443" i="161" s="1"/>
  <c r="R443" i="161"/>
  <c r="Z443" i="161"/>
  <c r="Q443" i="161"/>
  <c r="T443" i="161"/>
  <c r="U443" i="161" s="1"/>
  <c r="V443" i="161" s="1"/>
  <c r="W443" i="161" s="1"/>
  <c r="R465" i="161"/>
  <c r="Q465" i="161"/>
  <c r="Z465" i="161"/>
  <c r="Y465" i="161"/>
  <c r="AA465" i="161" s="1"/>
  <c r="T465" i="161"/>
  <c r="U465" i="161" s="1"/>
  <c r="V465" i="161" s="1"/>
  <c r="W465" i="161" s="1"/>
  <c r="Z475" i="161"/>
  <c r="R475" i="161"/>
  <c r="Y475" i="161"/>
  <c r="AA475" i="161" s="1"/>
  <c r="T475" i="161"/>
  <c r="U475" i="161" s="1"/>
  <c r="V475" i="161" s="1"/>
  <c r="W475" i="161" s="1"/>
  <c r="Q475" i="161"/>
  <c r="Z405" i="161"/>
  <c r="Q405" i="161"/>
  <c r="Y405" i="161"/>
  <c r="AA405" i="161" s="1"/>
  <c r="T405" i="161"/>
  <c r="U405" i="161" s="1"/>
  <c r="V405" i="161" s="1"/>
  <c r="W405" i="161" s="1"/>
  <c r="R405" i="161"/>
  <c r="Z436" i="161"/>
  <c r="R436" i="161"/>
  <c r="T436" i="161"/>
  <c r="U436" i="161" s="1"/>
  <c r="V436" i="161" s="1"/>
  <c r="W436" i="161" s="1"/>
  <c r="Q436" i="161"/>
  <c r="Y436" i="161"/>
  <c r="AA436" i="161" s="1"/>
  <c r="Y414" i="161"/>
  <c r="AA414" i="161" s="1"/>
  <c r="T414" i="161"/>
  <c r="U414" i="161" s="1"/>
  <c r="V414" i="161" s="1"/>
  <c r="W414" i="161" s="1"/>
  <c r="Q414" i="161"/>
  <c r="Z414" i="161"/>
  <c r="R414" i="161"/>
  <c r="Y412" i="161"/>
  <c r="AA412" i="161" s="1"/>
  <c r="R412" i="161"/>
  <c r="T412" i="161"/>
  <c r="U412" i="161" s="1"/>
  <c r="V412" i="161" s="1"/>
  <c r="W412" i="161" s="1"/>
  <c r="Q412" i="161"/>
  <c r="Z412" i="161"/>
  <c r="N303" i="161"/>
  <c r="X303" i="161"/>
  <c r="Z473" i="161"/>
  <c r="Y473" i="161"/>
  <c r="AA473" i="161" s="1"/>
  <c r="R473" i="161"/>
  <c r="Q473" i="161"/>
  <c r="T473" i="161"/>
  <c r="U473" i="161" s="1"/>
  <c r="V473" i="161" s="1"/>
  <c r="W473" i="161" s="1"/>
  <c r="Q410" i="161"/>
  <c r="R410" i="161"/>
  <c r="Y410" i="161"/>
  <c r="AA410" i="161" s="1"/>
  <c r="T410" i="161"/>
  <c r="U410" i="161" s="1"/>
  <c r="V410" i="161" s="1"/>
  <c r="W410" i="161" s="1"/>
  <c r="Z410" i="161"/>
  <c r="T398" i="161"/>
  <c r="U398" i="161" s="1"/>
  <c r="V398" i="161" s="1"/>
  <c r="Y398" i="161"/>
  <c r="AA398" i="161" s="1"/>
  <c r="Z398" i="161"/>
  <c r="Q398" i="161"/>
  <c r="R398" i="161"/>
  <c r="R407" i="161"/>
  <c r="T407" i="161"/>
  <c r="U407" i="161" s="1"/>
  <c r="V407" i="161" s="1"/>
  <c r="W407" i="161" s="1"/>
  <c r="Z407" i="161"/>
  <c r="Q407" i="161"/>
  <c r="Y407" i="161"/>
  <c r="AA407" i="161" s="1"/>
  <c r="Y435" i="161"/>
  <c r="AA435" i="161" s="1"/>
  <c r="Z435" i="161"/>
  <c r="Q435" i="161"/>
  <c r="R435" i="161"/>
  <c r="T435" i="161"/>
  <c r="U435" i="161" s="1"/>
  <c r="V435" i="161" s="1"/>
  <c r="W435" i="161" s="1"/>
  <c r="T408" i="161"/>
  <c r="U408" i="161" s="1"/>
  <c r="V408" i="161" s="1"/>
  <c r="W408" i="161" s="1"/>
  <c r="R408" i="161"/>
  <c r="Z408" i="161"/>
  <c r="Q408" i="161"/>
  <c r="Y408" i="161"/>
  <c r="AA408" i="161" s="1"/>
  <c r="Y437" i="161"/>
  <c r="AA437" i="161" s="1"/>
  <c r="T437" i="161"/>
  <c r="U437" i="161" s="1"/>
  <c r="V437" i="161" s="1"/>
  <c r="W437" i="161" s="1"/>
  <c r="R437" i="161"/>
  <c r="Z437" i="161"/>
  <c r="Q437" i="161"/>
  <c r="Z391" i="161"/>
  <c r="Q391" i="161"/>
  <c r="Y391" i="161"/>
  <c r="AA391" i="161" s="1"/>
  <c r="T391" i="161"/>
  <c r="R391" i="161"/>
  <c r="R416" i="161"/>
  <c r="Q416" i="161"/>
  <c r="Z416" i="161"/>
  <c r="Y416" i="161"/>
  <c r="AA416" i="161" s="1"/>
  <c r="T416" i="161"/>
  <c r="U416" i="161" s="1"/>
  <c r="V416" i="161" s="1"/>
  <c r="W416" i="161" s="1"/>
  <c r="Z385" i="161"/>
  <c r="Q385" i="161"/>
  <c r="Y385" i="161"/>
  <c r="AA385" i="161" s="1"/>
  <c r="R385" i="161"/>
  <c r="T385" i="161"/>
  <c r="U385" i="161" s="1"/>
  <c r="V385" i="161" s="1"/>
  <c r="W385" i="161" s="1"/>
  <c r="Z419" i="161"/>
  <c r="Q419" i="161"/>
  <c r="Y419" i="161"/>
  <c r="AA419" i="161" s="1"/>
  <c r="R419" i="161"/>
  <c r="T419" i="161"/>
  <c r="U419" i="161" s="1"/>
  <c r="V419" i="161" s="1"/>
  <c r="W419" i="161" s="1"/>
  <c r="R446" i="161"/>
  <c r="T446" i="161"/>
  <c r="U446" i="161" s="1"/>
  <c r="V446" i="161" s="1"/>
  <c r="W446" i="161" s="1"/>
  <c r="Y446" i="161"/>
  <c r="AA446" i="161" s="1"/>
  <c r="Z446" i="161"/>
  <c r="Q446" i="161"/>
  <c r="Y455" i="161"/>
  <c r="AA455" i="161" s="1"/>
  <c r="Q455" i="161"/>
  <c r="R455" i="161"/>
  <c r="T455" i="161"/>
  <c r="U455" i="161" s="1"/>
  <c r="V455" i="161" s="1"/>
  <c r="W455" i="161" s="1"/>
  <c r="Z455" i="161"/>
  <c r="T411" i="161"/>
  <c r="U411" i="161" s="1"/>
  <c r="V411" i="161" s="1"/>
  <c r="W411" i="161" s="1"/>
  <c r="Z411" i="161"/>
  <c r="Q411" i="161"/>
  <c r="Y411" i="161"/>
  <c r="AA411" i="161" s="1"/>
  <c r="R411" i="161"/>
  <c r="Q389" i="161"/>
  <c r="Y389" i="161"/>
  <c r="AA389" i="161" s="1"/>
  <c r="R389" i="161"/>
  <c r="T389" i="161"/>
  <c r="U389" i="161" s="1"/>
  <c r="V389" i="161" s="1"/>
  <c r="W389" i="161" s="1"/>
  <c r="Z389" i="161"/>
  <c r="Y442" i="161"/>
  <c r="AA442" i="161" s="1"/>
  <c r="Q442" i="161"/>
  <c r="Z442" i="161"/>
  <c r="T442" i="161"/>
  <c r="U442" i="161" s="1"/>
  <c r="V442" i="161" s="1"/>
  <c r="W442" i="161" s="1"/>
  <c r="R442" i="161"/>
  <c r="R479" i="161"/>
  <c r="Q479" i="161"/>
  <c r="Z479" i="161"/>
  <c r="P478" i="161" a="1"/>
  <c r="P478" i="161" s="1"/>
  <c r="P451" i="161" s="1" a="1"/>
  <c r="P451" i="161" s="1"/>
  <c r="Y479" i="161"/>
  <c r="AA479" i="161" s="1"/>
  <c r="T479" i="161"/>
  <c r="Z396" i="161"/>
  <c r="Q396" i="161"/>
  <c r="R396" i="161"/>
  <c r="Y396" i="161"/>
  <c r="AA396" i="161" s="1"/>
  <c r="T396" i="161"/>
  <c r="U396" i="161" s="1"/>
  <c r="V396" i="161" s="1"/>
  <c r="T397" i="161"/>
  <c r="U397" i="161" s="1"/>
  <c r="V397" i="161" s="1"/>
  <c r="R397" i="161"/>
  <c r="Z397" i="161"/>
  <c r="Y397" i="161"/>
  <c r="AA397" i="161" s="1"/>
  <c r="Q397" i="161"/>
  <c r="Y399" i="161"/>
  <c r="AA399" i="161" s="1"/>
  <c r="R399" i="161"/>
  <c r="Z399" i="161"/>
  <c r="T399" i="161"/>
  <c r="U399" i="161" s="1"/>
  <c r="V399" i="161" s="1"/>
  <c r="Q399" i="161"/>
  <c r="Y433" i="161"/>
  <c r="AA433" i="161" s="1"/>
  <c r="T433" i="161"/>
  <c r="U433" i="161" s="1"/>
  <c r="V433" i="161" s="1"/>
  <c r="W433" i="161" s="1"/>
  <c r="R433" i="161"/>
  <c r="Z433" i="161"/>
  <c r="Q433" i="161"/>
  <c r="Y474" i="161"/>
  <c r="AA474" i="161" s="1"/>
  <c r="Q474" i="161"/>
  <c r="T474" i="161"/>
  <c r="U474" i="161" s="1"/>
  <c r="V474" i="161" s="1"/>
  <c r="W474" i="161" s="1"/>
  <c r="R474" i="161"/>
  <c r="Z474" i="161"/>
  <c r="T444" i="161"/>
  <c r="U444" i="161" s="1"/>
  <c r="V444" i="161" s="1"/>
  <c r="W444" i="161" s="1"/>
  <c r="Y444" i="161"/>
  <c r="AA444" i="161" s="1"/>
  <c r="Q444" i="161"/>
  <c r="R444" i="161"/>
  <c r="Z444" i="161"/>
  <c r="Y441" i="161"/>
  <c r="AA441" i="161" s="1"/>
  <c r="T441" i="161"/>
  <c r="U441" i="161" s="1"/>
  <c r="V441" i="161" s="1"/>
  <c r="W441" i="161" s="1"/>
  <c r="R441" i="161"/>
  <c r="Z441" i="161"/>
  <c r="Q441" i="161"/>
  <c r="Q421" i="161"/>
  <c r="Y421" i="161"/>
  <c r="AA421" i="161" s="1"/>
  <c r="T421" i="161"/>
  <c r="U421" i="161" s="1"/>
  <c r="V421" i="161" s="1"/>
  <c r="W421" i="161" s="1"/>
  <c r="Z421" i="161"/>
  <c r="R421" i="161"/>
  <c r="T406" i="161"/>
  <c r="U406" i="161" s="1"/>
  <c r="V406" i="161" s="1"/>
  <c r="W406" i="161" s="1"/>
  <c r="Y406" i="161"/>
  <c r="AA406" i="161" s="1"/>
  <c r="Q406" i="161"/>
  <c r="Z406" i="161"/>
  <c r="R406" i="161"/>
  <c r="Q418" i="161"/>
  <c r="Z418" i="161"/>
  <c r="Y418" i="161"/>
  <c r="AA418" i="161" s="1"/>
  <c r="T418" i="161"/>
  <c r="U418" i="161" s="1"/>
  <c r="V418" i="161" s="1"/>
  <c r="W418" i="161" s="1"/>
  <c r="R418" i="161"/>
  <c r="R464" i="161"/>
  <c r="Q464" i="161"/>
  <c r="Z464" i="161"/>
  <c r="Y464" i="161"/>
  <c r="AA464" i="161" s="1"/>
  <c r="T464" i="161"/>
  <c r="U464" i="161" s="1"/>
  <c r="V464" i="161" s="1"/>
  <c r="W464" i="161" s="1"/>
  <c r="Z449" i="161"/>
  <c r="Y449" i="161"/>
  <c r="AA449" i="161" s="1"/>
  <c r="T449" i="161"/>
  <c r="U449" i="161" s="1"/>
  <c r="V449" i="161" s="1"/>
  <c r="W449" i="161" s="1"/>
  <c r="R449" i="161"/>
  <c r="Q449" i="161"/>
  <c r="Y426" i="161"/>
  <c r="AA426" i="161" s="1"/>
  <c r="Q426" i="161"/>
  <c r="R426" i="161"/>
  <c r="T426" i="161"/>
  <c r="U426" i="161" s="1"/>
  <c r="V426" i="161" s="1"/>
  <c r="W426" i="161" s="1"/>
  <c r="Z426" i="161"/>
  <c r="X478" i="161"/>
  <c r="N478" i="161"/>
  <c r="M478" i="161"/>
  <c r="Q471" i="161"/>
  <c r="Y471" i="161"/>
  <c r="AA471" i="161" s="1"/>
  <c r="R471" i="161"/>
  <c r="Z471" i="161"/>
  <c r="T471" i="161"/>
  <c r="U471" i="161" s="1"/>
  <c r="V471" i="161" s="1"/>
  <c r="W471" i="161" s="1"/>
  <c r="E443" i="189"/>
  <c r="E427" i="189"/>
  <c r="Z459" i="161"/>
  <c r="Y459" i="161"/>
  <c r="AA459" i="161" s="1"/>
  <c r="R459" i="161"/>
  <c r="T459" i="161"/>
  <c r="U459" i="161" s="1"/>
  <c r="V459" i="161" s="1"/>
  <c r="W459" i="161" s="1"/>
  <c r="Q459" i="161"/>
  <c r="Z461" i="161"/>
  <c r="Y461" i="161"/>
  <c r="AA461" i="161" s="1"/>
  <c r="T461" i="161"/>
  <c r="U461" i="161" s="1"/>
  <c r="V461" i="161" s="1"/>
  <c r="W461" i="161" s="1"/>
  <c r="R461" i="161"/>
  <c r="Q461" i="161"/>
  <c r="Q457" i="161"/>
  <c r="T457" i="161"/>
  <c r="U457" i="161" s="1"/>
  <c r="V457" i="161" s="1"/>
  <c r="W457" i="161" s="1"/>
  <c r="R457" i="161"/>
  <c r="Z457" i="161"/>
  <c r="Y457" i="161"/>
  <c r="AA457" i="161" s="1"/>
  <c r="Z453" i="161"/>
  <c r="Y453" i="161"/>
  <c r="AA453" i="161" s="1"/>
  <c r="R453" i="161"/>
  <c r="T453" i="161"/>
  <c r="Q453" i="161"/>
  <c r="Z392" i="161"/>
  <c r="Q392" i="161"/>
  <c r="T392" i="161"/>
  <c r="U392" i="161" s="1"/>
  <c r="V392" i="161" s="1"/>
  <c r="R392" i="161"/>
  <c r="Y392" i="161"/>
  <c r="AA392" i="161" s="1"/>
  <c r="Y388" i="161"/>
  <c r="AA388" i="161" s="1"/>
  <c r="R388" i="161"/>
  <c r="T388" i="161"/>
  <c r="U388" i="161" s="1"/>
  <c r="V388" i="161" s="1"/>
  <c r="W388" i="161" s="1"/>
  <c r="Q388" i="161"/>
  <c r="Z388" i="161"/>
  <c r="Y415" i="161"/>
  <c r="AA415" i="161" s="1"/>
  <c r="R415" i="161"/>
  <c r="T415" i="161"/>
  <c r="U415" i="161" s="1"/>
  <c r="V415" i="161" s="1"/>
  <c r="W415" i="161" s="1"/>
  <c r="Z415" i="161"/>
  <c r="Q415" i="161"/>
  <c r="Y409" i="161"/>
  <c r="AA409" i="161" s="1"/>
  <c r="Q409" i="161"/>
  <c r="Z409" i="161"/>
  <c r="R409" i="161"/>
  <c r="T409" i="161"/>
  <c r="U409" i="161" s="1"/>
  <c r="V409" i="161" s="1"/>
  <c r="W409" i="161" s="1"/>
  <c r="Z417" i="161"/>
  <c r="T417" i="161"/>
  <c r="U417" i="161" s="1"/>
  <c r="V417" i="161" s="1"/>
  <c r="W417" i="161" s="1"/>
  <c r="R417" i="161"/>
  <c r="Q417" i="161"/>
  <c r="Y417" i="161"/>
  <c r="AA417" i="161" s="1"/>
  <c r="Y434" i="161"/>
  <c r="AA434" i="161" s="1"/>
  <c r="Z434" i="161"/>
  <c r="R434" i="161"/>
  <c r="Q434" i="161"/>
  <c r="T434" i="161"/>
  <c r="U434" i="161" s="1"/>
  <c r="V434" i="161" s="1"/>
  <c r="W434" i="161" s="1"/>
  <c r="T432" i="161"/>
  <c r="U432" i="161" s="1"/>
  <c r="V432" i="161" s="1"/>
  <c r="W432" i="161" s="1"/>
  <c r="Q432" i="161"/>
  <c r="Y432" i="161"/>
  <c r="AA432" i="161" s="1"/>
  <c r="Z432" i="161"/>
  <c r="R432" i="161"/>
  <c r="R467" i="161"/>
  <c r="T467" i="161"/>
  <c r="U467" i="161" s="1"/>
  <c r="V467" i="161" s="1"/>
  <c r="W467" i="161" s="1"/>
  <c r="Y467" i="161"/>
  <c r="AA467" i="161" s="1"/>
  <c r="Z467" i="161"/>
  <c r="Q467" i="161"/>
  <c r="T420" i="161"/>
  <c r="U420" i="161" s="1"/>
  <c r="V420" i="161" s="1"/>
  <c r="W420" i="161" s="1"/>
  <c r="Q420" i="161"/>
  <c r="R420" i="161"/>
  <c r="Y420" i="161"/>
  <c r="AA420" i="161" s="1"/>
  <c r="Z420" i="161"/>
  <c r="Z476" i="161"/>
  <c r="T476" i="161"/>
  <c r="U476" i="161" s="1"/>
  <c r="V476" i="161" s="1"/>
  <c r="W476" i="161" s="1"/>
  <c r="R476" i="161"/>
  <c r="Q476" i="161"/>
  <c r="Y476" i="161"/>
  <c r="AA476" i="161" s="1"/>
  <c r="Y404" i="161"/>
  <c r="AA404" i="161" s="1"/>
  <c r="R404" i="161"/>
  <c r="Z404" i="161"/>
  <c r="Q404" i="161"/>
  <c r="T404" i="161"/>
  <c r="R424" i="161"/>
  <c r="Y424" i="161"/>
  <c r="AA424" i="161" s="1"/>
  <c r="T424" i="161"/>
  <c r="U424" i="161" s="1"/>
  <c r="V424" i="161" s="1"/>
  <c r="W424" i="161" s="1"/>
  <c r="Q424" i="161"/>
  <c r="Z424" i="161"/>
  <c r="Z423" i="161"/>
  <c r="T423" i="161"/>
  <c r="U423" i="161" s="1"/>
  <c r="V423" i="161" s="1"/>
  <c r="W423" i="161" s="1"/>
  <c r="R423" i="161"/>
  <c r="Q423" i="161"/>
  <c r="Y423" i="161"/>
  <c r="AA423" i="161" s="1"/>
  <c r="Z469" i="161"/>
  <c r="Y469" i="161"/>
  <c r="AA469" i="161" s="1"/>
  <c r="T469" i="161"/>
  <c r="U469" i="161" s="1"/>
  <c r="V469" i="161" s="1"/>
  <c r="W469" i="161" s="1"/>
  <c r="R469" i="161"/>
  <c r="Q469" i="161"/>
  <c r="Y448" i="161"/>
  <c r="AA448" i="161" s="1"/>
  <c r="Q448" i="161"/>
  <c r="T448" i="161"/>
  <c r="U448" i="161" s="1"/>
  <c r="V448" i="161" s="1"/>
  <c r="W448" i="161" s="1"/>
  <c r="Z448" i="161"/>
  <c r="R448" i="161"/>
  <c r="Z477" i="161"/>
  <c r="Q477" i="161"/>
  <c r="Y477" i="161"/>
  <c r="AA477" i="161" s="1"/>
  <c r="R477" i="161"/>
  <c r="T477" i="161"/>
  <c r="U477" i="161" s="1"/>
  <c r="V477" i="161" s="1"/>
  <c r="W477" i="161" s="1"/>
  <c r="Y458" i="161"/>
  <c r="AA458" i="161" s="1"/>
  <c r="R458" i="161"/>
  <c r="Q458" i="161"/>
  <c r="Z458" i="161"/>
  <c r="T458" i="161"/>
  <c r="U458" i="161" s="1"/>
  <c r="V458" i="161" s="1"/>
  <c r="W458" i="161" s="1"/>
  <c r="T440" i="161"/>
  <c r="U440" i="161" s="1"/>
  <c r="V440" i="161" s="1"/>
  <c r="W440" i="161" s="1"/>
  <c r="Q440" i="161"/>
  <c r="Y440" i="161"/>
  <c r="AA440" i="161" s="1"/>
  <c r="Z440" i="161"/>
  <c r="R440" i="161"/>
  <c r="T472" i="161"/>
  <c r="U472" i="161" s="1"/>
  <c r="V472" i="161" s="1"/>
  <c r="W472" i="161" s="1"/>
  <c r="R472" i="161"/>
  <c r="Z472" i="161"/>
  <c r="Y472" i="161"/>
  <c r="AA472" i="161" s="1"/>
  <c r="Q472" i="161"/>
  <c r="Y466" i="161"/>
  <c r="AA466" i="161" s="1"/>
  <c r="T466" i="161"/>
  <c r="U466" i="161" s="1"/>
  <c r="V466" i="161" s="1"/>
  <c r="W466" i="161" s="1"/>
  <c r="Q466" i="161"/>
  <c r="Z466" i="161"/>
  <c r="R466" i="161"/>
  <c r="Y462" i="161"/>
  <c r="AA462" i="161" s="1"/>
  <c r="Z462" i="161"/>
  <c r="Q462" i="161"/>
  <c r="T462" i="161"/>
  <c r="U462" i="161" s="1"/>
  <c r="V462" i="161" s="1"/>
  <c r="W462" i="161" s="1"/>
  <c r="R462" i="161"/>
  <c r="Z427" i="161"/>
  <c r="Q427" i="161"/>
  <c r="Y427" i="161"/>
  <c r="AA427" i="161" s="1"/>
  <c r="T427" i="161"/>
  <c r="U427" i="161" s="1"/>
  <c r="V427" i="161" s="1"/>
  <c r="W427" i="161" s="1"/>
  <c r="R427" i="161"/>
  <c r="Y460" i="161"/>
  <c r="AA460" i="161" s="1"/>
  <c r="T460" i="161"/>
  <c r="U460" i="161" s="1"/>
  <c r="V460" i="161" s="1"/>
  <c r="W460" i="161" s="1"/>
  <c r="R460" i="161"/>
  <c r="Q460" i="161"/>
  <c r="Z460" i="161"/>
  <c r="T425" i="161"/>
  <c r="U425" i="161" s="1"/>
  <c r="V425" i="161" s="1"/>
  <c r="W425" i="161" s="1"/>
  <c r="R425" i="161"/>
  <c r="Z425" i="161"/>
  <c r="Q425" i="161"/>
  <c r="Y425" i="161"/>
  <c r="AA425" i="161" s="1"/>
  <c r="Y393" i="161"/>
  <c r="AA393" i="161" s="1"/>
  <c r="T393" i="161"/>
  <c r="U393" i="161" s="1"/>
  <c r="V393" i="161" s="1"/>
  <c r="R393" i="161"/>
  <c r="Z393" i="161"/>
  <c r="Q393" i="161"/>
  <c r="Z456" i="161"/>
  <c r="Y456" i="161"/>
  <c r="AA456" i="161" s="1"/>
  <c r="T456" i="161"/>
  <c r="U456" i="161" s="1"/>
  <c r="V456" i="161" s="1"/>
  <c r="W456" i="161" s="1"/>
  <c r="R456" i="161"/>
  <c r="Q456" i="161"/>
  <c r="R468" i="161"/>
  <c r="Q468" i="161"/>
  <c r="Z468" i="161"/>
  <c r="Y468" i="161"/>
  <c r="AA468" i="161" s="1"/>
  <c r="T468" i="161"/>
  <c r="U468" i="161" s="1"/>
  <c r="V468" i="161" s="1"/>
  <c r="W468" i="161" s="1"/>
  <c r="Y447" i="161"/>
  <c r="AA447" i="161" s="1"/>
  <c r="Z447" i="161"/>
  <c r="Q447" i="161"/>
  <c r="R447" i="161"/>
  <c r="T447" i="161"/>
  <c r="U447" i="161" s="1"/>
  <c r="V447" i="161" s="1"/>
  <c r="W447" i="161" s="1"/>
  <c r="T386" i="161"/>
  <c r="U386" i="161" s="1"/>
  <c r="V386" i="161" s="1"/>
  <c r="W386" i="161" s="1"/>
  <c r="R386" i="161"/>
  <c r="Z386" i="161"/>
  <c r="Q386" i="161"/>
  <c r="Y386" i="161"/>
  <c r="AA386" i="161" s="1"/>
  <c r="C389" i="161"/>
  <c r="C390" i="161"/>
  <c r="E421" i="189"/>
  <c r="E418" i="189"/>
  <c r="E430" i="189"/>
  <c r="E413" i="189"/>
  <c r="E436" i="189"/>
  <c r="E406" i="189"/>
  <c r="E451" i="189"/>
  <c r="E432" i="189"/>
  <c r="E417" i="189"/>
  <c r="E416" i="189"/>
  <c r="E429" i="189"/>
  <c r="E472" i="189"/>
  <c r="E453" i="189"/>
  <c r="E460" i="189"/>
  <c r="E457" i="189"/>
  <c r="E463" i="189"/>
  <c r="E461" i="189"/>
  <c r="E444" i="189"/>
  <c r="E442" i="189"/>
  <c r="E428" i="189"/>
  <c r="E454" i="189"/>
  <c r="E441" i="189"/>
  <c r="E439" i="189"/>
  <c r="E450" i="189"/>
  <c r="E456" i="189"/>
  <c r="E433" i="189"/>
  <c r="E445" i="189"/>
  <c r="E469" i="189"/>
  <c r="E434" i="189"/>
  <c r="T383" i="161"/>
  <c r="E378" i="189"/>
  <c r="D417" i="189"/>
  <c r="D407" i="189"/>
  <c r="R383" i="161"/>
  <c r="D421" i="189" l="1"/>
  <c r="W393" i="161"/>
  <c r="D388" i="189"/>
  <c r="W395" i="161"/>
  <c r="D390" i="189"/>
  <c r="W401" i="161"/>
  <c r="D396" i="189"/>
  <c r="W399" i="161"/>
  <c r="D394" i="189"/>
  <c r="W397" i="161"/>
  <c r="D392" i="189"/>
  <c r="W396" i="161"/>
  <c r="D391" i="189"/>
  <c r="W398" i="161"/>
  <c r="D393" i="189"/>
  <c r="W400" i="161"/>
  <c r="D395" i="189"/>
  <c r="W394" i="161"/>
  <c r="D389" i="189"/>
  <c r="W392" i="161"/>
  <c r="D387" i="189"/>
  <c r="W454" i="161"/>
  <c r="D449" i="189"/>
  <c r="C156" i="161"/>
  <c r="D157" i="161"/>
  <c r="BL156" i="161"/>
  <c r="F417" i="189"/>
  <c r="Q417" i="189" s="1"/>
  <c r="R417" i="189" s="1"/>
  <c r="M402" i="161"/>
  <c r="D443" i="189"/>
  <c r="F443" i="189" s="1"/>
  <c r="M443" i="189" s="1"/>
  <c r="P443" i="189" s="1"/>
  <c r="N390" i="161"/>
  <c r="X390" i="161"/>
  <c r="X402" i="161"/>
  <c r="F421" i="189"/>
  <c r="M421" i="189" s="1"/>
  <c r="P421" i="189" s="1"/>
  <c r="N402" i="161"/>
  <c r="Z451" i="161"/>
  <c r="Q451" i="161"/>
  <c r="Y451" i="161"/>
  <c r="AA451" i="161" s="1"/>
  <c r="R451" i="161"/>
  <c r="M430" i="161"/>
  <c r="N430" i="161"/>
  <c r="X430" i="161"/>
  <c r="T478" i="161"/>
  <c r="U479" i="161"/>
  <c r="V479" i="161" s="1"/>
  <c r="P430" i="161" a="1"/>
  <c r="P430" i="161" s="1"/>
  <c r="P402" i="161" s="1" a="1"/>
  <c r="P402" i="161" s="1"/>
  <c r="P390" i="161" s="1" a="1"/>
  <c r="P390" i="161" s="1"/>
  <c r="Z390" i="161" s="1"/>
  <c r="U453" i="161"/>
  <c r="V453" i="161" s="1"/>
  <c r="T451" i="161"/>
  <c r="N298" i="161"/>
  <c r="X298" i="161"/>
  <c r="L279" i="161" a="1"/>
  <c r="L279" i="161" s="1"/>
  <c r="L264" i="161" s="1" a="1"/>
  <c r="L264" i="161" s="1"/>
  <c r="Y478" i="161"/>
  <c r="AA478" i="161" s="1"/>
  <c r="R478" i="161"/>
  <c r="Q478" i="161"/>
  <c r="Z478" i="161"/>
  <c r="U431" i="161"/>
  <c r="V431" i="161" s="1"/>
  <c r="T430" i="161"/>
  <c r="U404" i="161"/>
  <c r="V404" i="161" s="1"/>
  <c r="T402" i="161"/>
  <c r="U391" i="161"/>
  <c r="V391" i="161" s="1"/>
  <c r="T390" i="161"/>
  <c r="U383" i="161"/>
  <c r="V383" i="161" s="1"/>
  <c r="T382" i="161"/>
  <c r="D398" i="189"/>
  <c r="F398" i="189" s="1"/>
  <c r="E474" i="189"/>
  <c r="D462" i="189"/>
  <c r="F462" i="189" s="1"/>
  <c r="L462" i="189" s="1"/>
  <c r="F407" i="189"/>
  <c r="D429" i="189"/>
  <c r="D410" i="189"/>
  <c r="D465" i="189"/>
  <c r="D458" i="189"/>
  <c r="D405" i="189"/>
  <c r="D433" i="189"/>
  <c r="D415" i="189"/>
  <c r="D461" i="189"/>
  <c r="D431" i="189"/>
  <c r="D438" i="189"/>
  <c r="D412" i="189"/>
  <c r="D402" i="189"/>
  <c r="D430" i="189"/>
  <c r="D381" i="189"/>
  <c r="D434" i="189"/>
  <c r="D408" i="189"/>
  <c r="D411" i="189"/>
  <c r="D416" i="189"/>
  <c r="D428" i="189"/>
  <c r="D404" i="189"/>
  <c r="D437" i="189"/>
  <c r="D420" i="189"/>
  <c r="D456" i="189"/>
  <c r="D468" i="189"/>
  <c r="D435" i="189"/>
  <c r="D470" i="189"/>
  <c r="D464" i="189"/>
  <c r="D469" i="189"/>
  <c r="D414" i="189"/>
  <c r="D379" i="189"/>
  <c r="D441" i="189"/>
  <c r="D467" i="189"/>
  <c r="D419" i="189"/>
  <c r="D432" i="189"/>
  <c r="D427" i="189"/>
  <c r="D444" i="189"/>
  <c r="D471" i="189"/>
  <c r="D400" i="189"/>
  <c r="D463" i="189"/>
  <c r="D455" i="189"/>
  <c r="D401" i="189"/>
  <c r="D466" i="189"/>
  <c r="D409" i="189"/>
  <c r="D439" i="189"/>
  <c r="D384" i="189"/>
  <c r="D413" i="189"/>
  <c r="D382" i="189"/>
  <c r="D457" i="189"/>
  <c r="D406" i="189"/>
  <c r="D383" i="189"/>
  <c r="D380" i="189"/>
  <c r="D418" i="189"/>
  <c r="D445" i="189"/>
  <c r="D403" i="189"/>
  <c r="D472" i="189"/>
  <c r="D460" i="189"/>
  <c r="D448" i="189"/>
  <c r="D436" i="189"/>
  <c r="D426" i="189"/>
  <c r="D399" i="189"/>
  <c r="L421" i="189" l="1"/>
  <c r="Q421" i="189" s="1"/>
  <c r="R421" i="189" s="1"/>
  <c r="F395" i="189"/>
  <c r="Q395" i="189" s="1"/>
  <c r="R395" i="189" s="1"/>
  <c r="F394" i="189"/>
  <c r="Q394" i="189" s="1"/>
  <c r="R394" i="189" s="1"/>
  <c r="F449" i="189"/>
  <c r="F393" i="189"/>
  <c r="Q393" i="189" s="1"/>
  <c r="R393" i="189" s="1"/>
  <c r="F396" i="189"/>
  <c r="F387" i="189"/>
  <c r="Q387" i="189" s="1"/>
  <c r="R387" i="189" s="1"/>
  <c r="F391" i="189"/>
  <c r="Q391" i="189" s="1"/>
  <c r="R391" i="189" s="1"/>
  <c r="F390" i="189"/>
  <c r="Q390" i="189" s="1"/>
  <c r="R390" i="189" s="1"/>
  <c r="F389" i="189"/>
  <c r="Q389" i="189" s="1"/>
  <c r="R389" i="189" s="1"/>
  <c r="F392" i="189"/>
  <c r="F388" i="189"/>
  <c r="Q388" i="189" s="1"/>
  <c r="R388" i="189" s="1"/>
  <c r="M417" i="189"/>
  <c r="P417" i="189" s="1"/>
  <c r="L417" i="189"/>
  <c r="C157" i="161"/>
  <c r="BL157" i="161"/>
  <c r="D158" i="161"/>
  <c r="L443" i="189"/>
  <c r="Q443" i="189"/>
  <c r="R443" i="189" s="1"/>
  <c r="Q390" i="161"/>
  <c r="Q402" i="161"/>
  <c r="R390" i="161"/>
  <c r="R402" i="161"/>
  <c r="Y402" i="161"/>
  <c r="AA402" i="161" s="1"/>
  <c r="Z402" i="161"/>
  <c r="L254" i="161" a="1"/>
  <c r="L254" i="161" s="1"/>
  <c r="N264" i="161"/>
  <c r="X264" i="161"/>
  <c r="Y390" i="161"/>
  <c r="AA390" i="161" s="1"/>
  <c r="N279" i="161"/>
  <c r="X279" i="161"/>
  <c r="W453" i="161"/>
  <c r="W451" i="161" s="1"/>
  <c r="V451" i="161"/>
  <c r="Y430" i="161"/>
  <c r="AA430" i="161" s="1"/>
  <c r="R430" i="161"/>
  <c r="Q430" i="161"/>
  <c r="Z430" i="161"/>
  <c r="V478" i="161"/>
  <c r="W479" i="161"/>
  <c r="W478" i="161" s="1"/>
  <c r="W404" i="161"/>
  <c r="W402" i="161" s="1"/>
  <c r="V402" i="161"/>
  <c r="V430" i="161"/>
  <c r="W431" i="161"/>
  <c r="W430" i="161" s="1"/>
  <c r="V390" i="161"/>
  <c r="D42" i="180" s="1"/>
  <c r="W391" i="161"/>
  <c r="W390" i="161" s="1"/>
  <c r="D442" i="189"/>
  <c r="D454" i="189"/>
  <c r="F454" i="189" s="1"/>
  <c r="Q454" i="189" s="1"/>
  <c r="R454" i="189" s="1"/>
  <c r="D453" i="189"/>
  <c r="F453" i="189" s="1"/>
  <c r="Q453" i="189" s="1"/>
  <c r="R453" i="189" s="1"/>
  <c r="E452" i="189"/>
  <c r="U480" i="161"/>
  <c r="D452" i="189"/>
  <c r="D459" i="189"/>
  <c r="F459" i="189" s="1"/>
  <c r="Q459" i="189" s="1"/>
  <c r="R459" i="189" s="1"/>
  <c r="M462" i="189"/>
  <c r="P462" i="189" s="1"/>
  <c r="D440" i="189"/>
  <c r="F440" i="189" s="1"/>
  <c r="Q440" i="189" s="1"/>
  <c r="R440" i="189" s="1"/>
  <c r="E447" i="189"/>
  <c r="Q462" i="189"/>
  <c r="R462" i="189" s="1"/>
  <c r="L398" i="189"/>
  <c r="M398" i="189"/>
  <c r="P398" i="189" s="1"/>
  <c r="D451" i="189"/>
  <c r="L407" i="189"/>
  <c r="M407" i="189"/>
  <c r="P407" i="189" s="1"/>
  <c r="Q398" i="189"/>
  <c r="R398" i="189" s="1"/>
  <c r="D386" i="189"/>
  <c r="Q407" i="189"/>
  <c r="R407" i="189" s="1"/>
  <c r="F428" i="189"/>
  <c r="F472" i="189"/>
  <c r="F418" i="189"/>
  <c r="Q418" i="189" s="1"/>
  <c r="R418" i="189" s="1"/>
  <c r="F439" i="189"/>
  <c r="Q439" i="189" s="1"/>
  <c r="R439" i="189" s="1"/>
  <c r="F471" i="189"/>
  <c r="F419" i="189"/>
  <c r="Q419" i="189" s="1"/>
  <c r="R419" i="189" s="1"/>
  <c r="F469" i="189"/>
  <c r="F435" i="189"/>
  <c r="F437" i="189"/>
  <c r="Q437" i="189" s="1"/>
  <c r="R437" i="189" s="1"/>
  <c r="F457" i="189"/>
  <c r="Q457" i="189" s="1"/>
  <c r="R457" i="189" s="1"/>
  <c r="F416" i="189"/>
  <c r="Q416" i="189" s="1"/>
  <c r="R416" i="189" s="1"/>
  <c r="F434" i="189"/>
  <c r="Q434" i="189" s="1"/>
  <c r="R434" i="189" s="1"/>
  <c r="F402" i="189"/>
  <c r="Q402" i="189" s="1"/>
  <c r="R402" i="189" s="1"/>
  <c r="F433" i="189"/>
  <c r="Q433" i="189" s="1"/>
  <c r="R433" i="189" s="1"/>
  <c r="F410" i="189"/>
  <c r="Q410" i="189" s="1"/>
  <c r="R410" i="189" s="1"/>
  <c r="F399" i="189"/>
  <c r="F436" i="189"/>
  <c r="Q436" i="189" s="1"/>
  <c r="R436" i="189" s="1"/>
  <c r="F403" i="189"/>
  <c r="F380" i="189"/>
  <c r="Q380" i="189" s="1"/>
  <c r="R380" i="189" s="1"/>
  <c r="F455" i="189"/>
  <c r="Q455" i="189" s="1"/>
  <c r="R455" i="189" s="1"/>
  <c r="F467" i="189"/>
  <c r="F414" i="189"/>
  <c r="F464" i="189"/>
  <c r="Q464" i="189" s="1"/>
  <c r="R464" i="189" s="1"/>
  <c r="F468" i="189"/>
  <c r="F404" i="189"/>
  <c r="Q404" i="189" s="1"/>
  <c r="R404" i="189" s="1"/>
  <c r="F430" i="189"/>
  <c r="Q430" i="189" s="1"/>
  <c r="R430" i="189" s="1"/>
  <c r="F382" i="189"/>
  <c r="F411" i="189"/>
  <c r="F412" i="189"/>
  <c r="Q412" i="189" s="1"/>
  <c r="R412" i="189" s="1"/>
  <c r="F431" i="189"/>
  <c r="Q431" i="189" s="1"/>
  <c r="R431" i="189" s="1"/>
  <c r="F405" i="189"/>
  <c r="F429" i="189"/>
  <c r="F383" i="189"/>
  <c r="Q383" i="189" s="1"/>
  <c r="R383" i="189" s="1"/>
  <c r="F413" i="189"/>
  <c r="F466" i="189"/>
  <c r="F463" i="189"/>
  <c r="F444" i="189"/>
  <c r="Q444" i="189" s="1"/>
  <c r="R444" i="189" s="1"/>
  <c r="F432" i="189"/>
  <c r="F441" i="189"/>
  <c r="Q441" i="189" s="1"/>
  <c r="R441" i="189" s="1"/>
  <c r="F470" i="189"/>
  <c r="F456" i="189"/>
  <c r="Q456" i="189" s="1"/>
  <c r="R456" i="189" s="1"/>
  <c r="F415" i="189"/>
  <c r="Q415" i="189" s="1"/>
  <c r="R415" i="189" s="1"/>
  <c r="F448" i="189"/>
  <c r="Q448" i="189" s="1"/>
  <c r="R448" i="189" s="1"/>
  <c r="F409" i="189"/>
  <c r="F408" i="189"/>
  <c r="Q408" i="189" s="1"/>
  <c r="R408" i="189" s="1"/>
  <c r="F381" i="189"/>
  <c r="F438" i="189"/>
  <c r="Q438" i="189" s="1"/>
  <c r="R438" i="189" s="1"/>
  <c r="F461" i="189"/>
  <c r="Q461" i="189" s="1"/>
  <c r="R461" i="189" s="1"/>
  <c r="F458" i="189"/>
  <c r="Q458" i="189" s="1"/>
  <c r="R458" i="189" s="1"/>
  <c r="F465" i="189"/>
  <c r="F426" i="189"/>
  <c r="F460" i="189"/>
  <c r="F445" i="189"/>
  <c r="Q445" i="189" s="1"/>
  <c r="R445" i="189" s="1"/>
  <c r="F406" i="189"/>
  <c r="Q406" i="189" s="1"/>
  <c r="R406" i="189" s="1"/>
  <c r="F384" i="189"/>
  <c r="F401" i="189"/>
  <c r="F400" i="189"/>
  <c r="Q400" i="189" s="1"/>
  <c r="R400" i="189" s="1"/>
  <c r="F427" i="189"/>
  <c r="Q427" i="189" s="1"/>
  <c r="R427" i="189" s="1"/>
  <c r="F379" i="189"/>
  <c r="F420" i="189"/>
  <c r="Q420" i="189" s="1"/>
  <c r="R420" i="189" s="1"/>
  <c r="V382" i="161"/>
  <c r="D378" i="189"/>
  <c r="W383" i="161"/>
  <c r="W382" i="161" s="1"/>
  <c r="D473" i="189" l="1"/>
  <c r="D46" i="180"/>
  <c r="V480" i="161" a="1"/>
  <c r="V480" i="161" s="1"/>
  <c r="D41" i="180"/>
  <c r="D425" i="189"/>
  <c r="D44" i="180"/>
  <c r="D397" i="189"/>
  <c r="D43" i="180"/>
  <c r="D446" i="189"/>
  <c r="D45" i="180"/>
  <c r="F397" i="189"/>
  <c r="L390" i="189"/>
  <c r="M390" i="189"/>
  <c r="P390" i="189" s="1"/>
  <c r="L393" i="189"/>
  <c r="M393" i="189"/>
  <c r="P393" i="189" s="1"/>
  <c r="L449" i="189"/>
  <c r="M449" i="189"/>
  <c r="P449" i="189" s="1"/>
  <c r="L388" i="189"/>
  <c r="M388" i="189"/>
  <c r="P388" i="189" s="1"/>
  <c r="L391" i="189"/>
  <c r="M391" i="189"/>
  <c r="P391" i="189" s="1"/>
  <c r="Q449" i="189"/>
  <c r="R449" i="189" s="1"/>
  <c r="L392" i="189"/>
  <c r="M392" i="189"/>
  <c r="P392" i="189" s="1"/>
  <c r="Q392" i="189"/>
  <c r="R392" i="189" s="1"/>
  <c r="M387" i="189"/>
  <c r="P387" i="189" s="1"/>
  <c r="L387" i="189"/>
  <c r="L394" i="189"/>
  <c r="M394" i="189"/>
  <c r="P394" i="189" s="1"/>
  <c r="L396" i="189"/>
  <c r="M396" i="189"/>
  <c r="P396" i="189" s="1"/>
  <c r="L389" i="189"/>
  <c r="M389" i="189"/>
  <c r="P389" i="189" s="1"/>
  <c r="Q396" i="189"/>
  <c r="R396" i="189" s="1"/>
  <c r="L395" i="189"/>
  <c r="M395" i="189"/>
  <c r="P395" i="189" s="1"/>
  <c r="BL158" i="161"/>
  <c r="C158" i="161"/>
  <c r="D159" i="161"/>
  <c r="L250" i="161" a="1"/>
  <c r="L250" i="161" s="1"/>
  <c r="X254" i="161"/>
  <c r="N254" i="161"/>
  <c r="F452" i="189"/>
  <c r="Q452" i="189" s="1"/>
  <c r="R452" i="189" s="1"/>
  <c r="F442" i="189"/>
  <c r="M442" i="189" s="1"/>
  <c r="P442" i="189" s="1"/>
  <c r="D447" i="189"/>
  <c r="F447" i="189" s="1"/>
  <c r="D474" i="189"/>
  <c r="F474" i="189" s="1"/>
  <c r="D377" i="189"/>
  <c r="F386" i="189"/>
  <c r="F385" i="189" s="1"/>
  <c r="F451" i="189"/>
  <c r="Q451" i="189" s="1"/>
  <c r="R451" i="189" s="1"/>
  <c r="D385" i="189"/>
  <c r="D450" i="189"/>
  <c r="F450" i="189" s="1"/>
  <c r="L409" i="189"/>
  <c r="M409" i="189"/>
  <c r="P409" i="189" s="1"/>
  <c r="L400" i="189"/>
  <c r="M400" i="189"/>
  <c r="P400" i="189" s="1"/>
  <c r="L406" i="189"/>
  <c r="M406" i="189"/>
  <c r="P406" i="189" s="1"/>
  <c r="Q409" i="189"/>
  <c r="R409" i="189" s="1"/>
  <c r="L444" i="189"/>
  <c r="M444" i="189"/>
  <c r="P444" i="189" s="1"/>
  <c r="L431" i="189"/>
  <c r="M431" i="189"/>
  <c r="P431" i="189" s="1"/>
  <c r="L453" i="189"/>
  <c r="M453" i="189"/>
  <c r="P453" i="189" s="1"/>
  <c r="L440" i="189"/>
  <c r="M440" i="189"/>
  <c r="P440" i="189" s="1"/>
  <c r="L402" i="189"/>
  <c r="M402" i="189"/>
  <c r="P402" i="189" s="1"/>
  <c r="L457" i="189"/>
  <c r="M457" i="189"/>
  <c r="P457" i="189" s="1"/>
  <c r="L435" i="189"/>
  <c r="Q435" i="189" s="1"/>
  <c r="R435" i="189" s="1"/>
  <c r="M435" i="189"/>
  <c r="P435" i="189" s="1"/>
  <c r="L439" i="189"/>
  <c r="M439" i="189"/>
  <c r="P439" i="189" s="1"/>
  <c r="L463" i="189"/>
  <c r="M463" i="189"/>
  <c r="P463" i="189" s="1"/>
  <c r="L403" i="189"/>
  <c r="M403" i="189"/>
  <c r="P403" i="189" s="1"/>
  <c r="L469" i="189"/>
  <c r="Q469" i="189" s="1"/>
  <c r="R469" i="189" s="1"/>
  <c r="M469" i="189"/>
  <c r="P469" i="189" s="1"/>
  <c r="L471" i="189"/>
  <c r="M471" i="189"/>
  <c r="P471" i="189" s="1"/>
  <c r="L379" i="189"/>
  <c r="Q379" i="189" s="1"/>
  <c r="R379" i="189" s="1"/>
  <c r="M379" i="189"/>
  <c r="P379" i="189" s="1"/>
  <c r="L401" i="189"/>
  <c r="M401" i="189"/>
  <c r="P401" i="189" s="1"/>
  <c r="Q401" i="189"/>
  <c r="R401" i="189" s="1"/>
  <c r="L445" i="189"/>
  <c r="M445" i="189"/>
  <c r="P445" i="189" s="1"/>
  <c r="L458" i="189"/>
  <c r="M458" i="189"/>
  <c r="P458" i="189" s="1"/>
  <c r="L408" i="189"/>
  <c r="M408" i="189"/>
  <c r="P408" i="189" s="1"/>
  <c r="L448" i="189"/>
  <c r="M448" i="189"/>
  <c r="P448" i="189" s="1"/>
  <c r="Q463" i="189"/>
  <c r="R463" i="189" s="1"/>
  <c r="L412" i="189"/>
  <c r="M412" i="189"/>
  <c r="P412" i="189" s="1"/>
  <c r="L430" i="189"/>
  <c r="M430" i="189"/>
  <c r="P430" i="189" s="1"/>
  <c r="L414" i="189"/>
  <c r="Q414" i="189" s="1"/>
  <c r="R414" i="189" s="1"/>
  <c r="M414" i="189"/>
  <c r="P414" i="189" s="1"/>
  <c r="L455" i="189"/>
  <c r="M455" i="189"/>
  <c r="P455" i="189" s="1"/>
  <c r="Q403" i="189"/>
  <c r="R403" i="189" s="1"/>
  <c r="L410" i="189"/>
  <c r="M410" i="189"/>
  <c r="P410" i="189" s="1"/>
  <c r="L434" i="189"/>
  <c r="M434" i="189"/>
  <c r="P434" i="189" s="1"/>
  <c r="L454" i="189"/>
  <c r="M454" i="189"/>
  <c r="P454" i="189" s="1"/>
  <c r="Q471" i="189"/>
  <c r="R471" i="189" s="1"/>
  <c r="L418" i="189"/>
  <c r="M418" i="189"/>
  <c r="P418" i="189" s="1"/>
  <c r="L465" i="189"/>
  <c r="Q465" i="189" s="1"/>
  <c r="R465" i="189" s="1"/>
  <c r="M465" i="189"/>
  <c r="P465" i="189" s="1"/>
  <c r="L383" i="189"/>
  <c r="M383" i="189"/>
  <c r="P383" i="189" s="1"/>
  <c r="L466" i="189"/>
  <c r="Q466" i="189" s="1"/>
  <c r="R466" i="189" s="1"/>
  <c r="M466" i="189"/>
  <c r="P466" i="189" s="1"/>
  <c r="L472" i="189"/>
  <c r="M472" i="189"/>
  <c r="P472" i="189" s="1"/>
  <c r="L382" i="189"/>
  <c r="Q382" i="189" s="1"/>
  <c r="R382" i="189" s="1"/>
  <c r="M382" i="189"/>
  <c r="P382" i="189" s="1"/>
  <c r="L380" i="189"/>
  <c r="M380" i="189"/>
  <c r="P380" i="189" s="1"/>
  <c r="L467" i="189"/>
  <c r="Q467" i="189" s="1"/>
  <c r="R467" i="189" s="1"/>
  <c r="M467" i="189"/>
  <c r="P467" i="189" s="1"/>
  <c r="L420" i="189"/>
  <c r="M420" i="189"/>
  <c r="P420" i="189" s="1"/>
  <c r="L460" i="189"/>
  <c r="Q460" i="189" s="1"/>
  <c r="R460" i="189" s="1"/>
  <c r="M460" i="189"/>
  <c r="P460" i="189" s="1"/>
  <c r="L461" i="189"/>
  <c r="M461" i="189"/>
  <c r="P461" i="189" s="1"/>
  <c r="L415" i="189"/>
  <c r="M415" i="189"/>
  <c r="P415" i="189" s="1"/>
  <c r="L441" i="189"/>
  <c r="M441" i="189"/>
  <c r="P441" i="189" s="1"/>
  <c r="L429" i="189"/>
  <c r="Q429" i="189" s="1"/>
  <c r="R429" i="189" s="1"/>
  <c r="M429" i="189"/>
  <c r="P429" i="189" s="1"/>
  <c r="L404" i="189"/>
  <c r="M404" i="189"/>
  <c r="P404" i="189" s="1"/>
  <c r="L436" i="189"/>
  <c r="M436" i="189"/>
  <c r="P436" i="189" s="1"/>
  <c r="L433" i="189"/>
  <c r="M433" i="189"/>
  <c r="P433" i="189" s="1"/>
  <c r="L416" i="189"/>
  <c r="M416" i="189"/>
  <c r="P416" i="189" s="1"/>
  <c r="L423" i="189"/>
  <c r="Q423" i="189" s="1"/>
  <c r="R423" i="189" s="1"/>
  <c r="M423" i="189"/>
  <c r="P423" i="189" s="1"/>
  <c r="Q472" i="189"/>
  <c r="R472" i="189" s="1"/>
  <c r="L384" i="189"/>
  <c r="Q384" i="189" s="1"/>
  <c r="R384" i="189" s="1"/>
  <c r="M384" i="189"/>
  <c r="P384" i="189" s="1"/>
  <c r="L413" i="189"/>
  <c r="M413" i="189"/>
  <c r="P413" i="189" s="1"/>
  <c r="L405" i="189"/>
  <c r="Q405" i="189" s="1"/>
  <c r="R405" i="189" s="1"/>
  <c r="M405" i="189"/>
  <c r="P405" i="189" s="1"/>
  <c r="L411" i="189"/>
  <c r="M411" i="189"/>
  <c r="P411" i="189" s="1"/>
  <c r="L468" i="189"/>
  <c r="Q468" i="189" s="1"/>
  <c r="R468" i="189" s="1"/>
  <c r="M468" i="189"/>
  <c r="P468" i="189" s="1"/>
  <c r="L399" i="189"/>
  <c r="M399" i="189"/>
  <c r="P399" i="189" s="1"/>
  <c r="L381" i="189"/>
  <c r="Q381" i="189" s="1"/>
  <c r="R381" i="189" s="1"/>
  <c r="M381" i="189"/>
  <c r="P381" i="189" s="1"/>
  <c r="L470" i="189"/>
  <c r="Q470" i="189" s="1"/>
  <c r="R470" i="189" s="1"/>
  <c r="M470" i="189"/>
  <c r="P470" i="189" s="1"/>
  <c r="L464" i="189"/>
  <c r="M464" i="189"/>
  <c r="P464" i="189" s="1"/>
  <c r="L427" i="189"/>
  <c r="M427" i="189"/>
  <c r="P427" i="189" s="1"/>
  <c r="L426" i="189"/>
  <c r="Q426" i="189" s="1"/>
  <c r="R426" i="189" s="1"/>
  <c r="M426" i="189"/>
  <c r="P426" i="189" s="1"/>
  <c r="L438" i="189"/>
  <c r="M438" i="189"/>
  <c r="P438" i="189" s="1"/>
  <c r="L456" i="189"/>
  <c r="M456" i="189"/>
  <c r="P456" i="189" s="1"/>
  <c r="L432" i="189"/>
  <c r="Q432" i="189" s="1"/>
  <c r="R432" i="189" s="1"/>
  <c r="M432" i="189"/>
  <c r="P432" i="189" s="1"/>
  <c r="Q413" i="189"/>
  <c r="R413" i="189" s="1"/>
  <c r="Q411" i="189"/>
  <c r="R411" i="189" s="1"/>
  <c r="L459" i="189"/>
  <c r="M459" i="189"/>
  <c r="P459" i="189" s="1"/>
  <c r="Q399" i="189"/>
  <c r="R399" i="189" s="1"/>
  <c r="L437" i="189"/>
  <c r="M437" i="189"/>
  <c r="P437" i="189" s="1"/>
  <c r="L419" i="189"/>
  <c r="M419" i="189"/>
  <c r="P419" i="189" s="1"/>
  <c r="L428" i="189"/>
  <c r="Q428" i="189" s="1"/>
  <c r="R428" i="189" s="1"/>
  <c r="M428" i="189"/>
  <c r="P428" i="189" s="1"/>
  <c r="E397" i="189" l="1"/>
  <c r="E43" i="180" s="1"/>
  <c r="F43" i="180" s="1"/>
  <c r="L43" i="180" s="1"/>
  <c r="M43" i="180" s="1"/>
  <c r="P43" i="180" s="1"/>
  <c r="D47" i="180"/>
  <c r="L452" i="189"/>
  <c r="M452" i="189"/>
  <c r="P452" i="189" s="1"/>
  <c r="L397" i="189"/>
  <c r="M397" i="189"/>
  <c r="P397" i="189" s="1"/>
  <c r="Q397" i="189"/>
  <c r="R397" i="189" s="1"/>
  <c r="F446" i="189"/>
  <c r="L446" i="189" s="1"/>
  <c r="M474" i="189"/>
  <c r="P474" i="189" s="1"/>
  <c r="F473" i="189"/>
  <c r="F425" i="189"/>
  <c r="E425" i="189" s="1"/>
  <c r="E44" i="180" s="1"/>
  <c r="F44" i="180" s="1"/>
  <c r="L44" i="180" s="1"/>
  <c r="M44" i="180" s="1"/>
  <c r="P44" i="180" s="1"/>
  <c r="Q442" i="189"/>
  <c r="R442" i="189" s="1"/>
  <c r="D160" i="161"/>
  <c r="BL159" i="161"/>
  <c r="C159" i="161"/>
  <c r="L225" i="161" a="1"/>
  <c r="L225" i="161" s="1"/>
  <c r="N250" i="161"/>
  <c r="X250" i="161"/>
  <c r="L442" i="189"/>
  <c r="L382" i="161" a="1"/>
  <c r="L382" i="161" s="1"/>
  <c r="Q447" i="189"/>
  <c r="R447" i="189" s="1"/>
  <c r="L447" i="189"/>
  <c r="M447" i="189"/>
  <c r="P447" i="189" s="1"/>
  <c r="Q474" i="189"/>
  <c r="R474" i="189" s="1"/>
  <c r="L474" i="189"/>
  <c r="E385" i="189"/>
  <c r="E42" i="180" s="1"/>
  <c r="F42" i="180" s="1"/>
  <c r="L386" i="189"/>
  <c r="M386" i="189"/>
  <c r="P386" i="189" s="1"/>
  <c r="Q386" i="189"/>
  <c r="R386" i="189" s="1"/>
  <c r="L451" i="189"/>
  <c r="M451" i="189"/>
  <c r="P451" i="189" s="1"/>
  <c r="Q450" i="189"/>
  <c r="R450" i="189" s="1"/>
  <c r="L450" i="189"/>
  <c r="M450" i="189"/>
  <c r="P450" i="189" s="1"/>
  <c r="O3" i="199"/>
  <c r="Q43" i="180" l="1"/>
  <c r="R43" i="180" s="1"/>
  <c r="L42" i="180"/>
  <c r="M42" i="180" s="1"/>
  <c r="P42" i="180" s="1"/>
  <c r="Q42" i="180"/>
  <c r="R42" i="180" s="1"/>
  <c r="Q44" i="180"/>
  <c r="R44" i="180" s="1"/>
  <c r="Q446" i="189"/>
  <c r="R446" i="189" s="1"/>
  <c r="E446" i="189"/>
  <c r="E45" i="180" s="1"/>
  <c r="F45" i="180" s="1"/>
  <c r="M446" i="189"/>
  <c r="P446" i="189" s="1"/>
  <c r="L425" i="189"/>
  <c r="M425" i="189"/>
  <c r="P425" i="189" s="1"/>
  <c r="Q425" i="189"/>
  <c r="R425" i="189" s="1"/>
  <c r="D161" i="161"/>
  <c r="BL160" i="161"/>
  <c r="C160" i="161"/>
  <c r="N225" i="161"/>
  <c r="X225" i="161"/>
  <c r="L219" i="161" a="1"/>
  <c r="L219" i="161" s="1"/>
  <c r="P382" i="161" a="1"/>
  <c r="P382" i="161" s="1"/>
  <c r="L5" i="190"/>
  <c r="L45" i="180" l="1"/>
  <c r="M45" i="180" s="1"/>
  <c r="P45" i="180" s="1"/>
  <c r="Q45" i="180"/>
  <c r="R45" i="180" s="1"/>
  <c r="BL161" i="161"/>
  <c r="C161" i="161"/>
  <c r="D162" i="161"/>
  <c r="L180" i="161" a="1"/>
  <c r="L180" i="161" s="1"/>
  <c r="X219" i="161"/>
  <c r="N219" i="161"/>
  <c r="M37" i="164"/>
  <c r="BL162" i="161" l="1"/>
  <c r="C162" i="161"/>
  <c r="D163" i="161"/>
  <c r="X180" i="161"/>
  <c r="N180" i="161"/>
  <c r="BL13" i="161"/>
  <c r="X383" i="161"/>
  <c r="BL163" i="161" l="1"/>
  <c r="D164" i="161"/>
  <c r="C163" i="161"/>
  <c r="C13" i="161"/>
  <c r="Z383" i="161"/>
  <c r="M383" i="161"/>
  <c r="C17" i="195"/>
  <c r="C16" i="195" s="1"/>
  <c r="C15" i="195" s="1"/>
  <c r="AG14" i="195"/>
  <c r="AG12" i="195"/>
  <c r="AG11" i="195"/>
  <c r="D165" i="161" l="1"/>
  <c r="BL164" i="161"/>
  <c r="C164" i="161"/>
  <c r="BL14" i="161"/>
  <c r="Q383" i="161"/>
  <c r="Y383" i="161"/>
  <c r="AA383" i="161" s="1"/>
  <c r="D166" i="161" l="1"/>
  <c r="C165" i="161"/>
  <c r="BL165" i="161"/>
  <c r="B6" i="190"/>
  <c r="D167" i="161" l="1"/>
  <c r="C166" i="161"/>
  <c r="BL166" i="161"/>
  <c r="B7" i="190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D168" i="161" l="1"/>
  <c r="C167" i="161"/>
  <c r="BL167" i="161"/>
  <c r="K69" i="158"/>
  <c r="O5" i="159"/>
  <c r="A2008" i="163"/>
  <c r="B5" i="164"/>
  <c r="W22" i="158"/>
  <c r="W21" i="158" s="1"/>
  <c r="V22" i="158"/>
  <c r="V21" i="158" s="1"/>
  <c r="U22" i="158"/>
  <c r="U21" i="158" s="1"/>
  <c r="T22" i="158"/>
  <c r="T21" i="158" s="1"/>
  <c r="S22" i="158"/>
  <c r="S21" i="158" s="1"/>
  <c r="R22" i="158"/>
  <c r="R21" i="158" s="1"/>
  <c r="Q22" i="158"/>
  <c r="Q21" i="158" s="1"/>
  <c r="P22" i="158"/>
  <c r="P21" i="158" s="1"/>
  <c r="O22" i="158"/>
  <c r="O21" i="158" s="1"/>
  <c r="N22" i="158"/>
  <c r="N21" i="158" s="1"/>
  <c r="M22" i="158"/>
  <c r="M21" i="158" s="1"/>
  <c r="C168" i="161" l="1"/>
  <c r="D169" i="161"/>
  <c r="BL168" i="161"/>
  <c r="A953" i="163"/>
  <c r="A945" i="163"/>
  <c r="A937" i="163"/>
  <c r="A929" i="163"/>
  <c r="A921" i="163"/>
  <c r="A913" i="163"/>
  <c r="A905" i="163"/>
  <c r="A897" i="163"/>
  <c r="A889" i="163"/>
  <c r="A881" i="163"/>
  <c r="A873" i="163"/>
  <c r="A865" i="163"/>
  <c r="A855" i="163"/>
  <c r="A847" i="163"/>
  <c r="A839" i="163"/>
  <c r="A831" i="163"/>
  <c r="A823" i="163"/>
  <c r="A815" i="163"/>
  <c r="A807" i="163"/>
  <c r="A799" i="163"/>
  <c r="A791" i="163"/>
  <c r="A783" i="163"/>
  <c r="A775" i="163"/>
  <c r="A767" i="163"/>
  <c r="A759" i="163"/>
  <c r="A751" i="163"/>
  <c r="A743" i="163"/>
  <c r="A735" i="163"/>
  <c r="A727" i="163"/>
  <c r="A719" i="163"/>
  <c r="A711" i="163"/>
  <c r="A703" i="163"/>
  <c r="A695" i="163"/>
  <c r="A687" i="163"/>
  <c r="A679" i="163"/>
  <c r="A671" i="163"/>
  <c r="A663" i="163"/>
  <c r="A655" i="163"/>
  <c r="A647" i="163"/>
  <c r="A639" i="163"/>
  <c r="A615" i="163"/>
  <c r="A607" i="163"/>
  <c r="A599" i="163"/>
  <c r="A583" i="163"/>
  <c r="A575" i="163"/>
  <c r="A543" i="163"/>
  <c r="A503" i="163"/>
  <c r="A952" i="163"/>
  <c r="A944" i="163"/>
  <c r="A936" i="163"/>
  <c r="A928" i="163"/>
  <c r="A920" i="163"/>
  <c r="A912" i="163"/>
  <c r="A904" i="163"/>
  <c r="A896" i="163"/>
  <c r="A888" i="163"/>
  <c r="A880" i="163"/>
  <c r="A872" i="163"/>
  <c r="A864" i="163"/>
  <c r="A854" i="163"/>
  <c r="A846" i="163"/>
  <c r="A838" i="163"/>
  <c r="A830" i="163"/>
  <c r="A822" i="163"/>
  <c r="A814" i="163"/>
  <c r="A806" i="163"/>
  <c r="A798" i="163"/>
  <c r="A790" i="163"/>
  <c r="A782" i="163"/>
  <c r="A774" i="163"/>
  <c r="A766" i="163"/>
  <c r="A758" i="163"/>
  <c r="A750" i="163"/>
  <c r="A742" i="163"/>
  <c r="A734" i="163"/>
  <c r="A726" i="163"/>
  <c r="A718" i="163"/>
  <c r="A710" i="163"/>
  <c r="A702" i="163"/>
  <c r="A694" i="163"/>
  <c r="A686" i="163"/>
  <c r="A678" i="163"/>
  <c r="A670" i="163"/>
  <c r="A662" i="163"/>
  <c r="A654" i="163"/>
  <c r="A646" i="163"/>
  <c r="A638" i="163"/>
  <c r="A630" i="163"/>
  <c r="A622" i="163"/>
  <c r="A614" i="163"/>
  <c r="A606" i="163"/>
  <c r="A598" i="163"/>
  <c r="A590" i="163"/>
  <c r="A582" i="163"/>
  <c r="A574" i="163"/>
  <c r="A566" i="163"/>
  <c r="A558" i="163"/>
  <c r="A550" i="163"/>
  <c r="A542" i="163"/>
  <c r="A534" i="163"/>
  <c r="A526" i="163"/>
  <c r="A518" i="163"/>
  <c r="A510" i="163"/>
  <c r="A502" i="163"/>
  <c r="A494" i="163"/>
  <c r="A951" i="163"/>
  <c r="A943" i="163"/>
  <c r="A935" i="163"/>
  <c r="A927" i="163"/>
  <c r="A919" i="163"/>
  <c r="A911" i="163"/>
  <c r="A903" i="163"/>
  <c r="A895" i="163"/>
  <c r="A887" i="163"/>
  <c r="A879" i="163"/>
  <c r="A871" i="163"/>
  <c r="A863" i="163"/>
  <c r="A853" i="163"/>
  <c r="A845" i="163"/>
  <c r="A837" i="163"/>
  <c r="A829" i="163"/>
  <c r="A821" i="163"/>
  <c r="A813" i="163"/>
  <c r="A805" i="163"/>
  <c r="A797" i="163"/>
  <c r="A789" i="163"/>
  <c r="A781" i="163"/>
  <c r="A773" i="163"/>
  <c r="A765" i="163"/>
  <c r="A757" i="163"/>
  <c r="A749" i="163"/>
  <c r="A741" i="163"/>
  <c r="A733" i="163"/>
  <c r="A725" i="163"/>
  <c r="A717" i="163"/>
  <c r="A709" i="163"/>
  <c r="A701" i="163"/>
  <c r="A693" i="163"/>
  <c r="A685" i="163"/>
  <c r="A677" i="163"/>
  <c r="A669" i="163"/>
  <c r="A661" i="163"/>
  <c r="A653" i="163"/>
  <c r="A645" i="163"/>
  <c r="A637" i="163"/>
  <c r="A629" i="163"/>
  <c r="A621" i="163"/>
  <c r="A613" i="163"/>
  <c r="A605" i="163"/>
  <c r="A597" i="163"/>
  <c r="A589" i="163"/>
  <c r="A581" i="163"/>
  <c r="A573" i="163"/>
  <c r="A565" i="163"/>
  <c r="A557" i="163"/>
  <c r="A549" i="163"/>
  <c r="A541" i="163"/>
  <c r="A533" i="163"/>
  <c r="A525" i="163"/>
  <c r="A517" i="163"/>
  <c r="A509" i="163"/>
  <c r="A501" i="163"/>
  <c r="A493" i="163"/>
  <c r="A551" i="163"/>
  <c r="A950" i="163"/>
  <c r="A942" i="163"/>
  <c r="A934" i="163"/>
  <c r="A926" i="163"/>
  <c r="A918" i="163"/>
  <c r="A910" i="163"/>
  <c r="A902" i="163"/>
  <c r="A894" i="163"/>
  <c r="A886" i="163"/>
  <c r="A878" i="163"/>
  <c r="A870" i="163"/>
  <c r="A862" i="163"/>
  <c r="A852" i="163"/>
  <c r="A844" i="163"/>
  <c r="A836" i="163"/>
  <c r="A828" i="163"/>
  <c r="A820" i="163"/>
  <c r="A812" i="163"/>
  <c r="A804" i="163"/>
  <c r="A796" i="163"/>
  <c r="A788" i="163"/>
  <c r="A780" i="163"/>
  <c r="A772" i="163"/>
  <c r="A764" i="163"/>
  <c r="A756" i="163"/>
  <c r="A748" i="163"/>
  <c r="A740" i="163"/>
  <c r="A732" i="163"/>
  <c r="A724" i="163"/>
  <c r="A716" i="163"/>
  <c r="A708" i="163"/>
  <c r="A700" i="163"/>
  <c r="A692" i="163"/>
  <c r="A684" i="163"/>
  <c r="A676" i="163"/>
  <c r="A668" i="163"/>
  <c r="A660" i="163"/>
  <c r="A652" i="163"/>
  <c r="A644" i="163"/>
  <c r="A636" i="163"/>
  <c r="A628" i="163"/>
  <c r="A620" i="163"/>
  <c r="A612" i="163"/>
  <c r="A604" i="163"/>
  <c r="A596" i="163"/>
  <c r="A588" i="163"/>
  <c r="A580" i="163"/>
  <c r="A572" i="163"/>
  <c r="A564" i="163"/>
  <c r="A556" i="163"/>
  <c r="A548" i="163"/>
  <c r="A540" i="163"/>
  <c r="A532" i="163"/>
  <c r="A524" i="163"/>
  <c r="A516" i="163"/>
  <c r="A508" i="163"/>
  <c r="A500" i="163"/>
  <c r="A527" i="163"/>
  <c r="A957" i="163"/>
  <c r="A949" i="163"/>
  <c r="A941" i="163"/>
  <c r="A933" i="163"/>
  <c r="A925" i="163"/>
  <c r="A917" i="163"/>
  <c r="A909" i="163"/>
  <c r="A901" i="163"/>
  <c r="A893" i="163"/>
  <c r="A885" i="163"/>
  <c r="A877" i="163"/>
  <c r="A869" i="163"/>
  <c r="A861" i="163"/>
  <c r="A851" i="163"/>
  <c r="A843" i="163"/>
  <c r="A835" i="163"/>
  <c r="A827" i="163"/>
  <c r="A819" i="163"/>
  <c r="A811" i="163"/>
  <c r="A803" i="163"/>
  <c r="A795" i="163"/>
  <c r="A787" i="163"/>
  <c r="A779" i="163"/>
  <c r="A771" i="163"/>
  <c r="A763" i="163"/>
  <c r="A755" i="163"/>
  <c r="A747" i="163"/>
  <c r="A739" i="163"/>
  <c r="A731" i="163"/>
  <c r="A723" i="163"/>
  <c r="A715" i="163"/>
  <c r="A707" i="163"/>
  <c r="A699" i="163"/>
  <c r="A691" i="163"/>
  <c r="A683" i="163"/>
  <c r="A675" i="163"/>
  <c r="A667" i="163"/>
  <c r="A659" i="163"/>
  <c r="A651" i="163"/>
  <c r="A643" i="163"/>
  <c r="A635" i="163"/>
  <c r="A627" i="163"/>
  <c r="A619" i="163"/>
  <c r="A611" i="163"/>
  <c r="A603" i="163"/>
  <c r="A595" i="163"/>
  <c r="A587" i="163"/>
  <c r="A579" i="163"/>
  <c r="A571" i="163"/>
  <c r="A563" i="163"/>
  <c r="A555" i="163"/>
  <c r="A547" i="163"/>
  <c r="A539" i="163"/>
  <c r="A531" i="163"/>
  <c r="A523" i="163"/>
  <c r="A515" i="163"/>
  <c r="A507" i="163"/>
  <c r="A499" i="163"/>
  <c r="A535" i="163"/>
  <c r="A956" i="163"/>
  <c r="A948" i="163"/>
  <c r="A940" i="163"/>
  <c r="A932" i="163"/>
  <c r="A924" i="163"/>
  <c r="A916" i="163"/>
  <c r="A908" i="163"/>
  <c r="A900" i="163"/>
  <c r="A892" i="163"/>
  <c r="A884" i="163"/>
  <c r="A876" i="163"/>
  <c r="A868" i="163"/>
  <c r="A858" i="163"/>
  <c r="A850" i="163"/>
  <c r="A842" i="163"/>
  <c r="A834" i="163"/>
  <c r="A826" i="163"/>
  <c r="A818" i="163"/>
  <c r="A810" i="163"/>
  <c r="A802" i="163"/>
  <c r="A794" i="163"/>
  <c r="A786" i="163"/>
  <c r="A778" i="163"/>
  <c r="A770" i="163"/>
  <c r="A762" i="163"/>
  <c r="A754" i="163"/>
  <c r="A746" i="163"/>
  <c r="A738" i="163"/>
  <c r="A730" i="163"/>
  <c r="A722" i="163"/>
  <c r="A714" i="163"/>
  <c r="A706" i="163"/>
  <c r="A698" i="163"/>
  <c r="A690" i="163"/>
  <c r="A682" i="163"/>
  <c r="A674" i="163"/>
  <c r="A666" i="163"/>
  <c r="A658" i="163"/>
  <c r="A650" i="163"/>
  <c r="A642" i="163"/>
  <c r="A634" i="163"/>
  <c r="A626" i="163"/>
  <c r="A618" i="163"/>
  <c r="A610" i="163"/>
  <c r="A602" i="163"/>
  <c r="A594" i="163"/>
  <c r="A586" i="163"/>
  <c r="A578" i="163"/>
  <c r="A570" i="163"/>
  <c r="A562" i="163"/>
  <c r="A554" i="163"/>
  <c r="A546" i="163"/>
  <c r="A538" i="163"/>
  <c r="A530" i="163"/>
  <c r="A522" i="163"/>
  <c r="A514" i="163"/>
  <c r="A506" i="163"/>
  <c r="A498" i="163"/>
  <c r="A591" i="163"/>
  <c r="A495" i="163"/>
  <c r="A955" i="163"/>
  <c r="A947" i="163"/>
  <c r="A939" i="163"/>
  <c r="A931" i="163"/>
  <c r="A923" i="163"/>
  <c r="A915" i="163"/>
  <c r="A907" i="163"/>
  <c r="A899" i="163"/>
  <c r="A891" i="163"/>
  <c r="A883" i="163"/>
  <c r="A875" i="163"/>
  <c r="A867" i="163"/>
  <c r="A857" i="163"/>
  <c r="A849" i="163"/>
  <c r="A841" i="163"/>
  <c r="A833" i="163"/>
  <c r="A825" i="163"/>
  <c r="A817" i="163"/>
  <c r="A809" i="163"/>
  <c r="A801" i="163"/>
  <c r="A793" i="163"/>
  <c r="A785" i="163"/>
  <c r="A777" i="163"/>
  <c r="A769" i="163"/>
  <c r="A761" i="163"/>
  <c r="A753" i="163"/>
  <c r="A745" i="163"/>
  <c r="A737" i="163"/>
  <c r="A729" i="163"/>
  <c r="A721" i="163"/>
  <c r="A713" i="163"/>
  <c r="A705" i="163"/>
  <c r="A697" i="163"/>
  <c r="A689" i="163"/>
  <c r="A681" i="163"/>
  <c r="A673" i="163"/>
  <c r="A665" i="163"/>
  <c r="A657" i="163"/>
  <c r="A649" i="163"/>
  <c r="A641" i="163"/>
  <c r="A633" i="163"/>
  <c r="A625" i="163"/>
  <c r="A617" i="163"/>
  <c r="A609" i="163"/>
  <c r="A601" i="163"/>
  <c r="A593" i="163"/>
  <c r="A585" i="163"/>
  <c r="A577" i="163"/>
  <c r="A569" i="163"/>
  <c r="A561" i="163"/>
  <c r="A553" i="163"/>
  <c r="A545" i="163"/>
  <c r="A537" i="163"/>
  <c r="A529" i="163"/>
  <c r="A521" i="163"/>
  <c r="A513" i="163"/>
  <c r="A505" i="163"/>
  <c r="A497" i="163"/>
  <c r="A623" i="163"/>
  <c r="A559" i="163"/>
  <c r="A511" i="163"/>
  <c r="A954" i="163"/>
  <c r="A946" i="163"/>
  <c r="A938" i="163"/>
  <c r="A930" i="163"/>
  <c r="A922" i="163"/>
  <c r="A914" i="163"/>
  <c r="A906" i="163"/>
  <c r="A898" i="163"/>
  <c r="A890" i="163"/>
  <c r="A882" i="163"/>
  <c r="A874" i="163"/>
  <c r="A866" i="163"/>
  <c r="A856" i="163"/>
  <c r="A848" i="163"/>
  <c r="A840" i="163"/>
  <c r="A832" i="163"/>
  <c r="A824" i="163"/>
  <c r="A816" i="163"/>
  <c r="A808" i="163"/>
  <c r="A800" i="163"/>
  <c r="A792" i="163"/>
  <c r="A784" i="163"/>
  <c r="A776" i="163"/>
  <c r="A768" i="163"/>
  <c r="A760" i="163"/>
  <c r="A752" i="163"/>
  <c r="A744" i="163"/>
  <c r="A736" i="163"/>
  <c r="A728" i="163"/>
  <c r="A720" i="163"/>
  <c r="A712" i="163"/>
  <c r="A704" i="163"/>
  <c r="A696" i="163"/>
  <c r="A688" i="163"/>
  <c r="A680" i="163"/>
  <c r="A672" i="163"/>
  <c r="A664" i="163"/>
  <c r="A656" i="163"/>
  <c r="A648" i="163"/>
  <c r="A640" i="163"/>
  <c r="A632" i="163"/>
  <c r="A624" i="163"/>
  <c r="A616" i="163"/>
  <c r="A608" i="163"/>
  <c r="A600" i="163"/>
  <c r="A592" i="163"/>
  <c r="A584" i="163"/>
  <c r="A576" i="163"/>
  <c r="A568" i="163"/>
  <c r="A560" i="163"/>
  <c r="A552" i="163"/>
  <c r="A544" i="163"/>
  <c r="A536" i="163"/>
  <c r="A528" i="163"/>
  <c r="A520" i="163"/>
  <c r="A512" i="163"/>
  <c r="A504" i="163"/>
  <c r="A496" i="163"/>
  <c r="A631" i="163"/>
  <c r="A567" i="163"/>
  <c r="A519" i="163"/>
  <c r="H375" i="189" a="1"/>
  <c r="H375" i="189" s="1"/>
  <c r="J11" i="201"/>
  <c r="F4" i="189"/>
  <c r="E4" i="190"/>
  <c r="AR12" i="161"/>
  <c r="AS12" i="161" s="1"/>
  <c r="AT12" i="161" s="1"/>
  <c r="AU12" i="161" s="1"/>
  <c r="A492" i="163"/>
  <c r="A860" i="163"/>
  <c r="D6" i="159"/>
  <c r="F378" i="189"/>
  <c r="F377" i="189" s="1"/>
  <c r="C2" i="190"/>
  <c r="D170" i="161" l="1"/>
  <c r="C169" i="161"/>
  <c r="BL169" i="161"/>
  <c r="P379" i="161"/>
  <c r="E374" i="189" s="1"/>
  <c r="P335" i="161"/>
  <c r="E330" i="189" s="1"/>
  <c r="P334" i="161"/>
  <c r="E329" i="189" s="1"/>
  <c r="P356" i="161"/>
  <c r="E351" i="189" s="1"/>
  <c r="P355" i="161"/>
  <c r="E350" i="189" s="1"/>
  <c r="P353" i="161"/>
  <c r="E348" i="189" s="1"/>
  <c r="P316" i="161"/>
  <c r="E311" i="189" s="1"/>
  <c r="P314" i="161"/>
  <c r="E309" i="189" s="1"/>
  <c r="P313" i="161"/>
  <c r="E308" i="189" s="1"/>
  <c r="P308" i="161"/>
  <c r="E303" i="189" s="1"/>
  <c r="P300" i="161"/>
  <c r="E295" i="189" s="1"/>
  <c r="P366" i="161"/>
  <c r="E361" i="189" s="1"/>
  <c r="P360" i="161"/>
  <c r="E355" i="189" s="1"/>
  <c r="P343" i="161"/>
  <c r="E338" i="189" s="1"/>
  <c r="P342" i="161"/>
  <c r="E337" i="189" s="1"/>
  <c r="P338" i="161"/>
  <c r="E333" i="189" s="1"/>
  <c r="P326" i="161"/>
  <c r="E321" i="189" s="1"/>
  <c r="P323" i="161"/>
  <c r="E318" i="189" s="1"/>
  <c r="P320" i="161"/>
  <c r="E315" i="189" s="1"/>
  <c r="P315" i="161"/>
  <c r="E310" i="189" s="1"/>
  <c r="P306" i="161"/>
  <c r="E301" i="189" s="1"/>
  <c r="P372" i="161"/>
  <c r="E367" i="189" s="1"/>
  <c r="P331" i="161"/>
  <c r="E326" i="189" s="1"/>
  <c r="P319" i="161"/>
  <c r="E314" i="189" s="1"/>
  <c r="P274" i="161"/>
  <c r="E269" i="189" s="1"/>
  <c r="P273" i="161"/>
  <c r="E268" i="189" s="1"/>
  <c r="P373" i="161"/>
  <c r="E368" i="189" s="1"/>
  <c r="P369" i="161"/>
  <c r="E364" i="189" s="1"/>
  <c r="P362" i="161"/>
  <c r="E357" i="189" s="1"/>
  <c r="P352" i="161"/>
  <c r="E347" i="189" s="1"/>
  <c r="P337" i="161"/>
  <c r="E332" i="189" s="1"/>
  <c r="P336" i="161"/>
  <c r="E331" i="189" s="1"/>
  <c r="P328" i="161"/>
  <c r="E323" i="189" s="1"/>
  <c r="P305" i="161"/>
  <c r="E300" i="189" s="1"/>
  <c r="P275" i="161"/>
  <c r="E270" i="189" s="1"/>
  <c r="P268" i="161"/>
  <c r="E263" i="189" s="1"/>
  <c r="P267" i="161"/>
  <c r="E262" i="189" s="1"/>
  <c r="P262" i="161"/>
  <c r="E257" i="189" s="1"/>
  <c r="P261" i="161"/>
  <c r="E256" i="189" s="1"/>
  <c r="P260" i="161"/>
  <c r="E255" i="189" s="1"/>
  <c r="P251" i="161"/>
  <c r="E246" i="189" s="1"/>
  <c r="P375" i="161"/>
  <c r="E370" i="189" s="1"/>
  <c r="P365" i="161"/>
  <c r="E360" i="189" s="1"/>
  <c r="P359" i="161"/>
  <c r="E354" i="189" s="1"/>
  <c r="P357" i="161"/>
  <c r="E352" i="189" s="1"/>
  <c r="P354" i="161"/>
  <c r="E349" i="189" s="1"/>
  <c r="P333" i="161"/>
  <c r="E328" i="189" s="1"/>
  <c r="P330" i="161"/>
  <c r="E325" i="189" s="1"/>
  <c r="P322" i="161"/>
  <c r="E317" i="189" s="1"/>
  <c r="P318" i="161"/>
  <c r="E313" i="189" s="1"/>
  <c r="P317" i="161"/>
  <c r="E312" i="189" s="1"/>
  <c r="P282" i="161"/>
  <c r="E277" i="189" s="1"/>
  <c r="P281" i="161"/>
  <c r="E276" i="189" s="1"/>
  <c r="P376" i="161"/>
  <c r="E371" i="189" s="1"/>
  <c r="P374" i="161"/>
  <c r="E369" i="189" s="1"/>
  <c r="P371" i="161"/>
  <c r="E366" i="189" s="1"/>
  <c r="P370" i="161"/>
  <c r="E365" i="189" s="1"/>
  <c r="P364" i="161"/>
  <c r="E359" i="189" s="1"/>
  <c r="P363" i="161"/>
  <c r="E358" i="189" s="1"/>
  <c r="P358" i="161"/>
  <c r="E353" i="189" s="1"/>
  <c r="P345" i="161"/>
  <c r="E340" i="189" s="1"/>
  <c r="P344" i="161"/>
  <c r="E339" i="189" s="1"/>
  <c r="P341" i="161"/>
  <c r="E336" i="189" s="1"/>
  <c r="P340" i="161"/>
  <c r="E335" i="189" s="1"/>
  <c r="P327" i="161"/>
  <c r="E322" i="189" s="1"/>
  <c r="P325" i="161"/>
  <c r="E320" i="189" s="1"/>
  <c r="P321" i="161"/>
  <c r="E316" i="189" s="1"/>
  <c r="P312" i="161"/>
  <c r="E307" i="189" s="1"/>
  <c r="P310" i="161"/>
  <c r="E305" i="189" s="1"/>
  <c r="P289" i="161"/>
  <c r="E284" i="189" s="1"/>
  <c r="P285" i="161"/>
  <c r="E280" i="189" s="1"/>
  <c r="P283" i="161"/>
  <c r="E278" i="189" s="1"/>
  <c r="P349" i="161"/>
  <c r="E344" i="189" s="1"/>
  <c r="P339" i="161"/>
  <c r="E334" i="189" s="1"/>
  <c r="P288" i="161"/>
  <c r="E283" i="189" s="1"/>
  <c r="P245" i="161"/>
  <c r="E240" i="189" s="1"/>
  <c r="P244" i="161"/>
  <c r="E239" i="189" s="1"/>
  <c r="P243" i="161"/>
  <c r="E238" i="189" s="1"/>
  <c r="P237" i="161"/>
  <c r="E232" i="189" s="1"/>
  <c r="P236" i="161"/>
  <c r="E231" i="189" s="1"/>
  <c r="P214" i="161"/>
  <c r="E209" i="189" s="1"/>
  <c r="P350" i="161"/>
  <c r="E345" i="189" s="1"/>
  <c r="P307" i="161"/>
  <c r="E302" i="189" s="1"/>
  <c r="P294" i="161"/>
  <c r="E289" i="189" s="1"/>
  <c r="P277" i="161"/>
  <c r="E272" i="189" s="1"/>
  <c r="P272" i="161"/>
  <c r="E267" i="189" s="1"/>
  <c r="P270" i="161"/>
  <c r="E265" i="189" s="1"/>
  <c r="P252" i="161"/>
  <c r="E247" i="189" s="1"/>
  <c r="P235" i="161"/>
  <c r="E230" i="189" s="1"/>
  <c r="P193" i="161"/>
  <c r="E188" i="189" s="1"/>
  <c r="P190" i="161"/>
  <c r="E185" i="189" s="1"/>
  <c r="P182" i="161"/>
  <c r="E177" i="189" s="1"/>
  <c r="P175" i="161"/>
  <c r="E170" i="189" s="1"/>
  <c r="P351" i="161"/>
  <c r="E346" i="189" s="1"/>
  <c r="P301" i="161"/>
  <c r="E296" i="189" s="1"/>
  <c r="P296" i="161"/>
  <c r="E291" i="189" s="1"/>
  <c r="P295" i="161"/>
  <c r="E290" i="189" s="1"/>
  <c r="P278" i="161"/>
  <c r="E273" i="189" s="1"/>
  <c r="P263" i="161"/>
  <c r="E258" i="189" s="1"/>
  <c r="P242" i="161"/>
  <c r="E237" i="189" s="1"/>
  <c r="P226" i="161"/>
  <c r="E221" i="189" s="1"/>
  <c r="P220" i="161"/>
  <c r="E215" i="189" s="1"/>
  <c r="P207" i="161"/>
  <c r="E202" i="189" s="1"/>
  <c r="P203" i="161"/>
  <c r="E198" i="189" s="1"/>
  <c r="P192" i="161"/>
  <c r="E187" i="189" s="1"/>
  <c r="P189" i="161"/>
  <c r="E184" i="189" s="1"/>
  <c r="P170" i="161"/>
  <c r="E165" i="189" s="1"/>
  <c r="P169" i="161"/>
  <c r="E164" i="189" s="1"/>
  <c r="P168" i="161"/>
  <c r="E163" i="189" s="1"/>
  <c r="P161" i="161"/>
  <c r="E156" i="189" s="1"/>
  <c r="P160" i="161"/>
  <c r="E155" i="189" s="1"/>
  <c r="P151" i="161"/>
  <c r="E146" i="189" s="1"/>
  <c r="P150" i="161"/>
  <c r="E145" i="189" s="1"/>
  <c r="P377" i="161"/>
  <c r="E372" i="189" s="1"/>
  <c r="P346" i="161"/>
  <c r="E341" i="189" s="1"/>
  <c r="P332" i="161"/>
  <c r="E327" i="189" s="1"/>
  <c r="P309" i="161"/>
  <c r="E304" i="189" s="1"/>
  <c r="P290" i="161"/>
  <c r="P280" i="161"/>
  <c r="E275" i="189" s="1"/>
  <c r="P271" i="161"/>
  <c r="E266" i="189" s="1"/>
  <c r="P266" i="161"/>
  <c r="E261" i="189" s="1"/>
  <c r="P265" i="161"/>
  <c r="E260" i="189" s="1"/>
  <c r="P249" i="161"/>
  <c r="E244" i="189" s="1"/>
  <c r="P233" i="161"/>
  <c r="E228" i="189" s="1"/>
  <c r="P231" i="161"/>
  <c r="E226" i="189" s="1"/>
  <c r="P230" i="161"/>
  <c r="E225" i="189" s="1"/>
  <c r="P224" i="161"/>
  <c r="E219" i="189" s="1"/>
  <c r="P218" i="161"/>
  <c r="E213" i="189" s="1"/>
  <c r="P217" i="161"/>
  <c r="E212" i="189" s="1"/>
  <c r="P200" i="161"/>
  <c r="E195" i="189" s="1"/>
  <c r="P184" i="161"/>
  <c r="E179" i="189" s="1"/>
  <c r="P183" i="161"/>
  <c r="E178" i="189" s="1"/>
  <c r="P165" i="161"/>
  <c r="E160" i="189" s="1"/>
  <c r="P162" i="161"/>
  <c r="E157" i="189" s="1"/>
  <c r="P302" i="161"/>
  <c r="E297" i="189" s="1"/>
  <c r="P297" i="161"/>
  <c r="E292" i="189" s="1"/>
  <c r="P284" i="161"/>
  <c r="E279" i="189" s="1"/>
  <c r="P276" i="161"/>
  <c r="E271" i="189" s="1"/>
  <c r="P248" i="161"/>
  <c r="E243" i="189" s="1"/>
  <c r="P241" i="161"/>
  <c r="E236" i="189" s="1"/>
  <c r="P232" i="161"/>
  <c r="E227" i="189" s="1"/>
  <c r="P223" i="161"/>
  <c r="E218" i="189" s="1"/>
  <c r="P221" i="161"/>
  <c r="E216" i="189" s="1"/>
  <c r="P215" i="161"/>
  <c r="E210" i="189" s="1"/>
  <c r="P206" i="161"/>
  <c r="E201" i="189" s="1"/>
  <c r="P202" i="161"/>
  <c r="E197" i="189" s="1"/>
  <c r="P201" i="161"/>
  <c r="E196" i="189" s="1"/>
  <c r="P159" i="161"/>
  <c r="E154" i="189" s="1"/>
  <c r="P147" i="161"/>
  <c r="E142" i="189" s="1"/>
  <c r="P138" i="161"/>
  <c r="E133" i="189" s="1"/>
  <c r="P378" i="161"/>
  <c r="E373" i="189" s="1"/>
  <c r="P367" i="161"/>
  <c r="E362" i="189" s="1"/>
  <c r="P347" i="161"/>
  <c r="E342" i="189" s="1"/>
  <c r="P311" i="161"/>
  <c r="E306" i="189" s="1"/>
  <c r="P304" i="161"/>
  <c r="E299" i="189" s="1"/>
  <c r="P291" i="161"/>
  <c r="E286" i="189" s="1"/>
  <c r="P247" i="161"/>
  <c r="E242" i="189" s="1"/>
  <c r="P240" i="161"/>
  <c r="E235" i="189" s="1"/>
  <c r="P234" i="161"/>
  <c r="E229" i="189" s="1"/>
  <c r="P222" i="161"/>
  <c r="E217" i="189" s="1"/>
  <c r="P216" i="161"/>
  <c r="E211" i="189" s="1"/>
  <c r="P205" i="161"/>
  <c r="E200" i="189" s="1"/>
  <c r="P199" i="161"/>
  <c r="E194" i="189" s="1"/>
  <c r="P191" i="161"/>
  <c r="E186" i="189" s="1"/>
  <c r="P188" i="161"/>
  <c r="E183" i="189" s="1"/>
  <c r="P177" i="161"/>
  <c r="E172" i="189" s="1"/>
  <c r="P348" i="161"/>
  <c r="E343" i="189" s="1"/>
  <c r="P324" i="161"/>
  <c r="E319" i="189" s="1"/>
  <c r="P299" i="161"/>
  <c r="E294" i="189" s="1"/>
  <c r="P258" i="161"/>
  <c r="E253" i="189" s="1"/>
  <c r="P257" i="161"/>
  <c r="E252" i="189" s="1"/>
  <c r="P246" i="161"/>
  <c r="E241" i="189" s="1"/>
  <c r="P239" i="161"/>
  <c r="E234" i="189" s="1"/>
  <c r="P229" i="161"/>
  <c r="E224" i="189" s="1"/>
  <c r="P227" i="161"/>
  <c r="E222" i="189" s="1"/>
  <c r="P212" i="161"/>
  <c r="E207" i="189" s="1"/>
  <c r="P211" i="161"/>
  <c r="E206" i="189" s="1"/>
  <c r="P208" i="161"/>
  <c r="E203" i="189" s="1"/>
  <c r="P204" i="161"/>
  <c r="E199" i="189" s="1"/>
  <c r="P198" i="161"/>
  <c r="E193" i="189" s="1"/>
  <c r="P196" i="161"/>
  <c r="E191" i="189" s="1"/>
  <c r="P195" i="161"/>
  <c r="E190" i="189" s="1"/>
  <c r="P187" i="161"/>
  <c r="E182" i="189" s="1"/>
  <c r="P186" i="161"/>
  <c r="E181" i="189" s="1"/>
  <c r="P181" i="161"/>
  <c r="E176" i="189" s="1"/>
  <c r="P178" i="161"/>
  <c r="E173" i="189" s="1"/>
  <c r="P176" i="161"/>
  <c r="E171" i="189" s="1"/>
  <c r="P153" i="161"/>
  <c r="E148" i="189" s="1"/>
  <c r="P368" i="161"/>
  <c r="E363" i="189" s="1"/>
  <c r="P293" i="161"/>
  <c r="E288" i="189" s="1"/>
  <c r="P292" i="161"/>
  <c r="E287" i="189" s="1"/>
  <c r="P287" i="161"/>
  <c r="E282" i="189" s="1"/>
  <c r="P286" i="161"/>
  <c r="E281" i="189" s="1"/>
  <c r="P269" i="161"/>
  <c r="E264" i="189" s="1"/>
  <c r="P259" i="161"/>
  <c r="E254" i="189" s="1"/>
  <c r="P256" i="161"/>
  <c r="E251" i="189" s="1"/>
  <c r="P255" i="161"/>
  <c r="E250" i="189" s="1"/>
  <c r="P253" i="161"/>
  <c r="E248" i="189" s="1"/>
  <c r="P238" i="161"/>
  <c r="E233" i="189" s="1"/>
  <c r="P228" i="161"/>
  <c r="E223" i="189" s="1"/>
  <c r="P210" i="161"/>
  <c r="E205" i="189" s="1"/>
  <c r="P173" i="161"/>
  <c r="E168" i="189" s="1"/>
  <c r="P172" i="161"/>
  <c r="E167" i="189" s="1"/>
  <c r="P146" i="161"/>
  <c r="E141" i="189" s="1"/>
  <c r="P144" i="161"/>
  <c r="E139" i="189" s="1"/>
  <c r="P132" i="161"/>
  <c r="E127" i="189" s="1"/>
  <c r="P108" i="161"/>
  <c r="E103" i="189" s="1"/>
  <c r="P107" i="161"/>
  <c r="E102" i="189" s="1"/>
  <c r="P94" i="161"/>
  <c r="E89" i="189" s="1"/>
  <c r="P93" i="161"/>
  <c r="E88" i="189" s="1"/>
  <c r="P83" i="161"/>
  <c r="E78" i="189" s="1"/>
  <c r="P73" i="161"/>
  <c r="E68" i="189" s="1"/>
  <c r="E64" i="189"/>
  <c r="P60" i="161"/>
  <c r="E55" i="189" s="1"/>
  <c r="P49" i="161"/>
  <c r="E44" i="189" s="1"/>
  <c r="P48" i="161"/>
  <c r="E43" i="189" s="1"/>
  <c r="P41" i="161"/>
  <c r="E36" i="189" s="1"/>
  <c r="P197" i="161"/>
  <c r="E192" i="189" s="1"/>
  <c r="P167" i="161"/>
  <c r="E162" i="189" s="1"/>
  <c r="P164" i="161"/>
  <c r="E159" i="189" s="1"/>
  <c r="P158" i="161"/>
  <c r="E153" i="189" s="1"/>
  <c r="P145" i="161"/>
  <c r="E140" i="189" s="1"/>
  <c r="P141" i="161"/>
  <c r="E136" i="189" s="1"/>
  <c r="P139" i="161"/>
  <c r="E134" i="189" s="1"/>
  <c r="P130" i="161"/>
  <c r="E125" i="189" s="1"/>
  <c r="P106" i="161"/>
  <c r="E101" i="189" s="1"/>
  <c r="P92" i="161"/>
  <c r="E87" i="189" s="1"/>
  <c r="P85" i="161"/>
  <c r="E80" i="189" s="1"/>
  <c r="E63" i="189"/>
  <c r="P62" i="161"/>
  <c r="E57" i="189" s="1"/>
  <c r="P58" i="161"/>
  <c r="E53" i="189" s="1"/>
  <c r="P53" i="161"/>
  <c r="E48" i="189" s="1"/>
  <c r="P43" i="161"/>
  <c r="E38" i="189" s="1"/>
  <c r="P42" i="161"/>
  <c r="E37" i="189" s="1"/>
  <c r="P40" i="161"/>
  <c r="E35" i="189" s="1"/>
  <c r="P37" i="161"/>
  <c r="E32" i="189" s="1"/>
  <c r="P185" i="161"/>
  <c r="E180" i="189" s="1"/>
  <c r="P163" i="161"/>
  <c r="E158" i="189" s="1"/>
  <c r="P157" i="161"/>
  <c r="E152" i="189" s="1"/>
  <c r="P156" i="161"/>
  <c r="E151" i="189" s="1"/>
  <c r="P148" i="161"/>
  <c r="E143" i="189" s="1"/>
  <c r="P140" i="161"/>
  <c r="E135" i="189" s="1"/>
  <c r="P135" i="161"/>
  <c r="E130" i="189" s="1"/>
  <c r="P134" i="161"/>
  <c r="E129" i="189" s="1"/>
  <c r="P126" i="161"/>
  <c r="E121" i="189" s="1"/>
  <c r="P116" i="161"/>
  <c r="E111" i="189" s="1"/>
  <c r="P115" i="161"/>
  <c r="E110" i="189" s="1"/>
  <c r="P114" i="161"/>
  <c r="E109" i="189" s="1"/>
  <c r="P113" i="161"/>
  <c r="E108" i="189" s="1"/>
  <c r="P91" i="161"/>
  <c r="E86" i="189" s="1"/>
  <c r="P82" i="161"/>
  <c r="E77" i="189" s="1"/>
  <c r="P81" i="161"/>
  <c r="E76" i="189" s="1"/>
  <c r="P77" i="161"/>
  <c r="E72" i="189" s="1"/>
  <c r="P76" i="161"/>
  <c r="E71" i="189" s="1"/>
  <c r="P75" i="161"/>
  <c r="E70" i="189" s="1"/>
  <c r="E62" i="189"/>
  <c r="P59" i="161"/>
  <c r="E54" i="189" s="1"/>
  <c r="P57" i="161"/>
  <c r="E52" i="189" s="1"/>
  <c r="P36" i="161"/>
  <c r="E31" i="189" s="1"/>
  <c r="P32" i="161"/>
  <c r="E27" i="189" s="1"/>
  <c r="P174" i="161"/>
  <c r="E169" i="189" s="1"/>
  <c r="P149" i="161"/>
  <c r="E144" i="189" s="1"/>
  <c r="P143" i="161"/>
  <c r="E138" i="189" s="1"/>
  <c r="P136" i="161"/>
  <c r="E131" i="189" s="1"/>
  <c r="P127" i="161"/>
  <c r="E122" i="189" s="1"/>
  <c r="P124" i="161"/>
  <c r="E119" i="189" s="1"/>
  <c r="P123" i="161"/>
  <c r="E118" i="189" s="1"/>
  <c r="P119" i="161"/>
  <c r="E114" i="189" s="1"/>
  <c r="P118" i="161"/>
  <c r="E113" i="189" s="1"/>
  <c r="P105" i="161"/>
  <c r="E100" i="189" s="1"/>
  <c r="P213" i="161"/>
  <c r="E208" i="189" s="1"/>
  <c r="P179" i="161"/>
  <c r="E174" i="189" s="1"/>
  <c r="P166" i="161"/>
  <c r="E161" i="189" s="1"/>
  <c r="P154" i="161"/>
  <c r="E149" i="189" s="1"/>
  <c r="P152" i="161"/>
  <c r="E147" i="189" s="1"/>
  <c r="P142" i="161"/>
  <c r="E137" i="189" s="1"/>
  <c r="P128" i="161"/>
  <c r="E123" i="189" s="1"/>
  <c r="P125" i="161"/>
  <c r="E120" i="189" s="1"/>
  <c r="P120" i="161"/>
  <c r="E115" i="189" s="1"/>
  <c r="P117" i="161"/>
  <c r="E112" i="189" s="1"/>
  <c r="P102" i="161"/>
  <c r="E97" i="189" s="1"/>
  <c r="P209" i="161"/>
  <c r="E204" i="189" s="1"/>
  <c r="P194" i="161"/>
  <c r="E189" i="189" s="1"/>
  <c r="P155" i="161"/>
  <c r="E150" i="189" s="1"/>
  <c r="P133" i="161"/>
  <c r="E128" i="189" s="1"/>
  <c r="P122" i="161"/>
  <c r="E117" i="189" s="1"/>
  <c r="P121" i="161"/>
  <c r="E116" i="189" s="1"/>
  <c r="P112" i="161"/>
  <c r="E107" i="189" s="1"/>
  <c r="P110" i="161"/>
  <c r="E105" i="189" s="1"/>
  <c r="P103" i="161"/>
  <c r="E98" i="189" s="1"/>
  <c r="P100" i="161"/>
  <c r="E95" i="189" s="1"/>
  <c r="P98" i="161"/>
  <c r="E93" i="189" s="1"/>
  <c r="P97" i="161"/>
  <c r="E92" i="189" s="1"/>
  <c r="P90" i="161"/>
  <c r="E85" i="189" s="1"/>
  <c r="P171" i="161"/>
  <c r="E166" i="189" s="1"/>
  <c r="P101" i="161"/>
  <c r="E96" i="189" s="1"/>
  <c r="P99" i="161"/>
  <c r="E94" i="189" s="1"/>
  <c r="P96" i="161"/>
  <c r="E91" i="189" s="1"/>
  <c r="P89" i="161"/>
  <c r="E84" i="189" s="1"/>
  <c r="P88" i="161"/>
  <c r="E83" i="189" s="1"/>
  <c r="P87" i="161"/>
  <c r="E82" i="189" s="1"/>
  <c r="P137" i="161"/>
  <c r="E132" i="189" s="1"/>
  <c r="P131" i="161"/>
  <c r="E126" i="189" s="1"/>
  <c r="P129" i="161"/>
  <c r="E124" i="189" s="1"/>
  <c r="P109" i="161"/>
  <c r="E104" i="189" s="1"/>
  <c r="P95" i="161"/>
  <c r="E90" i="189" s="1"/>
  <c r="P86" i="161"/>
  <c r="E81" i="189" s="1"/>
  <c r="P65" i="161"/>
  <c r="E60" i="189" s="1"/>
  <c r="P64" i="161"/>
  <c r="E59" i="189" s="1"/>
  <c r="P54" i="161"/>
  <c r="E49" i="189" s="1"/>
  <c r="P51" i="161"/>
  <c r="E46" i="189" s="1"/>
  <c r="P50" i="161"/>
  <c r="E45" i="189" s="1"/>
  <c r="P35" i="161"/>
  <c r="E30" i="189" s="1"/>
  <c r="P30" i="161"/>
  <c r="E25" i="189" s="1"/>
  <c r="E17" i="189"/>
  <c r="P44" i="161"/>
  <c r="E39" i="189" s="1"/>
  <c r="P28" i="161"/>
  <c r="E23" i="189" s="1"/>
  <c r="P78" i="161"/>
  <c r="E73" i="189" s="1"/>
  <c r="E69" i="189"/>
  <c r="P34" i="161"/>
  <c r="E29" i="189" s="1"/>
  <c r="P23" i="161"/>
  <c r="E18" i="189" s="1"/>
  <c r="P21" i="161"/>
  <c r="E16" i="189" s="1"/>
  <c r="P24" i="161"/>
  <c r="E19" i="189" s="1"/>
  <c r="P29" i="161"/>
  <c r="E24" i="189" s="1"/>
  <c r="E65" i="189"/>
  <c r="P56" i="161"/>
  <c r="E51" i="189" s="1"/>
  <c r="P47" i="161"/>
  <c r="E42" i="189" s="1"/>
  <c r="P45" i="161"/>
  <c r="E40" i="189" s="1"/>
  <c r="P80" i="161"/>
  <c r="E75" i="189" s="1"/>
  <c r="P39" i="161"/>
  <c r="E34" i="189" s="1"/>
  <c r="P38" i="161"/>
  <c r="E33" i="189" s="1"/>
  <c r="P72" i="161"/>
  <c r="E67" i="189" s="1"/>
  <c r="E66" i="189"/>
  <c r="E61" i="189"/>
  <c r="P63" i="161"/>
  <c r="E58" i="189" s="1"/>
  <c r="P46" i="161"/>
  <c r="E41" i="189" s="1"/>
  <c r="P27" i="161"/>
  <c r="E22" i="189" s="1"/>
  <c r="P26" i="161"/>
  <c r="E21" i="189" s="1"/>
  <c r="P31" i="161"/>
  <c r="E26" i="189" s="1"/>
  <c r="P61" i="161"/>
  <c r="E56" i="189" s="1"/>
  <c r="P17" i="161"/>
  <c r="E12" i="189" s="1"/>
  <c r="P15" i="161"/>
  <c r="E10" i="189" s="1"/>
  <c r="E9" i="189"/>
  <c r="E377" i="189"/>
  <c r="E41" i="180" s="1"/>
  <c r="F41" i="180" s="1"/>
  <c r="L378" i="189"/>
  <c r="Q378" i="189" s="1"/>
  <c r="R378" i="189" s="1"/>
  <c r="M378" i="189"/>
  <c r="P378" i="189" s="1"/>
  <c r="F4" i="190"/>
  <c r="G4" i="190" s="1"/>
  <c r="J31" i="201"/>
  <c r="H4" i="190"/>
  <c r="L41" i="180" l="1"/>
  <c r="M41" i="180" s="1"/>
  <c r="P41" i="180" s="1"/>
  <c r="Q41" i="180"/>
  <c r="R41" i="180" s="1"/>
  <c r="C170" i="161"/>
  <c r="D171" i="161"/>
  <c r="BL170" i="161"/>
  <c r="Q19" i="161"/>
  <c r="AE19" i="161" s="1"/>
  <c r="Y19" i="161"/>
  <c r="AA19" i="161" s="1"/>
  <c r="T19" i="161"/>
  <c r="U19" i="161" s="1"/>
  <c r="V19" i="161" s="1"/>
  <c r="R19" i="161"/>
  <c r="AL19" i="161" s="1"/>
  <c r="AM19" i="161" s="1"/>
  <c r="Z19" i="161"/>
  <c r="AS19" i="161"/>
  <c r="AT19" i="161"/>
  <c r="AU19" i="161"/>
  <c r="AR19" i="161"/>
  <c r="Z34" i="161"/>
  <c r="Q34" i="161"/>
  <c r="AE34" i="161" s="1"/>
  <c r="T34" i="161"/>
  <c r="R34" i="161"/>
  <c r="AL34" i="161" s="1"/>
  <c r="AM34" i="161" s="1"/>
  <c r="AN34" i="161" s="1"/>
  <c r="AH34" i="161" s="1"/>
  <c r="B34" i="161" s="1"/>
  <c r="Y34" i="161"/>
  <c r="AA34" i="161" s="1"/>
  <c r="AU34" i="161"/>
  <c r="AT34" i="161"/>
  <c r="AS34" i="161"/>
  <c r="AR34" i="161"/>
  <c r="Y71" i="161"/>
  <c r="AA71" i="161" s="1"/>
  <c r="T71" i="161"/>
  <c r="U71" i="161" s="1"/>
  <c r="V71" i="161" s="1"/>
  <c r="R71" i="161"/>
  <c r="AL71" i="161" s="1"/>
  <c r="AM71" i="161" s="1"/>
  <c r="Q71" i="161"/>
  <c r="AE71" i="161" s="1"/>
  <c r="Z71" i="161"/>
  <c r="AR71" i="161"/>
  <c r="AT71" i="161"/>
  <c r="AS71" i="161"/>
  <c r="AU71" i="161"/>
  <c r="Y56" i="161"/>
  <c r="AA56" i="161" s="1"/>
  <c r="Q56" i="161"/>
  <c r="AE56" i="161" s="1"/>
  <c r="R56" i="161"/>
  <c r="AL56" i="161" s="1"/>
  <c r="T56" i="161"/>
  <c r="Z56" i="161"/>
  <c r="AB56" i="161" s="1"/>
  <c r="R78" i="161"/>
  <c r="AL78" i="161" s="1"/>
  <c r="AM78" i="161" s="1"/>
  <c r="AN78" i="161" s="1"/>
  <c r="AH78" i="161" s="1"/>
  <c r="B78" i="161" s="1"/>
  <c r="T78" i="161"/>
  <c r="U78" i="161" s="1"/>
  <c r="V78" i="161" s="1"/>
  <c r="AT78" i="161"/>
  <c r="AU78" i="161"/>
  <c r="AS78" i="161"/>
  <c r="AR78" i="161"/>
  <c r="Y78" i="161"/>
  <c r="AA78" i="161" s="1"/>
  <c r="Q78" i="161"/>
  <c r="AE78" i="161" s="1"/>
  <c r="Z78" i="161"/>
  <c r="T50" i="161"/>
  <c r="U50" i="161" s="1"/>
  <c r="V50" i="161" s="1"/>
  <c r="Y50" i="161"/>
  <c r="AA50" i="161" s="1"/>
  <c r="Q50" i="161"/>
  <c r="AE50" i="161" s="1"/>
  <c r="Z50" i="161"/>
  <c r="R50" i="161"/>
  <c r="AL50" i="161" s="1"/>
  <c r="AM50" i="161" s="1"/>
  <c r="AN50" i="161" s="1"/>
  <c r="AH50" i="161" s="1"/>
  <c r="B50" i="161" s="1"/>
  <c r="AR50" i="161"/>
  <c r="AU50" i="161"/>
  <c r="AS50" i="161"/>
  <c r="AT50" i="161"/>
  <c r="T129" i="161"/>
  <c r="V129" i="161" s="1"/>
  <c r="Y129" i="161"/>
  <c r="AA129" i="161" s="1"/>
  <c r="Q129" i="161"/>
  <c r="AE129" i="161" s="1"/>
  <c r="R129" i="161"/>
  <c r="AL129" i="161" s="1"/>
  <c r="Z129" i="161"/>
  <c r="AB129" i="161" s="1"/>
  <c r="Q101" i="161"/>
  <c r="AE101" i="161" s="1"/>
  <c r="Z101" i="161"/>
  <c r="R101" i="161"/>
  <c r="AL101" i="161" s="1"/>
  <c r="AM101" i="161" s="1"/>
  <c r="AN101" i="161" s="1"/>
  <c r="AH101" i="161" s="1"/>
  <c r="B101" i="161" s="1"/>
  <c r="T101" i="161"/>
  <c r="U101" i="161" s="1"/>
  <c r="V101" i="161" s="1"/>
  <c r="Y101" i="161"/>
  <c r="AA101" i="161" s="1"/>
  <c r="AR101" i="161"/>
  <c r="AU101" i="161"/>
  <c r="AS101" i="161"/>
  <c r="AT101" i="161"/>
  <c r="T112" i="161"/>
  <c r="Z112" i="161"/>
  <c r="AB112" i="161" s="1"/>
  <c r="R112" i="161"/>
  <c r="AL112" i="161" s="1"/>
  <c r="Y112" i="161"/>
  <c r="AA112" i="161" s="1"/>
  <c r="Q112" i="161"/>
  <c r="AE112" i="161" s="1"/>
  <c r="Y117" i="161"/>
  <c r="AA117" i="161" s="1"/>
  <c r="T117" i="161"/>
  <c r="U117" i="161" s="1"/>
  <c r="V117" i="161" s="1"/>
  <c r="R117" i="161"/>
  <c r="AL117" i="161" s="1"/>
  <c r="AM117" i="161" s="1"/>
  <c r="AN117" i="161" s="1"/>
  <c r="AH117" i="161" s="1"/>
  <c r="B117" i="161" s="1"/>
  <c r="Z117" i="161"/>
  <c r="Q117" i="161"/>
  <c r="AE117" i="161" s="1"/>
  <c r="AS117" i="161"/>
  <c r="AT117" i="161"/>
  <c r="AR117" i="161"/>
  <c r="AU117" i="161"/>
  <c r="Y179" i="161"/>
  <c r="AA179" i="161" s="1"/>
  <c r="AT179" i="161"/>
  <c r="R179" i="161"/>
  <c r="AL179" i="161" s="1"/>
  <c r="AM179" i="161" s="1"/>
  <c r="AN179" i="161" s="1"/>
  <c r="AH179" i="161" s="1"/>
  <c r="B179" i="161" s="1"/>
  <c r="Q179" i="161"/>
  <c r="AE179" i="161" s="1"/>
  <c r="AS179" i="161"/>
  <c r="AU179" i="161"/>
  <c r="AR179" i="161"/>
  <c r="T179" i="161"/>
  <c r="U179" i="161" s="1"/>
  <c r="V179" i="161" s="1"/>
  <c r="Z179" i="161"/>
  <c r="T136" i="161"/>
  <c r="V136" i="161" s="1"/>
  <c r="Q136" i="161"/>
  <c r="AE136" i="161" s="1"/>
  <c r="Y136" i="161"/>
  <c r="AA136" i="161" s="1"/>
  <c r="Z136" i="161"/>
  <c r="AB136" i="161" s="1"/>
  <c r="R136" i="161"/>
  <c r="AL136" i="161" s="1"/>
  <c r="Y67" i="161"/>
  <c r="AA67" i="161" s="1"/>
  <c r="Q67" i="161"/>
  <c r="AE67" i="161" s="1"/>
  <c r="R67" i="161"/>
  <c r="AL67" i="161" s="1"/>
  <c r="AM67" i="161" s="1"/>
  <c r="T67" i="161"/>
  <c r="U67" i="161" s="1"/>
  <c r="V67" i="161" s="1"/>
  <c r="Z67" i="161"/>
  <c r="AS67" i="161"/>
  <c r="AU67" i="161"/>
  <c r="AR67" i="161"/>
  <c r="AT67" i="161"/>
  <c r="T114" i="161"/>
  <c r="U114" i="161" s="1"/>
  <c r="V114" i="161" s="1"/>
  <c r="Q114" i="161"/>
  <c r="AE114" i="161" s="1"/>
  <c r="Z114" i="161"/>
  <c r="R114" i="161"/>
  <c r="AL114" i="161" s="1"/>
  <c r="AM114" i="161" s="1"/>
  <c r="AN114" i="161" s="1"/>
  <c r="AH114" i="161" s="1"/>
  <c r="B114" i="161" s="1"/>
  <c r="Y114" i="161"/>
  <c r="AA114" i="161" s="1"/>
  <c r="AS114" i="161"/>
  <c r="AT114" i="161"/>
  <c r="AU114" i="161"/>
  <c r="AR114" i="161"/>
  <c r="T156" i="161"/>
  <c r="U156" i="161" s="1"/>
  <c r="V156" i="161" s="1"/>
  <c r="Z156" i="161"/>
  <c r="Q156" i="161"/>
  <c r="AE156" i="161" s="1"/>
  <c r="Y156" i="161"/>
  <c r="AA156" i="161" s="1"/>
  <c r="R156" i="161"/>
  <c r="AL156" i="161" s="1"/>
  <c r="AM156" i="161" s="1"/>
  <c r="AN156" i="161" s="1"/>
  <c r="AH156" i="161" s="1"/>
  <c r="B156" i="161" s="1"/>
  <c r="AR156" i="161"/>
  <c r="AU156" i="161"/>
  <c r="AS156" i="161"/>
  <c r="AT156" i="161"/>
  <c r="R53" i="161"/>
  <c r="AL53" i="161" s="1"/>
  <c r="AM53" i="161" s="1"/>
  <c r="AN53" i="161" s="1"/>
  <c r="AH53" i="161" s="1"/>
  <c r="B53" i="161" s="1"/>
  <c r="Y53" i="161"/>
  <c r="AA53" i="161" s="1"/>
  <c r="Z53" i="161"/>
  <c r="Q53" i="161"/>
  <c r="AE53" i="161" s="1"/>
  <c r="T53" i="161"/>
  <c r="AS53" i="161"/>
  <c r="AT53" i="161"/>
  <c r="AR53" i="161"/>
  <c r="AU53" i="161"/>
  <c r="Z139" i="161"/>
  <c r="T139" i="161"/>
  <c r="U139" i="161" s="1"/>
  <c r="V139" i="161" s="1"/>
  <c r="Y139" i="161"/>
  <c r="AA139" i="161" s="1"/>
  <c r="R139" i="161"/>
  <c r="AL139" i="161" s="1"/>
  <c r="AM139" i="161" s="1"/>
  <c r="AN139" i="161" s="1"/>
  <c r="AH139" i="161" s="1"/>
  <c r="B139" i="161" s="1"/>
  <c r="Q139" i="161"/>
  <c r="AE139" i="161" s="1"/>
  <c r="AS139" i="161"/>
  <c r="AT139" i="161"/>
  <c r="AU139" i="161"/>
  <c r="AR139" i="161"/>
  <c r="T48" i="161"/>
  <c r="U48" i="161" s="1"/>
  <c r="V48" i="161" s="1"/>
  <c r="Y48" i="161"/>
  <c r="AA48" i="161" s="1"/>
  <c r="R48" i="161"/>
  <c r="AL48" i="161" s="1"/>
  <c r="AM48" i="161" s="1"/>
  <c r="AN48" i="161" s="1"/>
  <c r="AH48" i="161" s="1"/>
  <c r="B48" i="161" s="1"/>
  <c r="Z48" i="161"/>
  <c r="Q48" i="161"/>
  <c r="AE48" i="161" s="1"/>
  <c r="AU48" i="161"/>
  <c r="AR48" i="161"/>
  <c r="AS48" i="161"/>
  <c r="AT48" i="161"/>
  <c r="AS107" i="161"/>
  <c r="Y107" i="161"/>
  <c r="AA107" i="161" s="1"/>
  <c r="T107" i="161"/>
  <c r="U107" i="161" s="1"/>
  <c r="V107" i="161" s="1"/>
  <c r="R107" i="161"/>
  <c r="AL107" i="161" s="1"/>
  <c r="AM107" i="161" s="1"/>
  <c r="AN107" i="161" s="1"/>
  <c r="AH107" i="161" s="1"/>
  <c r="B107" i="161" s="1"/>
  <c r="Z107" i="161"/>
  <c r="Q107" i="161"/>
  <c r="AE107" i="161" s="1"/>
  <c r="AT107" i="161"/>
  <c r="AR107" i="161"/>
  <c r="AU107" i="161"/>
  <c r="Y228" i="161"/>
  <c r="AA228" i="161" s="1"/>
  <c r="AT228" i="161"/>
  <c r="R228" i="161"/>
  <c r="AL228" i="161" s="1"/>
  <c r="AM228" i="161" s="1"/>
  <c r="AN228" i="161" s="1"/>
  <c r="AH228" i="161" s="1"/>
  <c r="B228" i="161" s="1"/>
  <c r="AR228" i="161"/>
  <c r="T228" i="161"/>
  <c r="U228" i="161" s="1"/>
  <c r="V228" i="161" s="1"/>
  <c r="AU228" i="161"/>
  <c r="Z228" i="161"/>
  <c r="AS228" i="161"/>
  <c r="Q228" i="161"/>
  <c r="AE228" i="161" s="1"/>
  <c r="R287" i="161"/>
  <c r="AL287" i="161" s="1"/>
  <c r="AM287" i="161" s="1"/>
  <c r="AN287" i="161" s="1"/>
  <c r="AH287" i="161" s="1"/>
  <c r="B287" i="161" s="1"/>
  <c r="T287" i="161"/>
  <c r="U287" i="161" s="1"/>
  <c r="V287" i="161" s="1"/>
  <c r="Q287" i="161"/>
  <c r="AE287" i="161" s="1"/>
  <c r="Y287" i="161"/>
  <c r="AA287" i="161" s="1"/>
  <c r="Z287" i="161"/>
  <c r="AR287" i="161"/>
  <c r="AT287" i="161"/>
  <c r="AU287" i="161"/>
  <c r="AS287" i="161"/>
  <c r="Y186" i="161"/>
  <c r="AA186" i="161" s="1"/>
  <c r="R186" i="161"/>
  <c r="AL186" i="161" s="1"/>
  <c r="AM186" i="161" s="1"/>
  <c r="AN186" i="161" s="1"/>
  <c r="AH186" i="161" s="1"/>
  <c r="B186" i="161" s="1"/>
  <c r="Q186" i="161"/>
  <c r="AE186" i="161" s="1"/>
  <c r="Z186" i="161"/>
  <c r="T186" i="161"/>
  <c r="U186" i="161" s="1"/>
  <c r="V186" i="161" s="1"/>
  <c r="AU186" i="161"/>
  <c r="AT186" i="161"/>
  <c r="AS186" i="161"/>
  <c r="AR186" i="161"/>
  <c r="Y212" i="161"/>
  <c r="AA212" i="161" s="1"/>
  <c r="T212" i="161"/>
  <c r="V212" i="161" s="1"/>
  <c r="Q212" i="161"/>
  <c r="AE212" i="161" s="1"/>
  <c r="R212" i="161"/>
  <c r="AL212" i="161" s="1"/>
  <c r="Z212" i="161"/>
  <c r="AB212" i="161" s="1"/>
  <c r="Y324" i="161"/>
  <c r="AA324" i="161" s="1"/>
  <c r="Z324" i="161"/>
  <c r="AB324" i="161" s="1"/>
  <c r="T324" i="161"/>
  <c r="V324" i="161" s="1"/>
  <c r="R324" i="161"/>
  <c r="AL324" i="161" s="1"/>
  <c r="Q324" i="161"/>
  <c r="AE324" i="161" s="1"/>
  <c r="R222" i="161"/>
  <c r="AL222" i="161" s="1"/>
  <c r="AM222" i="161" s="1"/>
  <c r="AN222" i="161" s="1"/>
  <c r="AH222" i="161" s="1"/>
  <c r="B222" i="161" s="1"/>
  <c r="Y222" i="161"/>
  <c r="AA222" i="161" s="1"/>
  <c r="T222" i="161"/>
  <c r="U222" i="161" s="1"/>
  <c r="V222" i="161" s="1"/>
  <c r="Z222" i="161"/>
  <c r="Q222" i="161"/>
  <c r="AE222" i="161" s="1"/>
  <c r="AT222" i="161"/>
  <c r="AR222" i="161"/>
  <c r="AU222" i="161"/>
  <c r="AS222" i="161"/>
  <c r="R367" i="161"/>
  <c r="AL367" i="161" s="1"/>
  <c r="AM367" i="161" s="1"/>
  <c r="AN367" i="161" s="1"/>
  <c r="AH367" i="161" s="1"/>
  <c r="B367" i="161" s="1"/>
  <c r="Y367" i="161"/>
  <c r="AA367" i="161" s="1"/>
  <c r="T367" i="161"/>
  <c r="U367" i="161" s="1"/>
  <c r="V367" i="161" s="1"/>
  <c r="Q367" i="161"/>
  <c r="AE367" i="161" s="1"/>
  <c r="Z367" i="161"/>
  <c r="AU367" i="161"/>
  <c r="AR367" i="161"/>
  <c r="AS367" i="161"/>
  <c r="AT367" i="161"/>
  <c r="Y215" i="161"/>
  <c r="AA215" i="161" s="1"/>
  <c r="R215" i="161"/>
  <c r="AL215" i="161" s="1"/>
  <c r="AM215" i="161" s="1"/>
  <c r="AN215" i="161" s="1"/>
  <c r="AH215" i="161" s="1"/>
  <c r="B215" i="161" s="1"/>
  <c r="Q215" i="161"/>
  <c r="AE215" i="161" s="1"/>
  <c r="T215" i="161"/>
  <c r="U215" i="161" s="1"/>
  <c r="V215" i="161" s="1"/>
  <c r="Z215" i="161"/>
  <c r="AT215" i="161"/>
  <c r="AR215" i="161"/>
  <c r="AU215" i="161"/>
  <c r="AS215" i="161"/>
  <c r="R297" i="161"/>
  <c r="AL297" i="161" s="1"/>
  <c r="AM297" i="161" s="1"/>
  <c r="AN297" i="161" s="1"/>
  <c r="AH297" i="161" s="1"/>
  <c r="B297" i="161" s="1"/>
  <c r="T297" i="161"/>
  <c r="U297" i="161" s="1"/>
  <c r="V297" i="161" s="1"/>
  <c r="Q297" i="161"/>
  <c r="AE297" i="161" s="1"/>
  <c r="Z297" i="161"/>
  <c r="Y297" i="161"/>
  <c r="AA297" i="161" s="1"/>
  <c r="AT297" i="161"/>
  <c r="AU297" i="161"/>
  <c r="AR297" i="161"/>
  <c r="AS297" i="161"/>
  <c r="T218" i="161"/>
  <c r="U218" i="161" s="1"/>
  <c r="V218" i="161" s="1"/>
  <c r="R218" i="161"/>
  <c r="AL218" i="161" s="1"/>
  <c r="AM218" i="161" s="1"/>
  <c r="AN218" i="161" s="1"/>
  <c r="AH218" i="161" s="1"/>
  <c r="B218" i="161" s="1"/>
  <c r="Z218" i="161"/>
  <c r="Y218" i="161"/>
  <c r="AA218" i="161" s="1"/>
  <c r="Q218" i="161"/>
  <c r="AE218" i="161" s="1"/>
  <c r="AU218" i="161"/>
  <c r="AT218" i="161"/>
  <c r="AS218" i="161"/>
  <c r="AR218" i="161"/>
  <c r="R271" i="161"/>
  <c r="AL271" i="161" s="1"/>
  <c r="Z271" i="161"/>
  <c r="AB271" i="161" s="1"/>
  <c r="Q271" i="161"/>
  <c r="AE271" i="161" s="1"/>
  <c r="Y271" i="161"/>
  <c r="AA271" i="161" s="1"/>
  <c r="T271" i="161"/>
  <c r="V271" i="161" s="1"/>
  <c r="Q151" i="161"/>
  <c r="AE151" i="161" s="1"/>
  <c r="Z151" i="161"/>
  <c r="AB151" i="161" s="1"/>
  <c r="T151" i="161"/>
  <c r="V151" i="161" s="1"/>
  <c r="R151" i="161"/>
  <c r="AL151" i="161" s="1"/>
  <c r="Y151" i="161"/>
  <c r="AA151" i="161" s="1"/>
  <c r="Z203" i="161"/>
  <c r="AB203" i="161" s="1"/>
  <c r="Y203" i="161"/>
  <c r="AA203" i="161" s="1"/>
  <c r="T203" i="161"/>
  <c r="V203" i="161" s="1"/>
  <c r="R203" i="161"/>
  <c r="AL203" i="161" s="1"/>
  <c r="Q203" i="161"/>
  <c r="AE203" i="161" s="1"/>
  <c r="T296" i="161"/>
  <c r="U296" i="161" s="1"/>
  <c r="V296" i="161" s="1"/>
  <c r="Q296" i="161"/>
  <c r="AE296" i="161" s="1"/>
  <c r="R296" i="161"/>
  <c r="AL296" i="161" s="1"/>
  <c r="AM296" i="161" s="1"/>
  <c r="AN296" i="161" s="1"/>
  <c r="AH296" i="161" s="1"/>
  <c r="B296" i="161" s="1"/>
  <c r="Z296" i="161"/>
  <c r="Y296" i="161"/>
  <c r="AA296" i="161" s="1"/>
  <c r="AU296" i="161"/>
  <c r="AT296" i="161"/>
  <c r="AS296" i="161"/>
  <c r="AR296" i="161"/>
  <c r="Y252" i="161"/>
  <c r="AA252" i="161" s="1"/>
  <c r="Z252" i="161"/>
  <c r="R252" i="161"/>
  <c r="AL252" i="161" s="1"/>
  <c r="AM252" i="161" s="1"/>
  <c r="AN252" i="161" s="1"/>
  <c r="AH252" i="161" s="1"/>
  <c r="B252" i="161" s="1"/>
  <c r="Q252" i="161"/>
  <c r="AE252" i="161" s="1"/>
  <c r="T252" i="161"/>
  <c r="U252" i="161" s="1"/>
  <c r="V252" i="161" s="1"/>
  <c r="AS252" i="161"/>
  <c r="AT252" i="161"/>
  <c r="AU252" i="161"/>
  <c r="AR252" i="161"/>
  <c r="Y236" i="161"/>
  <c r="AA236" i="161" s="1"/>
  <c r="Z236" i="161"/>
  <c r="R236" i="161"/>
  <c r="AL236" i="161" s="1"/>
  <c r="AM236" i="161" s="1"/>
  <c r="AN236" i="161" s="1"/>
  <c r="AH236" i="161" s="1"/>
  <c r="B236" i="161" s="1"/>
  <c r="Q236" i="161"/>
  <c r="AE236" i="161" s="1"/>
  <c r="T236" i="161"/>
  <c r="U236" i="161" s="1"/>
  <c r="V236" i="161" s="1"/>
  <c r="AS236" i="161"/>
  <c r="AT236" i="161"/>
  <c r="AR236" i="161"/>
  <c r="AU236" i="161"/>
  <c r="R283" i="161"/>
  <c r="AL283" i="161" s="1"/>
  <c r="AM283" i="161" s="1"/>
  <c r="AN283" i="161" s="1"/>
  <c r="AH283" i="161" s="1"/>
  <c r="B283" i="161" s="1"/>
  <c r="Y283" i="161"/>
  <c r="AA283" i="161" s="1"/>
  <c r="Q283" i="161"/>
  <c r="AE283" i="161" s="1"/>
  <c r="Z283" i="161"/>
  <c r="T283" i="161"/>
  <c r="U283" i="161" s="1"/>
  <c r="V283" i="161" s="1"/>
  <c r="AT283" i="161"/>
  <c r="AU283" i="161"/>
  <c r="AR283" i="161"/>
  <c r="AS283" i="161"/>
  <c r="T340" i="161"/>
  <c r="U340" i="161" s="1"/>
  <c r="V340" i="161" s="1"/>
  <c r="Y340" i="161"/>
  <c r="AA340" i="161" s="1"/>
  <c r="Z340" i="161"/>
  <c r="Q340" i="161"/>
  <c r="AE340" i="161" s="1"/>
  <c r="R340" i="161"/>
  <c r="AL340" i="161" s="1"/>
  <c r="AM340" i="161" s="1"/>
  <c r="AN340" i="161" s="1"/>
  <c r="AH340" i="161" s="1"/>
  <c r="B340" i="161" s="1"/>
  <c r="AS340" i="161"/>
  <c r="AT340" i="161"/>
  <c r="AU340" i="161"/>
  <c r="AR340" i="161"/>
  <c r="T371" i="161"/>
  <c r="V371" i="161" s="1"/>
  <c r="R371" i="161"/>
  <c r="AL371" i="161" s="1"/>
  <c r="Q371" i="161"/>
  <c r="AE371" i="161" s="1"/>
  <c r="Z371" i="161"/>
  <c r="AB371" i="161" s="1"/>
  <c r="Y371" i="161"/>
  <c r="AA371" i="161" s="1"/>
  <c r="Y330" i="161"/>
  <c r="AA330" i="161" s="1"/>
  <c r="Z330" i="161"/>
  <c r="Q330" i="161"/>
  <c r="AE330" i="161" s="1"/>
  <c r="T330" i="161"/>
  <c r="R330" i="161"/>
  <c r="AL330" i="161" s="1"/>
  <c r="AM330" i="161" s="1"/>
  <c r="AN330" i="161" s="1"/>
  <c r="AH330" i="161" s="1"/>
  <c r="B330" i="161" s="1"/>
  <c r="AT330" i="161"/>
  <c r="AR330" i="161"/>
  <c r="AU330" i="161"/>
  <c r="AS330" i="161"/>
  <c r="Z260" i="161"/>
  <c r="Q260" i="161"/>
  <c r="AE260" i="161" s="1"/>
  <c r="Y260" i="161"/>
  <c r="AA260" i="161" s="1"/>
  <c r="R260" i="161"/>
  <c r="AL260" i="161" s="1"/>
  <c r="AM260" i="161" s="1"/>
  <c r="AN260" i="161" s="1"/>
  <c r="AH260" i="161" s="1"/>
  <c r="B260" i="161" s="1"/>
  <c r="T260" i="161"/>
  <c r="U260" i="161" s="1"/>
  <c r="V260" i="161" s="1"/>
  <c r="AT260" i="161"/>
  <c r="AS260" i="161"/>
  <c r="AU260" i="161"/>
  <c r="AR260" i="161"/>
  <c r="R336" i="161"/>
  <c r="AL336" i="161" s="1"/>
  <c r="AM336" i="161" s="1"/>
  <c r="AN336" i="161" s="1"/>
  <c r="AH336" i="161" s="1"/>
  <c r="B336" i="161" s="1"/>
  <c r="Q336" i="161"/>
  <c r="AE336" i="161" s="1"/>
  <c r="Y336" i="161"/>
  <c r="AA336" i="161" s="1"/>
  <c r="T336" i="161"/>
  <c r="U336" i="161" s="1"/>
  <c r="V336" i="161" s="1"/>
  <c r="Z336" i="161"/>
  <c r="AS336" i="161"/>
  <c r="AT336" i="161"/>
  <c r="AU336" i="161"/>
  <c r="AR336" i="161"/>
  <c r="R319" i="161"/>
  <c r="AL319" i="161" s="1"/>
  <c r="AM319" i="161" s="1"/>
  <c r="AN319" i="161" s="1"/>
  <c r="AH319" i="161" s="1"/>
  <c r="B319" i="161" s="1"/>
  <c r="Z319" i="161"/>
  <c r="Q319" i="161"/>
  <c r="AE319" i="161" s="1"/>
  <c r="T319" i="161"/>
  <c r="U319" i="161" s="1"/>
  <c r="V319" i="161" s="1"/>
  <c r="Y319" i="161"/>
  <c r="AA319" i="161" s="1"/>
  <c r="AR319" i="161"/>
  <c r="AS319" i="161"/>
  <c r="AT319" i="161"/>
  <c r="AU319" i="161"/>
  <c r="Q338" i="161"/>
  <c r="AE338" i="161" s="1"/>
  <c r="R338" i="161"/>
  <c r="AL338" i="161" s="1"/>
  <c r="AM338" i="161" s="1"/>
  <c r="AN338" i="161" s="1"/>
  <c r="AH338" i="161" s="1"/>
  <c r="B338" i="161" s="1"/>
  <c r="Y338" i="161"/>
  <c r="AA338" i="161" s="1"/>
  <c r="T338" i="161"/>
  <c r="U338" i="161" s="1"/>
  <c r="V338" i="161" s="1"/>
  <c r="Z338" i="161"/>
  <c r="AU338" i="161"/>
  <c r="AT338" i="161"/>
  <c r="AS338" i="161"/>
  <c r="AR338" i="161"/>
  <c r="Y314" i="161"/>
  <c r="AA314" i="161" s="1"/>
  <c r="Z314" i="161"/>
  <c r="AB314" i="161" s="1"/>
  <c r="Q314" i="161"/>
  <c r="AE314" i="161" s="1"/>
  <c r="T314" i="161"/>
  <c r="V314" i="161" s="1"/>
  <c r="R314" i="161"/>
  <c r="AL314" i="161" s="1"/>
  <c r="Y70" i="161"/>
  <c r="AA70" i="161" s="1"/>
  <c r="R70" i="161"/>
  <c r="AL70" i="161" s="1"/>
  <c r="AM70" i="161" s="1"/>
  <c r="Q70" i="161"/>
  <c r="AE70" i="161" s="1"/>
  <c r="Z70" i="161"/>
  <c r="T70" i="161"/>
  <c r="U70" i="161" s="1"/>
  <c r="V70" i="161" s="1"/>
  <c r="AT70" i="161"/>
  <c r="AS70" i="161"/>
  <c r="AU70" i="161"/>
  <c r="AR70" i="161"/>
  <c r="T171" i="161"/>
  <c r="U171" i="161" s="1"/>
  <c r="V171" i="161" s="1"/>
  <c r="Y171" i="161"/>
  <c r="AA171" i="161" s="1"/>
  <c r="R171" i="161"/>
  <c r="AL171" i="161" s="1"/>
  <c r="AM171" i="161" s="1"/>
  <c r="AN171" i="161" s="1"/>
  <c r="AH171" i="161" s="1"/>
  <c r="B171" i="161" s="1"/>
  <c r="Q171" i="161"/>
  <c r="AE171" i="161" s="1"/>
  <c r="Z171" i="161"/>
  <c r="AU171" i="161"/>
  <c r="AT171" i="161"/>
  <c r="AS171" i="161"/>
  <c r="AR171" i="161"/>
  <c r="T121" i="161"/>
  <c r="U121" i="161" s="1"/>
  <c r="V121" i="161" s="1"/>
  <c r="Q121" i="161"/>
  <c r="AE121" i="161" s="1"/>
  <c r="R121" i="161"/>
  <c r="AL121" i="161" s="1"/>
  <c r="AM121" i="161" s="1"/>
  <c r="AN121" i="161" s="1"/>
  <c r="AH121" i="161" s="1"/>
  <c r="B121" i="161" s="1"/>
  <c r="Y121" i="161"/>
  <c r="AA121" i="161" s="1"/>
  <c r="Z121" i="161"/>
  <c r="AT121" i="161"/>
  <c r="AR121" i="161"/>
  <c r="AU121" i="161"/>
  <c r="AS121" i="161"/>
  <c r="T120" i="161"/>
  <c r="U120" i="161" s="1"/>
  <c r="V120" i="161" s="1"/>
  <c r="Q120" i="161"/>
  <c r="AE120" i="161" s="1"/>
  <c r="Z120" i="161"/>
  <c r="R120" i="161"/>
  <c r="AL120" i="161" s="1"/>
  <c r="AM120" i="161" s="1"/>
  <c r="AN120" i="161" s="1"/>
  <c r="AH120" i="161" s="1"/>
  <c r="B120" i="161" s="1"/>
  <c r="Y120" i="161"/>
  <c r="AA120" i="161" s="1"/>
  <c r="AT120" i="161"/>
  <c r="AU120" i="161"/>
  <c r="AR120" i="161"/>
  <c r="AS120" i="161"/>
  <c r="Y213" i="161"/>
  <c r="AA213" i="161" s="1"/>
  <c r="Z213" i="161"/>
  <c r="Q213" i="161"/>
  <c r="AE213" i="161" s="1"/>
  <c r="R213" i="161"/>
  <c r="AL213" i="161" s="1"/>
  <c r="AM213" i="161" s="1"/>
  <c r="AN213" i="161" s="1"/>
  <c r="AH213" i="161" s="1"/>
  <c r="B213" i="161" s="1"/>
  <c r="T213" i="161"/>
  <c r="U213" i="161" s="1"/>
  <c r="V213" i="161" s="1"/>
  <c r="AS213" i="161"/>
  <c r="AT213" i="161"/>
  <c r="AU213" i="161"/>
  <c r="AR213" i="161"/>
  <c r="T143" i="161"/>
  <c r="U143" i="161" s="1"/>
  <c r="V143" i="161" s="1"/>
  <c r="R143" i="161"/>
  <c r="AL143" i="161" s="1"/>
  <c r="AM143" i="161" s="1"/>
  <c r="AN143" i="161" s="1"/>
  <c r="AH143" i="161" s="1"/>
  <c r="B143" i="161" s="1"/>
  <c r="Y143" i="161"/>
  <c r="AA143" i="161" s="1"/>
  <c r="Q143" i="161"/>
  <c r="AE143" i="161" s="1"/>
  <c r="Z143" i="161"/>
  <c r="AS143" i="161"/>
  <c r="AU143" i="161"/>
  <c r="AT143" i="161"/>
  <c r="AR143" i="161"/>
  <c r="R75" i="161"/>
  <c r="AL75" i="161" s="1"/>
  <c r="AM75" i="161" s="1"/>
  <c r="AN75" i="161" s="1"/>
  <c r="AH75" i="161" s="1"/>
  <c r="B75" i="161" s="1"/>
  <c r="Q75" i="161"/>
  <c r="AE75" i="161" s="1"/>
  <c r="T75" i="161"/>
  <c r="U75" i="161" s="1"/>
  <c r="V75" i="161" s="1"/>
  <c r="AS75" i="161"/>
  <c r="Z75" i="161"/>
  <c r="AU75" i="161"/>
  <c r="AR75" i="161"/>
  <c r="AW75" i="161" s="1"/>
  <c r="AT75" i="161"/>
  <c r="Y75" i="161"/>
  <c r="AA75" i="161" s="1"/>
  <c r="T115" i="161"/>
  <c r="U115" i="161" s="1"/>
  <c r="V115" i="161" s="1"/>
  <c r="R115" i="161"/>
  <c r="AL115" i="161" s="1"/>
  <c r="AM115" i="161" s="1"/>
  <c r="AN115" i="161" s="1"/>
  <c r="AH115" i="161" s="1"/>
  <c r="B115" i="161" s="1"/>
  <c r="Q115" i="161"/>
  <c r="AE115" i="161" s="1"/>
  <c r="Z115" i="161"/>
  <c r="Y115" i="161"/>
  <c r="AA115" i="161" s="1"/>
  <c r="AT115" i="161"/>
  <c r="AS115" i="161"/>
  <c r="AU115" i="161"/>
  <c r="AR115" i="161"/>
  <c r="R157" i="161"/>
  <c r="AL157" i="161" s="1"/>
  <c r="AM157" i="161" s="1"/>
  <c r="AN157" i="161" s="1"/>
  <c r="AH157" i="161" s="1"/>
  <c r="B157" i="161" s="1"/>
  <c r="Q157" i="161"/>
  <c r="AE157" i="161" s="1"/>
  <c r="Y157" i="161"/>
  <c r="AA157" i="161" s="1"/>
  <c r="T157" i="161"/>
  <c r="U157" i="161" s="1"/>
  <c r="V157" i="161" s="1"/>
  <c r="Z157" i="161"/>
  <c r="AU157" i="161"/>
  <c r="AT157" i="161"/>
  <c r="AR157" i="161"/>
  <c r="AS157" i="161"/>
  <c r="Y58" i="161"/>
  <c r="AA58" i="161" s="1"/>
  <c r="R58" i="161"/>
  <c r="AL58" i="161" s="1"/>
  <c r="AM58" i="161" s="1"/>
  <c r="T58" i="161"/>
  <c r="U58" i="161" s="1"/>
  <c r="V58" i="161" s="1"/>
  <c r="Z58" i="161"/>
  <c r="Q58" i="161"/>
  <c r="AE58" i="161" s="1"/>
  <c r="AT58" i="161"/>
  <c r="AS58" i="161"/>
  <c r="AR58" i="161"/>
  <c r="AU58" i="161"/>
  <c r="T141" i="161"/>
  <c r="V141" i="161" s="1"/>
  <c r="Q141" i="161"/>
  <c r="AE141" i="161" s="1"/>
  <c r="Y141" i="161"/>
  <c r="AA141" i="161" s="1"/>
  <c r="R141" i="161"/>
  <c r="AL141" i="161" s="1"/>
  <c r="Z141" i="161"/>
  <c r="AB141" i="161" s="1"/>
  <c r="R49" i="161"/>
  <c r="AL49" i="161" s="1"/>
  <c r="AM49" i="161" s="1"/>
  <c r="AN49" i="161" s="1"/>
  <c r="AH49" i="161" s="1"/>
  <c r="B49" i="161" s="1"/>
  <c r="T49" i="161"/>
  <c r="U49" i="161" s="1"/>
  <c r="V49" i="161" s="1"/>
  <c r="Q49" i="161"/>
  <c r="AE49" i="161" s="1"/>
  <c r="Z49" i="161"/>
  <c r="Y49" i="161"/>
  <c r="AA49" i="161" s="1"/>
  <c r="AU49" i="161"/>
  <c r="AS49" i="161"/>
  <c r="AT49" i="161"/>
  <c r="AR49" i="161"/>
  <c r="AS108" i="161"/>
  <c r="T108" i="161"/>
  <c r="U108" i="161" s="1"/>
  <c r="V108" i="161" s="1"/>
  <c r="Q108" i="161"/>
  <c r="AE108" i="161" s="1"/>
  <c r="Z108" i="161"/>
  <c r="R108" i="161"/>
  <c r="AL108" i="161" s="1"/>
  <c r="AM108" i="161" s="1"/>
  <c r="AN108" i="161" s="1"/>
  <c r="AH108" i="161" s="1"/>
  <c r="B108" i="161" s="1"/>
  <c r="Y108" i="161"/>
  <c r="AA108" i="161" s="1"/>
  <c r="AT108" i="161"/>
  <c r="AU108" i="161"/>
  <c r="AR108" i="161"/>
  <c r="R238" i="161"/>
  <c r="AL238" i="161" s="1"/>
  <c r="AM238" i="161" s="1"/>
  <c r="AN238" i="161" s="1"/>
  <c r="AH238" i="161" s="1"/>
  <c r="B238" i="161" s="1"/>
  <c r="Q238" i="161"/>
  <c r="AE238" i="161" s="1"/>
  <c r="Z238" i="161"/>
  <c r="AU238" i="161"/>
  <c r="AS238" i="161"/>
  <c r="T238" i="161"/>
  <c r="U238" i="161" s="1"/>
  <c r="V238" i="161" s="1"/>
  <c r="AT238" i="161"/>
  <c r="Y238" i="161"/>
  <c r="AA238" i="161" s="1"/>
  <c r="AR238" i="161"/>
  <c r="Z292" i="161"/>
  <c r="Q292" i="161"/>
  <c r="AE292" i="161" s="1"/>
  <c r="R292" i="161"/>
  <c r="AL292" i="161" s="1"/>
  <c r="AM292" i="161" s="1"/>
  <c r="AN292" i="161" s="1"/>
  <c r="AH292" i="161" s="1"/>
  <c r="B292" i="161" s="1"/>
  <c r="T292" i="161"/>
  <c r="U292" i="161" s="1"/>
  <c r="V292" i="161" s="1"/>
  <c r="Y292" i="161"/>
  <c r="AA292" i="161" s="1"/>
  <c r="AS292" i="161"/>
  <c r="AT292" i="161"/>
  <c r="AU292" i="161"/>
  <c r="AR292" i="161"/>
  <c r="AT187" i="161"/>
  <c r="T187" i="161"/>
  <c r="U187" i="161" s="1"/>
  <c r="V187" i="161" s="1"/>
  <c r="R187" i="161"/>
  <c r="AL187" i="161" s="1"/>
  <c r="AM187" i="161" s="1"/>
  <c r="AN187" i="161" s="1"/>
  <c r="AH187" i="161" s="1"/>
  <c r="B187" i="161" s="1"/>
  <c r="Q187" i="161"/>
  <c r="AE187" i="161" s="1"/>
  <c r="Z187" i="161"/>
  <c r="Y187" i="161"/>
  <c r="AA187" i="161" s="1"/>
  <c r="AS187" i="161"/>
  <c r="AU187" i="161"/>
  <c r="AR187" i="161"/>
  <c r="R227" i="161"/>
  <c r="AL227" i="161" s="1"/>
  <c r="AM227" i="161" s="1"/>
  <c r="AN227" i="161" s="1"/>
  <c r="AH227" i="161" s="1"/>
  <c r="B227" i="161" s="1"/>
  <c r="T227" i="161"/>
  <c r="U227" i="161" s="1"/>
  <c r="V227" i="161" s="1"/>
  <c r="Y227" i="161"/>
  <c r="AA227" i="161" s="1"/>
  <c r="Q227" i="161"/>
  <c r="AE227" i="161" s="1"/>
  <c r="Z227" i="161"/>
  <c r="AU227" i="161"/>
  <c r="AR227" i="161"/>
  <c r="AS227" i="161"/>
  <c r="AT227" i="161"/>
  <c r="Q348" i="161"/>
  <c r="AE348" i="161" s="1"/>
  <c r="Y348" i="161"/>
  <c r="AA348" i="161" s="1"/>
  <c r="Z348" i="161"/>
  <c r="T348" i="161"/>
  <c r="U348" i="161" s="1"/>
  <c r="V348" i="161" s="1"/>
  <c r="R348" i="161"/>
  <c r="AL348" i="161" s="1"/>
  <c r="AM348" i="161" s="1"/>
  <c r="AN348" i="161" s="1"/>
  <c r="AH348" i="161" s="1"/>
  <c r="B348" i="161" s="1"/>
  <c r="Z234" i="161"/>
  <c r="AB234" i="161" s="1"/>
  <c r="R234" i="161"/>
  <c r="AL234" i="161" s="1"/>
  <c r="Q234" i="161"/>
  <c r="AE234" i="161" s="1"/>
  <c r="Y234" i="161"/>
  <c r="AA234" i="161" s="1"/>
  <c r="T234" i="161"/>
  <c r="V234" i="161" s="1"/>
  <c r="R378" i="161"/>
  <c r="AL378" i="161" s="1"/>
  <c r="AM378" i="161" s="1"/>
  <c r="AN378" i="161" s="1"/>
  <c r="AH378" i="161" s="1"/>
  <c r="B378" i="161" s="1"/>
  <c r="T378" i="161"/>
  <c r="U378" i="161" s="1"/>
  <c r="V378" i="161" s="1"/>
  <c r="Q378" i="161"/>
  <c r="AE378" i="161" s="1"/>
  <c r="Z378" i="161"/>
  <c r="Y378" i="161"/>
  <c r="AA378" i="161" s="1"/>
  <c r="AT378" i="161"/>
  <c r="AS378" i="161"/>
  <c r="AU378" i="161"/>
  <c r="AR378" i="161"/>
  <c r="AT221" i="161"/>
  <c r="R221" i="161"/>
  <c r="AL221" i="161" s="1"/>
  <c r="AM221" i="161" s="1"/>
  <c r="AN221" i="161" s="1"/>
  <c r="AH221" i="161" s="1"/>
  <c r="B221" i="161" s="1"/>
  <c r="T221" i="161"/>
  <c r="U221" i="161" s="1"/>
  <c r="V221" i="161" s="1"/>
  <c r="Q221" i="161"/>
  <c r="AE221" i="161" s="1"/>
  <c r="Z221" i="161"/>
  <c r="Y221" i="161"/>
  <c r="AA221" i="161" s="1"/>
  <c r="AR221" i="161"/>
  <c r="AU221" i="161"/>
  <c r="AS221" i="161"/>
  <c r="R302" i="161"/>
  <c r="AL302" i="161" s="1"/>
  <c r="AM302" i="161" s="1"/>
  <c r="AN302" i="161" s="1"/>
  <c r="AH302" i="161" s="1"/>
  <c r="B302" i="161" s="1"/>
  <c r="T302" i="161"/>
  <c r="U302" i="161" s="1"/>
  <c r="V302" i="161" s="1"/>
  <c r="Q302" i="161"/>
  <c r="AE302" i="161" s="1"/>
  <c r="Y302" i="161"/>
  <c r="AA302" i="161" s="1"/>
  <c r="Z302" i="161"/>
  <c r="AS302" i="161"/>
  <c r="AR302" i="161"/>
  <c r="AU302" i="161"/>
  <c r="AT302" i="161"/>
  <c r="R224" i="161"/>
  <c r="AL224" i="161" s="1"/>
  <c r="AM224" i="161" s="1"/>
  <c r="AN224" i="161" s="1"/>
  <c r="AH224" i="161" s="1"/>
  <c r="B224" i="161" s="1"/>
  <c r="T224" i="161"/>
  <c r="U224" i="161" s="1"/>
  <c r="V224" i="161" s="1"/>
  <c r="Q224" i="161"/>
  <c r="AE224" i="161" s="1"/>
  <c r="Y224" i="161"/>
  <c r="AA224" i="161" s="1"/>
  <c r="Z224" i="161"/>
  <c r="AU224" i="161"/>
  <c r="AR224" i="161"/>
  <c r="AS224" i="161"/>
  <c r="AT224" i="161"/>
  <c r="Y280" i="161"/>
  <c r="AA280" i="161" s="1"/>
  <c r="R280" i="161"/>
  <c r="AL280" i="161" s="1"/>
  <c r="AM280" i="161" s="1"/>
  <c r="Q280" i="161"/>
  <c r="AE280" i="161" s="1"/>
  <c r="T280" i="161"/>
  <c r="Z280" i="161"/>
  <c r="AU280" i="161"/>
  <c r="AS280" i="161"/>
  <c r="AR280" i="161"/>
  <c r="AT280" i="161"/>
  <c r="R160" i="161"/>
  <c r="AL160" i="161" s="1"/>
  <c r="AM160" i="161" s="1"/>
  <c r="AN160" i="161" s="1"/>
  <c r="AH160" i="161" s="1"/>
  <c r="B160" i="161" s="1"/>
  <c r="Z160" i="161"/>
  <c r="T160" i="161"/>
  <c r="U160" i="161" s="1"/>
  <c r="V160" i="161" s="1"/>
  <c r="Q160" i="161"/>
  <c r="AE160" i="161" s="1"/>
  <c r="Y160" i="161"/>
  <c r="AA160" i="161" s="1"/>
  <c r="AT160" i="161"/>
  <c r="AR160" i="161"/>
  <c r="AS160" i="161"/>
  <c r="AU160" i="161"/>
  <c r="Y207" i="161"/>
  <c r="AA207" i="161" s="1"/>
  <c r="R207" i="161"/>
  <c r="AL207" i="161" s="1"/>
  <c r="AM207" i="161" s="1"/>
  <c r="AN207" i="161" s="1"/>
  <c r="AH207" i="161" s="1"/>
  <c r="B207" i="161" s="1"/>
  <c r="Q207" i="161"/>
  <c r="AE207" i="161" s="1"/>
  <c r="T207" i="161"/>
  <c r="U207" i="161" s="1"/>
  <c r="V207" i="161" s="1"/>
  <c r="Z207" i="161"/>
  <c r="AU207" i="161"/>
  <c r="AT207" i="161"/>
  <c r="AR207" i="161"/>
  <c r="AS207" i="161"/>
  <c r="Z301" i="161"/>
  <c r="R301" i="161"/>
  <c r="AL301" i="161" s="1"/>
  <c r="AM301" i="161" s="1"/>
  <c r="AN301" i="161" s="1"/>
  <c r="AH301" i="161" s="1"/>
  <c r="B301" i="161" s="1"/>
  <c r="Q301" i="161"/>
  <c r="AE301" i="161" s="1"/>
  <c r="Y301" i="161"/>
  <c r="AA301" i="161" s="1"/>
  <c r="T301" i="161"/>
  <c r="U301" i="161" s="1"/>
  <c r="V301" i="161" s="1"/>
  <c r="AR301" i="161"/>
  <c r="AT301" i="161"/>
  <c r="AS301" i="161"/>
  <c r="AU301" i="161"/>
  <c r="T270" i="161"/>
  <c r="U270" i="161" s="1"/>
  <c r="V270" i="161" s="1"/>
  <c r="Y270" i="161"/>
  <c r="AA270" i="161" s="1"/>
  <c r="Z270" i="161"/>
  <c r="R270" i="161"/>
  <c r="AL270" i="161" s="1"/>
  <c r="AM270" i="161" s="1"/>
  <c r="AN270" i="161" s="1"/>
  <c r="AH270" i="161" s="1"/>
  <c r="B270" i="161" s="1"/>
  <c r="Q270" i="161"/>
  <c r="AE270" i="161" s="1"/>
  <c r="AU270" i="161"/>
  <c r="AS270" i="161"/>
  <c r="AR270" i="161"/>
  <c r="AT270" i="161"/>
  <c r="T237" i="161"/>
  <c r="U237" i="161" s="1"/>
  <c r="V237" i="161" s="1"/>
  <c r="R237" i="161"/>
  <c r="AL237" i="161" s="1"/>
  <c r="AM237" i="161" s="1"/>
  <c r="AN237" i="161" s="1"/>
  <c r="AH237" i="161" s="1"/>
  <c r="B237" i="161" s="1"/>
  <c r="Q237" i="161"/>
  <c r="AE237" i="161" s="1"/>
  <c r="AR237" i="161"/>
  <c r="AS237" i="161"/>
  <c r="AT237" i="161"/>
  <c r="AU237" i="161"/>
  <c r="Z237" i="161"/>
  <c r="Y237" i="161"/>
  <c r="AA237" i="161" s="1"/>
  <c r="R285" i="161"/>
  <c r="AL285" i="161" s="1"/>
  <c r="AM285" i="161" s="1"/>
  <c r="AN285" i="161" s="1"/>
  <c r="AH285" i="161" s="1"/>
  <c r="B285" i="161" s="1"/>
  <c r="T285" i="161"/>
  <c r="U285" i="161" s="1"/>
  <c r="V285" i="161" s="1"/>
  <c r="Q285" i="161"/>
  <c r="AE285" i="161" s="1"/>
  <c r="Y285" i="161"/>
  <c r="AA285" i="161" s="1"/>
  <c r="Z285" i="161"/>
  <c r="AS285" i="161"/>
  <c r="AR285" i="161"/>
  <c r="AU285" i="161"/>
  <c r="AT285" i="161"/>
  <c r="T341" i="161"/>
  <c r="V341" i="161" s="1"/>
  <c r="Y341" i="161"/>
  <c r="AA341" i="161" s="1"/>
  <c r="R341" i="161"/>
  <c r="AL341" i="161" s="1"/>
  <c r="Z341" i="161"/>
  <c r="AB341" i="161" s="1"/>
  <c r="Q341" i="161"/>
  <c r="AE341" i="161" s="1"/>
  <c r="R374" i="161"/>
  <c r="AL374" i="161" s="1"/>
  <c r="AM374" i="161" s="1"/>
  <c r="AN374" i="161" s="1"/>
  <c r="AH374" i="161" s="1"/>
  <c r="B374" i="161" s="1"/>
  <c r="Y374" i="161"/>
  <c r="AA374" i="161" s="1"/>
  <c r="Z374" i="161"/>
  <c r="Q374" i="161"/>
  <c r="AE374" i="161" s="1"/>
  <c r="T374" i="161"/>
  <c r="U374" i="161" s="1"/>
  <c r="V374" i="161" s="1"/>
  <c r="AS374" i="161"/>
  <c r="AT374" i="161"/>
  <c r="AR374" i="161"/>
  <c r="AU374" i="161"/>
  <c r="R333" i="161"/>
  <c r="AL333" i="161" s="1"/>
  <c r="Z333" i="161"/>
  <c r="AB333" i="161" s="1"/>
  <c r="Q333" i="161"/>
  <c r="AE333" i="161" s="1"/>
  <c r="T333" i="161"/>
  <c r="V333" i="161" s="1"/>
  <c r="Y333" i="161"/>
  <c r="AA333" i="161" s="1"/>
  <c r="Y261" i="161"/>
  <c r="AA261" i="161" s="1"/>
  <c r="R261" i="161"/>
  <c r="AL261" i="161" s="1"/>
  <c r="AM261" i="161" s="1"/>
  <c r="AN261" i="161" s="1"/>
  <c r="AH261" i="161" s="1"/>
  <c r="B261" i="161" s="1"/>
  <c r="T261" i="161"/>
  <c r="U261" i="161" s="1"/>
  <c r="V261" i="161" s="1"/>
  <c r="Z261" i="161"/>
  <c r="Q261" i="161"/>
  <c r="AE261" i="161" s="1"/>
  <c r="AS261" i="161"/>
  <c r="AR261" i="161"/>
  <c r="AT261" i="161"/>
  <c r="AU261" i="161"/>
  <c r="T337" i="161"/>
  <c r="V337" i="161" s="1"/>
  <c r="R337" i="161"/>
  <c r="AL337" i="161" s="1"/>
  <c r="Z337" i="161"/>
  <c r="AB337" i="161" s="1"/>
  <c r="Y337" i="161"/>
  <c r="AA337" i="161" s="1"/>
  <c r="Q337" i="161"/>
  <c r="AE337" i="161" s="1"/>
  <c r="R331" i="161"/>
  <c r="AL331" i="161" s="1"/>
  <c r="T331" i="161"/>
  <c r="V331" i="161" s="1"/>
  <c r="Q331" i="161"/>
  <c r="AE331" i="161" s="1"/>
  <c r="Z331" i="161"/>
  <c r="AB331" i="161" s="1"/>
  <c r="Y331" i="161"/>
  <c r="AA331" i="161" s="1"/>
  <c r="Q342" i="161"/>
  <c r="AE342" i="161" s="1"/>
  <c r="Y342" i="161"/>
  <c r="AA342" i="161" s="1"/>
  <c r="T342" i="161"/>
  <c r="U342" i="161" s="1"/>
  <c r="V342" i="161" s="1"/>
  <c r="Z342" i="161"/>
  <c r="R342" i="161"/>
  <c r="AL342" i="161" s="1"/>
  <c r="AM342" i="161" s="1"/>
  <c r="AN342" i="161" s="1"/>
  <c r="AH342" i="161" s="1"/>
  <c r="B342" i="161" s="1"/>
  <c r="AT342" i="161"/>
  <c r="AS342" i="161"/>
  <c r="AR342" i="161"/>
  <c r="AU342" i="161"/>
  <c r="T316" i="161"/>
  <c r="V316" i="161" s="1"/>
  <c r="Q316" i="161"/>
  <c r="AE316" i="161" s="1"/>
  <c r="Y316" i="161"/>
  <c r="AA316" i="161" s="1"/>
  <c r="R316" i="161"/>
  <c r="AL316" i="161" s="1"/>
  <c r="Z316" i="161"/>
  <c r="AB316" i="161" s="1"/>
  <c r="Y45" i="161"/>
  <c r="AA45" i="161" s="1"/>
  <c r="T45" i="161"/>
  <c r="U45" i="161" s="1"/>
  <c r="V45" i="161" s="1"/>
  <c r="R45" i="161"/>
  <c r="AL45" i="161" s="1"/>
  <c r="AM45" i="161" s="1"/>
  <c r="AN45" i="161" s="1"/>
  <c r="AH45" i="161" s="1"/>
  <c r="B45" i="161" s="1"/>
  <c r="Z45" i="161"/>
  <c r="Q45" i="161"/>
  <c r="AE45" i="161" s="1"/>
  <c r="AT45" i="161"/>
  <c r="AU45" i="161"/>
  <c r="AS45" i="161"/>
  <c r="AR45" i="161"/>
  <c r="R61" i="161"/>
  <c r="AL61" i="161" s="1"/>
  <c r="AM61" i="161" s="1"/>
  <c r="Y61" i="161"/>
  <c r="AA61" i="161" s="1"/>
  <c r="T61" i="161"/>
  <c r="U61" i="161" s="1"/>
  <c r="V61" i="161" s="1"/>
  <c r="Q61" i="161"/>
  <c r="AE61" i="161" s="1"/>
  <c r="Z61" i="161"/>
  <c r="AU61" i="161"/>
  <c r="AS61" i="161"/>
  <c r="AR61" i="161"/>
  <c r="AT61" i="161"/>
  <c r="Y51" i="161"/>
  <c r="AA51" i="161" s="1"/>
  <c r="R51" i="161"/>
  <c r="AL51" i="161" s="1"/>
  <c r="AM51" i="161" s="1"/>
  <c r="AN51" i="161" s="1"/>
  <c r="AH51" i="161" s="1"/>
  <c r="B51" i="161" s="1"/>
  <c r="T51" i="161"/>
  <c r="U51" i="161" s="1"/>
  <c r="V51" i="161" s="1"/>
  <c r="Q51" i="161"/>
  <c r="AE51" i="161" s="1"/>
  <c r="Z51" i="161"/>
  <c r="AT51" i="161"/>
  <c r="AU51" i="161"/>
  <c r="AR51" i="161"/>
  <c r="AS51" i="161"/>
  <c r="R31" i="161"/>
  <c r="AL31" i="161" s="1"/>
  <c r="AM31" i="161" s="1"/>
  <c r="AN31" i="161" s="1"/>
  <c r="AH31" i="161" s="1"/>
  <c r="B31" i="161" s="1"/>
  <c r="Z31" i="161"/>
  <c r="Y31" i="161"/>
  <c r="AA31" i="161" s="1"/>
  <c r="T31" i="161"/>
  <c r="U31" i="161" s="1"/>
  <c r="V31" i="161" s="1"/>
  <c r="Q31" i="161"/>
  <c r="AE31" i="161" s="1"/>
  <c r="AR31" i="161"/>
  <c r="AU31" i="161"/>
  <c r="AS31" i="161"/>
  <c r="AT31" i="161"/>
  <c r="T29" i="161"/>
  <c r="U29" i="161" s="1"/>
  <c r="V29" i="161" s="1"/>
  <c r="R29" i="161"/>
  <c r="AL29" i="161" s="1"/>
  <c r="AM29" i="161" s="1"/>
  <c r="Y29" i="161"/>
  <c r="AA29" i="161" s="1"/>
  <c r="Q29" i="161"/>
  <c r="AE29" i="161" s="1"/>
  <c r="Z29" i="161"/>
  <c r="AU29" i="161"/>
  <c r="AR29" i="161"/>
  <c r="AS29" i="161"/>
  <c r="AT29" i="161"/>
  <c r="T44" i="161"/>
  <c r="U44" i="161" s="1"/>
  <c r="V44" i="161" s="1"/>
  <c r="Y44" i="161"/>
  <c r="AA44" i="161" s="1"/>
  <c r="Q44" i="161"/>
  <c r="AE44" i="161" s="1"/>
  <c r="R44" i="161"/>
  <c r="AL44" i="161" s="1"/>
  <c r="AM44" i="161" s="1"/>
  <c r="AN44" i="161" s="1"/>
  <c r="AH44" i="161" s="1"/>
  <c r="B44" i="161" s="1"/>
  <c r="Z44" i="161"/>
  <c r="AS44" i="161"/>
  <c r="AR44" i="161"/>
  <c r="AU44" i="161"/>
  <c r="AT44" i="161"/>
  <c r="Y54" i="161"/>
  <c r="AA54" i="161" s="1"/>
  <c r="Q54" i="161"/>
  <c r="AE54" i="161" s="1"/>
  <c r="Z54" i="161"/>
  <c r="T54" i="161"/>
  <c r="U54" i="161" s="1"/>
  <c r="V54" i="161" s="1"/>
  <c r="R54" i="161"/>
  <c r="AL54" i="161" s="1"/>
  <c r="AM54" i="161" s="1"/>
  <c r="AN54" i="161" s="1"/>
  <c r="AH54" i="161" s="1"/>
  <c r="B54" i="161" s="1"/>
  <c r="AT54" i="161"/>
  <c r="AS54" i="161"/>
  <c r="AU54" i="161"/>
  <c r="AR54" i="161"/>
  <c r="Y137" i="161"/>
  <c r="AA137" i="161" s="1"/>
  <c r="Q137" i="161"/>
  <c r="AE137" i="161" s="1"/>
  <c r="Z137" i="161"/>
  <c r="T137" i="161"/>
  <c r="U137" i="161" s="1"/>
  <c r="V137" i="161" s="1"/>
  <c r="R137" i="161"/>
  <c r="AL137" i="161" s="1"/>
  <c r="AM137" i="161" s="1"/>
  <c r="AN137" i="161" s="1"/>
  <c r="AH137" i="161" s="1"/>
  <c r="B137" i="161" s="1"/>
  <c r="AS137" i="161"/>
  <c r="AU137" i="161"/>
  <c r="AR137" i="161"/>
  <c r="AT137" i="161"/>
  <c r="Y90" i="161"/>
  <c r="AA90" i="161" s="1"/>
  <c r="T90" i="161"/>
  <c r="V90" i="161" s="1"/>
  <c r="R90" i="161"/>
  <c r="AL90" i="161" s="1"/>
  <c r="Z90" i="161"/>
  <c r="AB90" i="161" s="1"/>
  <c r="Q90" i="161"/>
  <c r="AE90" i="161" s="1"/>
  <c r="T122" i="161"/>
  <c r="V122" i="161" s="1"/>
  <c r="R122" i="161"/>
  <c r="AL122" i="161" s="1"/>
  <c r="Z122" i="161"/>
  <c r="AB122" i="161" s="1"/>
  <c r="Q122" i="161"/>
  <c r="AE122" i="161" s="1"/>
  <c r="Y122" i="161"/>
  <c r="AA122" i="161" s="1"/>
  <c r="T125" i="161"/>
  <c r="V125" i="161" s="1"/>
  <c r="Q125" i="161"/>
  <c r="AE125" i="161" s="1"/>
  <c r="Y125" i="161"/>
  <c r="AA125" i="161" s="1"/>
  <c r="R125" i="161"/>
  <c r="AL125" i="161" s="1"/>
  <c r="Z125" i="161"/>
  <c r="AB125" i="161" s="1"/>
  <c r="Y105" i="161"/>
  <c r="AA105" i="161" s="1"/>
  <c r="R105" i="161"/>
  <c r="AL105" i="161" s="1"/>
  <c r="AM105" i="161" s="1"/>
  <c r="AN105" i="161" s="1"/>
  <c r="AH105" i="161" s="1"/>
  <c r="B105" i="161" s="1"/>
  <c r="Z105" i="161"/>
  <c r="Q105" i="161"/>
  <c r="AE105" i="161" s="1"/>
  <c r="T105" i="161"/>
  <c r="AR105" i="161"/>
  <c r="AU105" i="161"/>
  <c r="AT105" i="161"/>
  <c r="AS105" i="161"/>
  <c r="Z149" i="161"/>
  <c r="R149" i="161"/>
  <c r="AL149" i="161" s="1"/>
  <c r="AM149" i="161" s="1"/>
  <c r="AN149" i="161" s="1"/>
  <c r="AH149" i="161" s="1"/>
  <c r="B149" i="161" s="1"/>
  <c r="Y149" i="161"/>
  <c r="AA149" i="161" s="1"/>
  <c r="T149" i="161"/>
  <c r="U149" i="161" s="1"/>
  <c r="V149" i="161" s="1"/>
  <c r="Q149" i="161"/>
  <c r="AE149" i="161" s="1"/>
  <c r="AR149" i="161"/>
  <c r="AS149" i="161"/>
  <c r="AU149" i="161"/>
  <c r="AT149" i="161"/>
  <c r="R76" i="161"/>
  <c r="AL76" i="161" s="1"/>
  <c r="AM76" i="161" s="1"/>
  <c r="AN76" i="161" s="1"/>
  <c r="AH76" i="161" s="1"/>
  <c r="B76" i="161" s="1"/>
  <c r="AR76" i="161"/>
  <c r="AU76" i="161"/>
  <c r="AS76" i="161"/>
  <c r="T76" i="161"/>
  <c r="U76" i="161" s="1"/>
  <c r="V76" i="161" s="1"/>
  <c r="Z76" i="161"/>
  <c r="Y76" i="161"/>
  <c r="AA76" i="161" s="1"/>
  <c r="Q76" i="161"/>
  <c r="AE76" i="161" s="1"/>
  <c r="AT76" i="161"/>
  <c r="AU116" i="161"/>
  <c r="T116" i="161"/>
  <c r="U116" i="161" s="1"/>
  <c r="V116" i="161" s="1"/>
  <c r="Y116" i="161"/>
  <c r="AA116" i="161" s="1"/>
  <c r="Q116" i="161"/>
  <c r="AE116" i="161" s="1"/>
  <c r="Z116" i="161"/>
  <c r="R116" i="161"/>
  <c r="AL116" i="161" s="1"/>
  <c r="AM116" i="161" s="1"/>
  <c r="AN116" i="161" s="1"/>
  <c r="AH116" i="161" s="1"/>
  <c r="B116" i="161" s="1"/>
  <c r="AR116" i="161"/>
  <c r="AT116" i="161"/>
  <c r="AS116" i="161"/>
  <c r="T163" i="161"/>
  <c r="U163" i="161" s="1"/>
  <c r="V163" i="161" s="1"/>
  <c r="Y163" i="161"/>
  <c r="AA163" i="161" s="1"/>
  <c r="Q163" i="161"/>
  <c r="AE163" i="161" s="1"/>
  <c r="Z163" i="161"/>
  <c r="R163" i="161"/>
  <c r="AL163" i="161" s="1"/>
  <c r="AM163" i="161" s="1"/>
  <c r="AN163" i="161" s="1"/>
  <c r="AH163" i="161" s="1"/>
  <c r="B163" i="161" s="1"/>
  <c r="AR163" i="161"/>
  <c r="AT163" i="161"/>
  <c r="AU163" i="161"/>
  <c r="AS163" i="161"/>
  <c r="R62" i="161"/>
  <c r="AL62" i="161" s="1"/>
  <c r="AM62" i="161" s="1"/>
  <c r="Q62" i="161"/>
  <c r="AE62" i="161" s="1"/>
  <c r="Y62" i="161"/>
  <c r="AA62" i="161" s="1"/>
  <c r="T62" i="161"/>
  <c r="U62" i="161" s="1"/>
  <c r="V62" i="161" s="1"/>
  <c r="Z62" i="161"/>
  <c r="AS62" i="161"/>
  <c r="AT62" i="161"/>
  <c r="AU62" i="161"/>
  <c r="AR62" i="161"/>
  <c r="T145" i="161"/>
  <c r="U145" i="161" s="1"/>
  <c r="V145" i="161" s="1"/>
  <c r="Z145" i="161"/>
  <c r="Q145" i="161"/>
  <c r="AE145" i="161" s="1"/>
  <c r="R145" i="161"/>
  <c r="AL145" i="161" s="1"/>
  <c r="AM145" i="161" s="1"/>
  <c r="AN145" i="161" s="1"/>
  <c r="AH145" i="161" s="1"/>
  <c r="B145" i="161" s="1"/>
  <c r="Y145" i="161"/>
  <c r="AA145" i="161" s="1"/>
  <c r="AR145" i="161"/>
  <c r="AT145" i="161"/>
  <c r="AU145" i="161"/>
  <c r="AS145" i="161"/>
  <c r="Y60" i="161"/>
  <c r="AA60" i="161" s="1"/>
  <c r="R60" i="161"/>
  <c r="AL60" i="161" s="1"/>
  <c r="AM60" i="161" s="1"/>
  <c r="T60" i="161"/>
  <c r="U60" i="161" s="1"/>
  <c r="V60" i="161" s="1"/>
  <c r="Q60" i="161"/>
  <c r="AE60" i="161" s="1"/>
  <c r="Z60" i="161"/>
  <c r="AU60" i="161"/>
  <c r="AT60" i="161"/>
  <c r="AS60" i="161"/>
  <c r="AR60" i="161"/>
  <c r="Y132" i="161"/>
  <c r="AA132" i="161" s="1"/>
  <c r="Q132" i="161"/>
  <c r="AE132" i="161" s="1"/>
  <c r="T132" i="161"/>
  <c r="U132" i="161" s="1"/>
  <c r="V132" i="161" s="1"/>
  <c r="R132" i="161"/>
  <c r="AL132" i="161" s="1"/>
  <c r="AM132" i="161" s="1"/>
  <c r="AN132" i="161" s="1"/>
  <c r="AH132" i="161" s="1"/>
  <c r="B132" i="161" s="1"/>
  <c r="Z132" i="161"/>
  <c r="AT132" i="161"/>
  <c r="AU132" i="161"/>
  <c r="AS132" i="161"/>
  <c r="AR132" i="161"/>
  <c r="Y253" i="161"/>
  <c r="AA253" i="161" s="1"/>
  <c r="AU253" i="161"/>
  <c r="AR253" i="161"/>
  <c r="R253" i="161"/>
  <c r="AL253" i="161" s="1"/>
  <c r="AM253" i="161" s="1"/>
  <c r="AN253" i="161" s="1"/>
  <c r="AH253" i="161" s="1"/>
  <c r="B253" i="161" s="1"/>
  <c r="AT253" i="161"/>
  <c r="Z253" i="161"/>
  <c r="Q253" i="161"/>
  <c r="AE253" i="161" s="1"/>
  <c r="T253" i="161"/>
  <c r="U253" i="161" s="1"/>
  <c r="V253" i="161" s="1"/>
  <c r="AS253" i="161"/>
  <c r="R293" i="161"/>
  <c r="AL293" i="161" s="1"/>
  <c r="AM293" i="161" s="1"/>
  <c r="T293" i="161"/>
  <c r="U293" i="161" s="1"/>
  <c r="V293" i="161" s="1"/>
  <c r="Q293" i="161"/>
  <c r="AE293" i="161" s="1"/>
  <c r="Y293" i="161"/>
  <c r="AA293" i="161" s="1"/>
  <c r="Z293" i="161"/>
  <c r="AU293" i="161"/>
  <c r="AS293" i="161"/>
  <c r="AT293" i="161"/>
  <c r="AR293" i="161"/>
  <c r="Y195" i="161"/>
  <c r="AA195" i="161" s="1"/>
  <c r="T195" i="161"/>
  <c r="U195" i="161" s="1"/>
  <c r="V195" i="161" s="1"/>
  <c r="Z195" i="161"/>
  <c r="R195" i="161"/>
  <c r="AL195" i="161" s="1"/>
  <c r="AM195" i="161" s="1"/>
  <c r="AN195" i="161" s="1"/>
  <c r="AH195" i="161" s="1"/>
  <c r="B195" i="161" s="1"/>
  <c r="Q195" i="161"/>
  <c r="AE195" i="161" s="1"/>
  <c r="AS195" i="161"/>
  <c r="AU195" i="161"/>
  <c r="AR195" i="161"/>
  <c r="AT195" i="161"/>
  <c r="Z229" i="161"/>
  <c r="AB229" i="161" s="1"/>
  <c r="Y229" i="161"/>
  <c r="AA229" i="161" s="1"/>
  <c r="R229" i="161"/>
  <c r="AL229" i="161" s="1"/>
  <c r="T229" i="161"/>
  <c r="V229" i="161" s="1"/>
  <c r="Q229" i="161"/>
  <c r="AE229" i="161" s="1"/>
  <c r="T177" i="161"/>
  <c r="U177" i="161" s="1"/>
  <c r="V177" i="161" s="1"/>
  <c r="R177" i="161"/>
  <c r="AL177" i="161" s="1"/>
  <c r="AM177" i="161" s="1"/>
  <c r="AN177" i="161" s="1"/>
  <c r="AH177" i="161" s="1"/>
  <c r="B177" i="161" s="1"/>
  <c r="Z177" i="161"/>
  <c r="Y177" i="161"/>
  <c r="AA177" i="161" s="1"/>
  <c r="Q177" i="161"/>
  <c r="AE177" i="161" s="1"/>
  <c r="AT177" i="161"/>
  <c r="AS177" i="161"/>
  <c r="AR177" i="161"/>
  <c r="AU177" i="161"/>
  <c r="Y240" i="161"/>
  <c r="AA240" i="161" s="1"/>
  <c r="T240" i="161"/>
  <c r="U240" i="161" s="1"/>
  <c r="V240" i="161" s="1"/>
  <c r="R240" i="161"/>
  <c r="AL240" i="161" s="1"/>
  <c r="AM240" i="161" s="1"/>
  <c r="AN240" i="161" s="1"/>
  <c r="AH240" i="161" s="1"/>
  <c r="B240" i="161" s="1"/>
  <c r="Q240" i="161"/>
  <c r="AE240" i="161" s="1"/>
  <c r="Z240" i="161"/>
  <c r="AU240" i="161"/>
  <c r="AT240" i="161"/>
  <c r="AR240" i="161"/>
  <c r="AS240" i="161"/>
  <c r="R138" i="161"/>
  <c r="AL138" i="161" s="1"/>
  <c r="AM138" i="161" s="1"/>
  <c r="AN138" i="161" s="1"/>
  <c r="AH138" i="161" s="1"/>
  <c r="B138" i="161" s="1"/>
  <c r="Z138" i="161"/>
  <c r="Q138" i="161"/>
  <c r="AE138" i="161" s="1"/>
  <c r="T138" i="161"/>
  <c r="U138" i="161" s="1"/>
  <c r="V138" i="161" s="1"/>
  <c r="Y138" i="161"/>
  <c r="AA138" i="161" s="1"/>
  <c r="AU138" i="161"/>
  <c r="AS138" i="161"/>
  <c r="AT138" i="161"/>
  <c r="AR138" i="161"/>
  <c r="T223" i="161"/>
  <c r="U223" i="161" s="1"/>
  <c r="V223" i="161" s="1"/>
  <c r="R223" i="161"/>
  <c r="AL223" i="161" s="1"/>
  <c r="AM223" i="161" s="1"/>
  <c r="AN223" i="161" s="1"/>
  <c r="AH223" i="161" s="1"/>
  <c r="B223" i="161" s="1"/>
  <c r="Q223" i="161"/>
  <c r="AE223" i="161" s="1"/>
  <c r="Z223" i="161"/>
  <c r="Y223" i="161"/>
  <c r="AA223" i="161" s="1"/>
  <c r="AR223" i="161"/>
  <c r="AT223" i="161"/>
  <c r="AU223" i="161"/>
  <c r="AS223" i="161"/>
  <c r="R162" i="161"/>
  <c r="AL162" i="161" s="1"/>
  <c r="AM162" i="161" s="1"/>
  <c r="AN162" i="161" s="1"/>
  <c r="AH162" i="161" s="1"/>
  <c r="B162" i="161" s="1"/>
  <c r="Q162" i="161"/>
  <c r="AE162" i="161" s="1"/>
  <c r="T162" i="161"/>
  <c r="U162" i="161" s="1"/>
  <c r="V162" i="161" s="1"/>
  <c r="Y162" i="161"/>
  <c r="AA162" i="161" s="1"/>
  <c r="Z162" i="161"/>
  <c r="AT162" i="161"/>
  <c r="AU162" i="161"/>
  <c r="AS162" i="161"/>
  <c r="AR162" i="161"/>
  <c r="Z230" i="161"/>
  <c r="T230" i="161"/>
  <c r="U230" i="161" s="1"/>
  <c r="V230" i="161" s="1"/>
  <c r="R230" i="161"/>
  <c r="AL230" i="161" s="1"/>
  <c r="AM230" i="161" s="1"/>
  <c r="AN230" i="161" s="1"/>
  <c r="AH230" i="161" s="1"/>
  <c r="B230" i="161" s="1"/>
  <c r="Q230" i="161"/>
  <c r="AE230" i="161" s="1"/>
  <c r="Y230" i="161"/>
  <c r="AA230" i="161" s="1"/>
  <c r="AT230" i="161"/>
  <c r="AS230" i="161"/>
  <c r="AU230" i="161"/>
  <c r="AR230" i="161"/>
  <c r="Y290" i="161"/>
  <c r="AA290" i="161" s="1"/>
  <c r="T290" i="161"/>
  <c r="U290" i="161" s="1"/>
  <c r="V290" i="161" s="1"/>
  <c r="R290" i="161"/>
  <c r="AL290" i="161" s="1"/>
  <c r="AM290" i="161" s="1"/>
  <c r="AN290" i="161" s="1"/>
  <c r="AH290" i="161" s="1"/>
  <c r="B290" i="161" s="1"/>
  <c r="Q290" i="161"/>
  <c r="AE290" i="161" s="1"/>
  <c r="Z290" i="161"/>
  <c r="AT290" i="161"/>
  <c r="AU290" i="161"/>
  <c r="AR290" i="161"/>
  <c r="AS290" i="161"/>
  <c r="R161" i="161"/>
  <c r="AL161" i="161" s="1"/>
  <c r="AM161" i="161" s="1"/>
  <c r="AN161" i="161" s="1"/>
  <c r="AH161" i="161" s="1"/>
  <c r="B161" i="161" s="1"/>
  <c r="Z161" i="161"/>
  <c r="T161" i="161"/>
  <c r="U161" i="161" s="1"/>
  <c r="V161" i="161" s="1"/>
  <c r="Q161" i="161"/>
  <c r="AE161" i="161" s="1"/>
  <c r="Y161" i="161"/>
  <c r="AA161" i="161" s="1"/>
  <c r="AR161" i="161"/>
  <c r="AU161" i="161"/>
  <c r="AT161" i="161"/>
  <c r="AS161" i="161"/>
  <c r="Q220" i="161"/>
  <c r="AE220" i="161" s="1"/>
  <c r="T220" i="161"/>
  <c r="Y220" i="161"/>
  <c r="AA220" i="161" s="1"/>
  <c r="Z220" i="161"/>
  <c r="AB220" i="161" s="1"/>
  <c r="R220" i="161"/>
  <c r="AL220" i="161" s="1"/>
  <c r="T351" i="161"/>
  <c r="U351" i="161" s="1"/>
  <c r="V351" i="161" s="1"/>
  <c r="R351" i="161"/>
  <c r="AL351" i="161" s="1"/>
  <c r="AM351" i="161" s="1"/>
  <c r="AN351" i="161" s="1"/>
  <c r="AH351" i="161" s="1"/>
  <c r="B351" i="161" s="1"/>
  <c r="Q351" i="161"/>
  <c r="AE351" i="161" s="1"/>
  <c r="AR351" i="161"/>
  <c r="AU351" i="161"/>
  <c r="Y351" i="161"/>
  <c r="AA351" i="161" s="1"/>
  <c r="AT351" i="161"/>
  <c r="Z351" i="161"/>
  <c r="AS351" i="161"/>
  <c r="T272" i="161"/>
  <c r="U272" i="161" s="1"/>
  <c r="V272" i="161" s="1"/>
  <c r="Q272" i="161"/>
  <c r="AE272" i="161" s="1"/>
  <c r="R272" i="161"/>
  <c r="AL272" i="161" s="1"/>
  <c r="AM272" i="161" s="1"/>
  <c r="AN272" i="161" s="1"/>
  <c r="AH272" i="161" s="1"/>
  <c r="B272" i="161" s="1"/>
  <c r="Y272" i="161"/>
  <c r="AA272" i="161" s="1"/>
  <c r="Z272" i="161"/>
  <c r="AT272" i="161"/>
  <c r="AR272" i="161"/>
  <c r="AS272" i="161"/>
  <c r="AU272" i="161"/>
  <c r="T243" i="161"/>
  <c r="U243" i="161" s="1"/>
  <c r="V243" i="161" s="1"/>
  <c r="Y243" i="161"/>
  <c r="AA243" i="161" s="1"/>
  <c r="R243" i="161"/>
  <c r="AL243" i="161" s="1"/>
  <c r="AM243" i="161" s="1"/>
  <c r="AN243" i="161" s="1"/>
  <c r="AH243" i="161" s="1"/>
  <c r="B243" i="161" s="1"/>
  <c r="Q243" i="161"/>
  <c r="AE243" i="161" s="1"/>
  <c r="Z243" i="161"/>
  <c r="AU243" i="161"/>
  <c r="AR243" i="161"/>
  <c r="AT243" i="161"/>
  <c r="AS243" i="161"/>
  <c r="R289" i="161"/>
  <c r="AL289" i="161" s="1"/>
  <c r="AM289" i="161" s="1"/>
  <c r="AN289" i="161" s="1"/>
  <c r="AH289" i="161" s="1"/>
  <c r="B289" i="161" s="1"/>
  <c r="T289" i="161"/>
  <c r="U289" i="161" s="1"/>
  <c r="V289" i="161" s="1"/>
  <c r="Q289" i="161"/>
  <c r="AE289" i="161" s="1"/>
  <c r="Z289" i="161"/>
  <c r="Y289" i="161"/>
  <c r="AA289" i="161" s="1"/>
  <c r="AU289" i="161"/>
  <c r="AR289" i="161"/>
  <c r="AS289" i="161"/>
  <c r="AT289" i="161"/>
  <c r="T344" i="161"/>
  <c r="U344" i="161" s="1"/>
  <c r="V344" i="161" s="1"/>
  <c r="Y344" i="161"/>
  <c r="AA344" i="161" s="1"/>
  <c r="R344" i="161"/>
  <c r="AL344" i="161" s="1"/>
  <c r="AM344" i="161" s="1"/>
  <c r="AN344" i="161" s="1"/>
  <c r="AH344" i="161" s="1"/>
  <c r="B344" i="161" s="1"/>
  <c r="Q344" i="161"/>
  <c r="AE344" i="161" s="1"/>
  <c r="Z344" i="161"/>
  <c r="AR344" i="161"/>
  <c r="AU344" i="161"/>
  <c r="AS344" i="161"/>
  <c r="AT344" i="161"/>
  <c r="R376" i="161"/>
  <c r="AL376" i="161" s="1"/>
  <c r="AM376" i="161" s="1"/>
  <c r="AN376" i="161" s="1"/>
  <c r="AH376" i="161" s="1"/>
  <c r="B376" i="161" s="1"/>
  <c r="Z376" i="161"/>
  <c r="T376" i="161"/>
  <c r="U376" i="161" s="1"/>
  <c r="V376" i="161" s="1"/>
  <c r="Y376" i="161"/>
  <c r="AA376" i="161" s="1"/>
  <c r="Q376" i="161"/>
  <c r="AE376" i="161" s="1"/>
  <c r="AS376" i="161"/>
  <c r="AT376" i="161"/>
  <c r="AU376" i="161"/>
  <c r="AR376" i="161"/>
  <c r="Q354" i="161"/>
  <c r="AE354" i="161" s="1"/>
  <c r="Y354" i="161"/>
  <c r="AA354" i="161" s="1"/>
  <c r="T354" i="161"/>
  <c r="V354" i="161" s="1"/>
  <c r="R354" i="161"/>
  <c r="AL354" i="161" s="1"/>
  <c r="Z354" i="161"/>
  <c r="AB354" i="161" s="1"/>
  <c r="Y262" i="161"/>
  <c r="AA262" i="161" s="1"/>
  <c r="Z262" i="161"/>
  <c r="R262" i="161"/>
  <c r="AL262" i="161" s="1"/>
  <c r="AM262" i="161" s="1"/>
  <c r="AN262" i="161" s="1"/>
  <c r="AH262" i="161" s="1"/>
  <c r="B262" i="161" s="1"/>
  <c r="Q262" i="161"/>
  <c r="AE262" i="161" s="1"/>
  <c r="T262" i="161"/>
  <c r="U262" i="161" s="1"/>
  <c r="V262" i="161" s="1"/>
  <c r="AU262" i="161"/>
  <c r="AR262" i="161"/>
  <c r="AT262" i="161"/>
  <c r="AS262" i="161"/>
  <c r="T352" i="161"/>
  <c r="U352" i="161" s="1"/>
  <c r="V352" i="161" s="1"/>
  <c r="AS352" i="161"/>
  <c r="Z352" i="161"/>
  <c r="R352" i="161"/>
  <c r="AL352" i="161" s="1"/>
  <c r="AM352" i="161" s="1"/>
  <c r="AN352" i="161" s="1"/>
  <c r="AH352" i="161" s="1"/>
  <c r="B352" i="161" s="1"/>
  <c r="Q352" i="161"/>
  <c r="AE352" i="161" s="1"/>
  <c r="AR352" i="161"/>
  <c r="AT352" i="161"/>
  <c r="Y352" i="161"/>
  <c r="AA352" i="161" s="1"/>
  <c r="AU352" i="161"/>
  <c r="R372" i="161"/>
  <c r="AL372" i="161" s="1"/>
  <c r="AM372" i="161" s="1"/>
  <c r="AN372" i="161" s="1"/>
  <c r="AH372" i="161" s="1"/>
  <c r="B372" i="161" s="1"/>
  <c r="T372" i="161"/>
  <c r="U372" i="161" s="1"/>
  <c r="V372" i="161" s="1"/>
  <c r="Y372" i="161"/>
  <c r="AA372" i="161" s="1"/>
  <c r="Q372" i="161"/>
  <c r="AE372" i="161" s="1"/>
  <c r="Z372" i="161"/>
  <c r="AU372" i="161"/>
  <c r="AR372" i="161"/>
  <c r="AS372" i="161"/>
  <c r="AT372" i="161"/>
  <c r="T343" i="161"/>
  <c r="V343" i="161" s="1"/>
  <c r="Z343" i="161"/>
  <c r="AB343" i="161" s="1"/>
  <c r="R343" i="161"/>
  <c r="AL343" i="161" s="1"/>
  <c r="Y343" i="161"/>
  <c r="AA343" i="161" s="1"/>
  <c r="Q343" i="161"/>
  <c r="AE343" i="161" s="1"/>
  <c r="T353" i="161"/>
  <c r="U353" i="161" s="1"/>
  <c r="V353" i="161" s="1"/>
  <c r="Q353" i="161"/>
  <c r="AE353" i="161" s="1"/>
  <c r="R353" i="161"/>
  <c r="AL353" i="161" s="1"/>
  <c r="AM353" i="161" s="1"/>
  <c r="AN353" i="161" s="1"/>
  <c r="AH353" i="161" s="1"/>
  <c r="B353" i="161" s="1"/>
  <c r="AU353" i="161"/>
  <c r="AR353" i="161"/>
  <c r="AS353" i="161"/>
  <c r="Z353" i="161"/>
  <c r="AT353" i="161"/>
  <c r="Y353" i="161"/>
  <c r="AA353" i="161" s="1"/>
  <c r="R63" i="161"/>
  <c r="AL63" i="161" s="1"/>
  <c r="AM63" i="161" s="1"/>
  <c r="AS63" i="161"/>
  <c r="Y63" i="161"/>
  <c r="AA63" i="161" s="1"/>
  <c r="Z63" i="161"/>
  <c r="AU63" i="161"/>
  <c r="Q63" i="161"/>
  <c r="AE63" i="161" s="1"/>
  <c r="AR63" i="161"/>
  <c r="T63" i="161"/>
  <c r="U63" i="161" s="1"/>
  <c r="V63" i="161" s="1"/>
  <c r="AT63" i="161"/>
  <c r="Z30" i="161"/>
  <c r="T30" i="161"/>
  <c r="U30" i="161" s="1"/>
  <c r="V30" i="161" s="1"/>
  <c r="Q30" i="161"/>
  <c r="AE30" i="161" s="1"/>
  <c r="Y30" i="161"/>
  <c r="AA30" i="161" s="1"/>
  <c r="R30" i="161"/>
  <c r="AL30" i="161" s="1"/>
  <c r="AM30" i="161" s="1"/>
  <c r="AN30" i="161" s="1"/>
  <c r="AH30" i="161" s="1"/>
  <c r="B30" i="161" s="1"/>
  <c r="AT30" i="161"/>
  <c r="AS30" i="161"/>
  <c r="AU30" i="161"/>
  <c r="AR30" i="161"/>
  <c r="T15" i="161"/>
  <c r="U15" i="161" s="1"/>
  <c r="V15" i="161" s="1"/>
  <c r="Z15" i="161"/>
  <c r="Y15" i="161"/>
  <c r="AA15" i="161" s="1"/>
  <c r="Q15" i="161"/>
  <c r="AE15" i="161" s="1"/>
  <c r="R15" i="161"/>
  <c r="AL15" i="161" s="1"/>
  <c r="AM15" i="161" s="1"/>
  <c r="AN15" i="161" s="1"/>
  <c r="AH15" i="161" s="1"/>
  <c r="B15" i="161" s="1"/>
  <c r="AT15" i="161"/>
  <c r="AR15" i="161"/>
  <c r="AU15" i="161"/>
  <c r="AS15" i="161"/>
  <c r="T17" i="161"/>
  <c r="U17" i="161" s="1"/>
  <c r="V17" i="161" s="1"/>
  <c r="D12" i="189" s="1"/>
  <c r="Y17" i="161"/>
  <c r="AA17" i="161" s="1"/>
  <c r="R17" i="161"/>
  <c r="AL17" i="161" s="1"/>
  <c r="AM17" i="161" s="1"/>
  <c r="AN17" i="161" s="1"/>
  <c r="AH17" i="161" s="1"/>
  <c r="B17" i="161" s="1"/>
  <c r="Q17" i="161"/>
  <c r="AE17" i="161" s="1"/>
  <c r="Z17" i="161"/>
  <c r="AR17" i="161"/>
  <c r="AU17" i="161"/>
  <c r="AT17" i="161"/>
  <c r="AS17" i="161"/>
  <c r="Y72" i="161"/>
  <c r="AA72" i="161" s="1"/>
  <c r="R72" i="161"/>
  <c r="AL72" i="161" s="1"/>
  <c r="Q72" i="161"/>
  <c r="AE72" i="161" s="1"/>
  <c r="T72" i="161"/>
  <c r="V72" i="161" s="1"/>
  <c r="Z72" i="161"/>
  <c r="AB72" i="161" s="1"/>
  <c r="R28" i="161"/>
  <c r="AL28" i="161" s="1"/>
  <c r="AM28" i="161" s="1"/>
  <c r="AN28" i="161" s="1"/>
  <c r="AH28" i="161" s="1"/>
  <c r="B28" i="161" s="1"/>
  <c r="Y28" i="161"/>
  <c r="AA28" i="161" s="1"/>
  <c r="T28" i="161"/>
  <c r="U28" i="161" s="1"/>
  <c r="V28" i="161" s="1"/>
  <c r="Z28" i="161"/>
  <c r="Q28" i="161"/>
  <c r="AE28" i="161" s="1"/>
  <c r="AU28" i="161"/>
  <c r="AS28" i="161"/>
  <c r="AR28" i="161"/>
  <c r="AT28" i="161"/>
  <c r="T26" i="161"/>
  <c r="Y26" i="161"/>
  <c r="AA26" i="161" s="1"/>
  <c r="R26" i="161"/>
  <c r="AL26" i="161" s="1"/>
  <c r="AM26" i="161" s="1"/>
  <c r="AN26" i="161" s="1"/>
  <c r="AH26" i="161" s="1"/>
  <c r="B26" i="161" s="1"/>
  <c r="Q26" i="161"/>
  <c r="AE26" i="161" s="1"/>
  <c r="Z26" i="161"/>
  <c r="AT26" i="161"/>
  <c r="AS26" i="161"/>
  <c r="AU26" i="161"/>
  <c r="AR26" i="161"/>
  <c r="Y24" i="161"/>
  <c r="AA24" i="161" s="1"/>
  <c r="Z24" i="161"/>
  <c r="T24" i="161"/>
  <c r="U24" i="161" s="1"/>
  <c r="V24" i="161" s="1"/>
  <c r="Q24" i="161"/>
  <c r="AE24" i="161" s="1"/>
  <c r="R24" i="161"/>
  <c r="AL24" i="161" s="1"/>
  <c r="AM24" i="161" s="1"/>
  <c r="AS24" i="161"/>
  <c r="AT24" i="161"/>
  <c r="AU24" i="161"/>
  <c r="AR24" i="161"/>
  <c r="AS64" i="161"/>
  <c r="Z64" i="161"/>
  <c r="Y64" i="161"/>
  <c r="AA64" i="161" s="1"/>
  <c r="AU64" i="161"/>
  <c r="R64" i="161"/>
  <c r="AL64" i="161" s="1"/>
  <c r="AM64" i="161" s="1"/>
  <c r="AT64" i="161"/>
  <c r="T64" i="161"/>
  <c r="U64" i="161" s="1"/>
  <c r="V64" i="161" s="1"/>
  <c r="Q64" i="161"/>
  <c r="AE64" i="161" s="1"/>
  <c r="AR64" i="161"/>
  <c r="Y87" i="161"/>
  <c r="AA87" i="161" s="1"/>
  <c r="R87" i="161"/>
  <c r="AL87" i="161" s="1"/>
  <c r="AM87" i="161" s="1"/>
  <c r="AN87" i="161" s="1"/>
  <c r="AH87" i="161" s="1"/>
  <c r="B87" i="161" s="1"/>
  <c r="Z87" i="161"/>
  <c r="T87" i="161"/>
  <c r="U87" i="161" s="1"/>
  <c r="V87" i="161" s="1"/>
  <c r="Q87" i="161"/>
  <c r="AE87" i="161" s="1"/>
  <c r="AT87" i="161"/>
  <c r="AS87" i="161"/>
  <c r="AU87" i="161"/>
  <c r="AR87" i="161"/>
  <c r="Z97" i="161"/>
  <c r="Q97" i="161"/>
  <c r="AE97" i="161" s="1"/>
  <c r="T97" i="161"/>
  <c r="U97" i="161" s="1"/>
  <c r="V97" i="161" s="1"/>
  <c r="R97" i="161"/>
  <c r="AL97" i="161" s="1"/>
  <c r="AM97" i="161" s="1"/>
  <c r="AN97" i="161" s="1"/>
  <c r="AH97" i="161" s="1"/>
  <c r="B97" i="161" s="1"/>
  <c r="Y97" i="161"/>
  <c r="AA97" i="161" s="1"/>
  <c r="AS97" i="161"/>
  <c r="AU97" i="161"/>
  <c r="AR97" i="161"/>
  <c r="AT97" i="161"/>
  <c r="T133" i="161"/>
  <c r="U133" i="161" s="1"/>
  <c r="V133" i="161" s="1"/>
  <c r="R133" i="161"/>
  <c r="AL133" i="161" s="1"/>
  <c r="AM133" i="161" s="1"/>
  <c r="AN133" i="161" s="1"/>
  <c r="AH133" i="161" s="1"/>
  <c r="B133" i="161" s="1"/>
  <c r="Q133" i="161"/>
  <c r="AE133" i="161" s="1"/>
  <c r="Y133" i="161"/>
  <c r="AA133" i="161" s="1"/>
  <c r="Z133" i="161"/>
  <c r="AU133" i="161"/>
  <c r="AS133" i="161"/>
  <c r="AT133" i="161"/>
  <c r="AR133" i="161"/>
  <c r="T128" i="161"/>
  <c r="V128" i="161" s="1"/>
  <c r="Q128" i="161"/>
  <c r="AE128" i="161" s="1"/>
  <c r="Z128" i="161"/>
  <c r="AB128" i="161" s="1"/>
  <c r="R128" i="161"/>
  <c r="AL128" i="161" s="1"/>
  <c r="Y128" i="161"/>
  <c r="AA128" i="161" s="1"/>
  <c r="T118" i="161"/>
  <c r="U118" i="161" s="1"/>
  <c r="V118" i="161" s="1"/>
  <c r="Y118" i="161"/>
  <c r="AA118" i="161" s="1"/>
  <c r="Z118" i="161"/>
  <c r="Q118" i="161"/>
  <c r="AE118" i="161" s="1"/>
  <c r="R118" i="161"/>
  <c r="AL118" i="161" s="1"/>
  <c r="AM118" i="161" s="1"/>
  <c r="AN118" i="161" s="1"/>
  <c r="AH118" i="161" s="1"/>
  <c r="B118" i="161" s="1"/>
  <c r="AR118" i="161"/>
  <c r="AU118" i="161"/>
  <c r="AT118" i="161"/>
  <c r="AS118" i="161"/>
  <c r="Q174" i="161"/>
  <c r="AE174" i="161" s="1"/>
  <c r="R174" i="161"/>
  <c r="AL174" i="161" s="1"/>
  <c r="AM174" i="161" s="1"/>
  <c r="AN174" i="161" s="1"/>
  <c r="AH174" i="161" s="1"/>
  <c r="B174" i="161" s="1"/>
  <c r="Y174" i="161"/>
  <c r="AA174" i="161" s="1"/>
  <c r="T174" i="161"/>
  <c r="U174" i="161" s="1"/>
  <c r="V174" i="161" s="1"/>
  <c r="Z174" i="161"/>
  <c r="AU174" i="161"/>
  <c r="AR174" i="161"/>
  <c r="AS174" i="161"/>
  <c r="AT174" i="161"/>
  <c r="T77" i="161"/>
  <c r="U77" i="161" s="1"/>
  <c r="V77" i="161" s="1"/>
  <c r="R77" i="161"/>
  <c r="AL77" i="161" s="1"/>
  <c r="AM77" i="161" s="1"/>
  <c r="AN77" i="161" s="1"/>
  <c r="AH77" i="161" s="1"/>
  <c r="B77" i="161" s="1"/>
  <c r="AS77" i="161"/>
  <c r="Y77" i="161"/>
  <c r="AA77" i="161" s="1"/>
  <c r="AR77" i="161"/>
  <c r="AU77" i="161"/>
  <c r="AT77" i="161"/>
  <c r="Q77" i="161"/>
  <c r="AE77" i="161" s="1"/>
  <c r="Z77" i="161"/>
  <c r="T126" i="161"/>
  <c r="U126" i="161" s="1"/>
  <c r="V126" i="161" s="1"/>
  <c r="Z126" i="161"/>
  <c r="Y126" i="161"/>
  <c r="AA126" i="161" s="1"/>
  <c r="Q126" i="161"/>
  <c r="AE126" i="161" s="1"/>
  <c r="R126" i="161"/>
  <c r="AL126" i="161" s="1"/>
  <c r="AM126" i="161" s="1"/>
  <c r="AN126" i="161" s="1"/>
  <c r="AH126" i="161" s="1"/>
  <c r="B126" i="161" s="1"/>
  <c r="AR126" i="161"/>
  <c r="AT126" i="161"/>
  <c r="AS126" i="161"/>
  <c r="AU126" i="161"/>
  <c r="AT185" i="161"/>
  <c r="R185" i="161"/>
  <c r="AL185" i="161" s="1"/>
  <c r="AM185" i="161" s="1"/>
  <c r="AN185" i="161" s="1"/>
  <c r="AH185" i="161" s="1"/>
  <c r="B185" i="161" s="1"/>
  <c r="T185" i="161"/>
  <c r="U185" i="161" s="1"/>
  <c r="V185" i="161" s="1"/>
  <c r="Z185" i="161"/>
  <c r="Y185" i="161"/>
  <c r="AA185" i="161" s="1"/>
  <c r="Q185" i="161"/>
  <c r="AE185" i="161" s="1"/>
  <c r="AU185" i="161"/>
  <c r="AR185" i="161"/>
  <c r="AS185" i="161"/>
  <c r="AR68" i="161"/>
  <c r="Q68" i="161"/>
  <c r="AE68" i="161" s="1"/>
  <c r="Y68" i="161"/>
  <c r="AA68" i="161" s="1"/>
  <c r="R68" i="161"/>
  <c r="AL68" i="161" s="1"/>
  <c r="AM68" i="161" s="1"/>
  <c r="Z68" i="161"/>
  <c r="T68" i="161"/>
  <c r="U68" i="161" s="1"/>
  <c r="V68" i="161" s="1"/>
  <c r="AT68" i="161"/>
  <c r="AS68" i="161"/>
  <c r="AU68" i="161"/>
  <c r="Q158" i="161"/>
  <c r="AE158" i="161" s="1"/>
  <c r="T158" i="161"/>
  <c r="V158" i="161" s="1"/>
  <c r="R158" i="161"/>
  <c r="AL158" i="161" s="1"/>
  <c r="Y158" i="161"/>
  <c r="AA158" i="161" s="1"/>
  <c r="Z158" i="161"/>
  <c r="AB158" i="161" s="1"/>
  <c r="R69" i="161"/>
  <c r="AL69" i="161" s="1"/>
  <c r="AM69" i="161" s="1"/>
  <c r="T69" i="161"/>
  <c r="U69" i="161" s="1"/>
  <c r="V69" i="161" s="1"/>
  <c r="Q69" i="161"/>
  <c r="AE69" i="161" s="1"/>
  <c r="Y69" i="161"/>
  <c r="AA69" i="161" s="1"/>
  <c r="Z69" i="161"/>
  <c r="AS69" i="161"/>
  <c r="AU69" i="161"/>
  <c r="AR69" i="161"/>
  <c r="AT69" i="161"/>
  <c r="Z144" i="161"/>
  <c r="T144" i="161"/>
  <c r="U144" i="161" s="1"/>
  <c r="V144" i="161" s="1"/>
  <c r="Q144" i="161"/>
  <c r="AE144" i="161" s="1"/>
  <c r="R144" i="161"/>
  <c r="AL144" i="161" s="1"/>
  <c r="AM144" i="161" s="1"/>
  <c r="AN144" i="161" s="1"/>
  <c r="AH144" i="161" s="1"/>
  <c r="B144" i="161" s="1"/>
  <c r="Y144" i="161"/>
  <c r="AA144" i="161" s="1"/>
  <c r="AU144" i="161"/>
  <c r="AT144" i="161"/>
  <c r="AS144" i="161"/>
  <c r="AR144" i="161"/>
  <c r="R255" i="161"/>
  <c r="AL255" i="161" s="1"/>
  <c r="AM255" i="161" s="1"/>
  <c r="AN255" i="161" s="1"/>
  <c r="AH255" i="161" s="1"/>
  <c r="B255" i="161" s="1"/>
  <c r="Y255" i="161"/>
  <c r="AA255" i="161" s="1"/>
  <c r="T255" i="161"/>
  <c r="Z255" i="161"/>
  <c r="Q255" i="161"/>
  <c r="AE255" i="161" s="1"/>
  <c r="AT255" i="161"/>
  <c r="AR255" i="161"/>
  <c r="AS255" i="161"/>
  <c r="AU255" i="161"/>
  <c r="T368" i="161"/>
  <c r="U368" i="161" s="1"/>
  <c r="V368" i="161" s="1"/>
  <c r="R368" i="161"/>
  <c r="AL368" i="161" s="1"/>
  <c r="AM368" i="161" s="1"/>
  <c r="AN368" i="161" s="1"/>
  <c r="AH368" i="161" s="1"/>
  <c r="B368" i="161" s="1"/>
  <c r="Q368" i="161"/>
  <c r="AE368" i="161" s="1"/>
  <c r="Z368" i="161"/>
  <c r="Y368" i="161"/>
  <c r="AA368" i="161" s="1"/>
  <c r="AS368" i="161"/>
  <c r="AU368" i="161"/>
  <c r="AR368" i="161"/>
  <c r="AT368" i="161"/>
  <c r="T196" i="161"/>
  <c r="U196" i="161" s="1"/>
  <c r="V196" i="161" s="1"/>
  <c r="Q196" i="161"/>
  <c r="AE196" i="161" s="1"/>
  <c r="R196" i="161"/>
  <c r="AL196" i="161" s="1"/>
  <c r="AM196" i="161" s="1"/>
  <c r="AN196" i="161" s="1"/>
  <c r="AH196" i="161" s="1"/>
  <c r="B196" i="161" s="1"/>
  <c r="Y196" i="161"/>
  <c r="AA196" i="161" s="1"/>
  <c r="Z196" i="161"/>
  <c r="AT196" i="161"/>
  <c r="AR196" i="161"/>
  <c r="AU196" i="161"/>
  <c r="AS196" i="161"/>
  <c r="Y239" i="161"/>
  <c r="AA239" i="161" s="1"/>
  <c r="T239" i="161"/>
  <c r="V239" i="161" s="1"/>
  <c r="R239" i="161"/>
  <c r="AL239" i="161" s="1"/>
  <c r="Q239" i="161"/>
  <c r="AE239" i="161" s="1"/>
  <c r="Z239" i="161"/>
  <c r="AB239" i="161" s="1"/>
  <c r="Y188" i="161"/>
  <c r="AA188" i="161" s="1"/>
  <c r="R188" i="161"/>
  <c r="AL188" i="161" s="1"/>
  <c r="Q188" i="161"/>
  <c r="AE188" i="161" s="1"/>
  <c r="Z188" i="161"/>
  <c r="AB188" i="161" s="1"/>
  <c r="T188" i="161"/>
  <c r="V188" i="161" s="1"/>
  <c r="Y247" i="161"/>
  <c r="AA247" i="161" s="1"/>
  <c r="Z247" i="161"/>
  <c r="Q247" i="161"/>
  <c r="AE247" i="161" s="1"/>
  <c r="T247" i="161"/>
  <c r="U247" i="161" s="1"/>
  <c r="V247" i="161" s="1"/>
  <c r="R247" i="161"/>
  <c r="AL247" i="161" s="1"/>
  <c r="AM247" i="161" s="1"/>
  <c r="AN247" i="161" s="1"/>
  <c r="AH247" i="161" s="1"/>
  <c r="B247" i="161" s="1"/>
  <c r="AS247" i="161"/>
  <c r="AR247" i="161"/>
  <c r="AU247" i="161"/>
  <c r="AT247" i="161"/>
  <c r="T147" i="161"/>
  <c r="V147" i="161" s="1"/>
  <c r="R147" i="161"/>
  <c r="AL147" i="161" s="1"/>
  <c r="Z147" i="161"/>
  <c r="AB147" i="161" s="1"/>
  <c r="Q147" i="161"/>
  <c r="AE147" i="161" s="1"/>
  <c r="Y147" i="161"/>
  <c r="AA147" i="161" s="1"/>
  <c r="R232" i="161"/>
  <c r="AL232" i="161" s="1"/>
  <c r="AM232" i="161" s="1"/>
  <c r="AN232" i="161" s="1"/>
  <c r="AH232" i="161" s="1"/>
  <c r="B232" i="161" s="1"/>
  <c r="Y232" i="161"/>
  <c r="AA232" i="161" s="1"/>
  <c r="Q232" i="161"/>
  <c r="AE232" i="161" s="1"/>
  <c r="T232" i="161"/>
  <c r="U232" i="161" s="1"/>
  <c r="V232" i="161" s="1"/>
  <c r="Z232" i="161"/>
  <c r="AS232" i="161"/>
  <c r="AT232" i="161"/>
  <c r="AR232" i="161"/>
  <c r="AU232" i="161"/>
  <c r="T165" i="161"/>
  <c r="U165" i="161" s="1"/>
  <c r="V165" i="161" s="1"/>
  <c r="R165" i="161"/>
  <c r="AL165" i="161" s="1"/>
  <c r="AM165" i="161" s="1"/>
  <c r="AN165" i="161" s="1"/>
  <c r="AH165" i="161" s="1"/>
  <c r="B165" i="161" s="1"/>
  <c r="AU165" i="161"/>
  <c r="Y165" i="161"/>
  <c r="AA165" i="161" s="1"/>
  <c r="AS165" i="161"/>
  <c r="AT165" i="161"/>
  <c r="AR165" i="161"/>
  <c r="Z165" i="161"/>
  <c r="Q165" i="161"/>
  <c r="AE165" i="161" s="1"/>
  <c r="AU231" i="161"/>
  <c r="T231" i="161"/>
  <c r="U231" i="161" s="1"/>
  <c r="V231" i="161" s="1"/>
  <c r="R231" i="161"/>
  <c r="AL231" i="161" s="1"/>
  <c r="AM231" i="161" s="1"/>
  <c r="AN231" i="161" s="1"/>
  <c r="AH231" i="161" s="1"/>
  <c r="B231" i="161" s="1"/>
  <c r="Z231" i="161"/>
  <c r="Y231" i="161"/>
  <c r="AA231" i="161" s="1"/>
  <c r="Q231" i="161"/>
  <c r="AE231" i="161" s="1"/>
  <c r="AS231" i="161"/>
  <c r="AR231" i="161"/>
  <c r="AT231" i="161"/>
  <c r="R309" i="161"/>
  <c r="AL309" i="161" s="1"/>
  <c r="AM309" i="161" s="1"/>
  <c r="AN309" i="161" s="1"/>
  <c r="AH309" i="161" s="1"/>
  <c r="B309" i="161" s="1"/>
  <c r="Y309" i="161"/>
  <c r="AA309" i="161" s="1"/>
  <c r="T309" i="161"/>
  <c r="U309" i="161" s="1"/>
  <c r="V309" i="161" s="1"/>
  <c r="Q309" i="161"/>
  <c r="AE309" i="161" s="1"/>
  <c r="Z309" i="161"/>
  <c r="AS309" i="161"/>
  <c r="AT309" i="161"/>
  <c r="AR309" i="161"/>
  <c r="AU309" i="161"/>
  <c r="Q168" i="161"/>
  <c r="AE168" i="161" s="1"/>
  <c r="R168" i="161"/>
  <c r="AL168" i="161" s="1"/>
  <c r="AM168" i="161" s="1"/>
  <c r="AN168" i="161" s="1"/>
  <c r="AH168" i="161" s="1"/>
  <c r="B168" i="161" s="1"/>
  <c r="T168" i="161"/>
  <c r="U168" i="161" s="1"/>
  <c r="V168" i="161" s="1"/>
  <c r="Y168" i="161"/>
  <c r="AA168" i="161" s="1"/>
  <c r="Z168" i="161"/>
  <c r="AU168" i="161"/>
  <c r="AR168" i="161"/>
  <c r="AS168" i="161"/>
  <c r="AT168" i="161"/>
  <c r="Y226" i="161"/>
  <c r="AA226" i="161" s="1"/>
  <c r="Q226" i="161"/>
  <c r="AE226" i="161" s="1"/>
  <c r="T226" i="161"/>
  <c r="Z226" i="161"/>
  <c r="AB226" i="161" s="1"/>
  <c r="R226" i="161"/>
  <c r="AL226" i="161" s="1"/>
  <c r="T175" i="161"/>
  <c r="U175" i="161" s="1"/>
  <c r="V175" i="161" s="1"/>
  <c r="Y175" i="161"/>
  <c r="AA175" i="161" s="1"/>
  <c r="Q175" i="161"/>
  <c r="AE175" i="161" s="1"/>
  <c r="Z175" i="161"/>
  <c r="R175" i="161"/>
  <c r="AL175" i="161" s="1"/>
  <c r="AM175" i="161" s="1"/>
  <c r="AN175" i="161" s="1"/>
  <c r="AH175" i="161" s="1"/>
  <c r="B175" i="161" s="1"/>
  <c r="AS175" i="161"/>
  <c r="AR175" i="161"/>
  <c r="AT175" i="161"/>
  <c r="AU175" i="161"/>
  <c r="Z277" i="161"/>
  <c r="Q277" i="161"/>
  <c r="AE277" i="161" s="1"/>
  <c r="Y277" i="161"/>
  <c r="AA277" i="161" s="1"/>
  <c r="AR277" i="161"/>
  <c r="AT277" i="161"/>
  <c r="AS277" i="161"/>
  <c r="T277" i="161"/>
  <c r="U277" i="161" s="1"/>
  <c r="V277" i="161" s="1"/>
  <c r="AU277" i="161"/>
  <c r="R277" i="161"/>
  <c r="AL277" i="161" s="1"/>
  <c r="AM277" i="161" s="1"/>
  <c r="AN277" i="161" s="1"/>
  <c r="AH277" i="161" s="1"/>
  <c r="B277" i="161" s="1"/>
  <c r="Z244" i="161"/>
  <c r="Y244" i="161"/>
  <c r="AA244" i="161" s="1"/>
  <c r="Q244" i="161"/>
  <c r="AE244" i="161" s="1"/>
  <c r="R244" i="161"/>
  <c r="AL244" i="161" s="1"/>
  <c r="AM244" i="161" s="1"/>
  <c r="AN244" i="161" s="1"/>
  <c r="AH244" i="161" s="1"/>
  <c r="B244" i="161" s="1"/>
  <c r="T244" i="161"/>
  <c r="U244" i="161" s="1"/>
  <c r="V244" i="161" s="1"/>
  <c r="AS244" i="161"/>
  <c r="AR244" i="161"/>
  <c r="AT244" i="161"/>
  <c r="AU244" i="161"/>
  <c r="Z310" i="161"/>
  <c r="Q310" i="161"/>
  <c r="AE310" i="161" s="1"/>
  <c r="R310" i="161"/>
  <c r="AL310" i="161" s="1"/>
  <c r="AM310" i="161" s="1"/>
  <c r="AN310" i="161" s="1"/>
  <c r="AH310" i="161" s="1"/>
  <c r="B310" i="161" s="1"/>
  <c r="Y310" i="161"/>
  <c r="AA310" i="161" s="1"/>
  <c r="T310" i="161"/>
  <c r="U310" i="161" s="1"/>
  <c r="V310" i="161" s="1"/>
  <c r="AS310" i="161"/>
  <c r="AR310" i="161"/>
  <c r="AU310" i="161"/>
  <c r="AT310" i="161"/>
  <c r="R345" i="161"/>
  <c r="AL345" i="161" s="1"/>
  <c r="Q345" i="161"/>
  <c r="AE345" i="161" s="1"/>
  <c r="T345" i="161"/>
  <c r="V345" i="161" s="1"/>
  <c r="Y345" i="161"/>
  <c r="AA345" i="161" s="1"/>
  <c r="Z345" i="161"/>
  <c r="AB345" i="161" s="1"/>
  <c r="R281" i="161"/>
  <c r="AL281" i="161" s="1"/>
  <c r="AM281" i="161" s="1"/>
  <c r="T281" i="161"/>
  <c r="U281" i="161" s="1"/>
  <c r="V281" i="161" s="1"/>
  <c r="Q281" i="161"/>
  <c r="AE281" i="161" s="1"/>
  <c r="Y281" i="161"/>
  <c r="AA281" i="161" s="1"/>
  <c r="Z281" i="161"/>
  <c r="AR281" i="161"/>
  <c r="AS281" i="161"/>
  <c r="AU281" i="161"/>
  <c r="AT281" i="161"/>
  <c r="T357" i="161"/>
  <c r="U357" i="161" s="1"/>
  <c r="V357" i="161" s="1"/>
  <c r="AS357" i="161"/>
  <c r="Y357" i="161"/>
  <c r="AA357" i="161" s="1"/>
  <c r="AR357" i="161"/>
  <c r="AU357" i="161"/>
  <c r="Z357" i="161"/>
  <c r="Q357" i="161"/>
  <c r="AE357" i="161" s="1"/>
  <c r="R357" i="161"/>
  <c r="AL357" i="161" s="1"/>
  <c r="AM357" i="161" s="1"/>
  <c r="AN357" i="161" s="1"/>
  <c r="AH357" i="161" s="1"/>
  <c r="B357" i="161" s="1"/>
  <c r="AT357" i="161"/>
  <c r="Z267" i="161"/>
  <c r="Y267" i="161"/>
  <c r="AA267" i="161" s="1"/>
  <c r="T267" i="161"/>
  <c r="U267" i="161" s="1"/>
  <c r="V267" i="161" s="1"/>
  <c r="Q267" i="161"/>
  <c r="AE267" i="161" s="1"/>
  <c r="R267" i="161"/>
  <c r="AL267" i="161" s="1"/>
  <c r="AM267" i="161" s="1"/>
  <c r="AN267" i="161" s="1"/>
  <c r="AH267" i="161" s="1"/>
  <c r="B267" i="161" s="1"/>
  <c r="AU267" i="161"/>
  <c r="AR267" i="161"/>
  <c r="AS267" i="161"/>
  <c r="AT267" i="161"/>
  <c r="Y362" i="161"/>
  <c r="AA362" i="161" s="1"/>
  <c r="T362" i="161"/>
  <c r="Q362" i="161"/>
  <c r="AE362" i="161" s="1"/>
  <c r="Z362" i="161"/>
  <c r="AB362" i="161" s="1"/>
  <c r="R362" i="161"/>
  <c r="AL362" i="161" s="1"/>
  <c r="P361" i="161" a="1"/>
  <c r="P361" i="161" s="1"/>
  <c r="P329" i="161" s="1" a="1"/>
  <c r="P329" i="161" s="1"/>
  <c r="T306" i="161"/>
  <c r="U306" i="161" s="1"/>
  <c r="V306" i="161" s="1"/>
  <c r="R306" i="161"/>
  <c r="AL306" i="161" s="1"/>
  <c r="AM306" i="161" s="1"/>
  <c r="AN306" i="161" s="1"/>
  <c r="AH306" i="161" s="1"/>
  <c r="B306" i="161" s="1"/>
  <c r="Z306" i="161"/>
  <c r="Q306" i="161"/>
  <c r="AE306" i="161" s="1"/>
  <c r="Y306" i="161"/>
  <c r="AA306" i="161" s="1"/>
  <c r="AR306" i="161"/>
  <c r="AU306" i="161"/>
  <c r="AT306" i="161"/>
  <c r="AS306" i="161"/>
  <c r="Q360" i="161"/>
  <c r="AE360" i="161" s="1"/>
  <c r="AS360" i="161"/>
  <c r="Z360" i="161"/>
  <c r="Y360" i="161"/>
  <c r="AA360" i="161" s="1"/>
  <c r="AT360" i="161"/>
  <c r="T360" i="161"/>
  <c r="U360" i="161" s="1"/>
  <c r="V360" i="161" s="1"/>
  <c r="AU360" i="161"/>
  <c r="AR360" i="161"/>
  <c r="R360" i="161"/>
  <c r="AL360" i="161" s="1"/>
  <c r="AM360" i="161" s="1"/>
  <c r="AN360" i="161" s="1"/>
  <c r="AH360" i="161" s="1"/>
  <c r="B360" i="161" s="1"/>
  <c r="T355" i="161"/>
  <c r="U355" i="161" s="1"/>
  <c r="V355" i="161" s="1"/>
  <c r="Q355" i="161"/>
  <c r="AE355" i="161" s="1"/>
  <c r="Y355" i="161"/>
  <c r="AA355" i="161" s="1"/>
  <c r="R355" i="161"/>
  <c r="AL355" i="161" s="1"/>
  <c r="AM355" i="161" s="1"/>
  <c r="AN355" i="161" s="1"/>
  <c r="AH355" i="161" s="1"/>
  <c r="B355" i="161" s="1"/>
  <c r="Z355" i="161"/>
  <c r="AT355" i="161"/>
  <c r="AR355" i="161"/>
  <c r="AS355" i="161"/>
  <c r="AU355" i="161"/>
  <c r="T131" i="161"/>
  <c r="U131" i="161" s="1"/>
  <c r="V131" i="161" s="1"/>
  <c r="Y131" i="161"/>
  <c r="AA131" i="161" s="1"/>
  <c r="Z131" i="161"/>
  <c r="R131" i="161"/>
  <c r="AL131" i="161" s="1"/>
  <c r="AM131" i="161" s="1"/>
  <c r="AN131" i="161" s="1"/>
  <c r="AH131" i="161" s="1"/>
  <c r="B131" i="161" s="1"/>
  <c r="Q131" i="161"/>
  <c r="AE131" i="161" s="1"/>
  <c r="AS131" i="161"/>
  <c r="AU131" i="161"/>
  <c r="AT131" i="161"/>
  <c r="AR131" i="161"/>
  <c r="T18" i="161"/>
  <c r="U18" i="161" s="1"/>
  <c r="V18" i="161" s="1"/>
  <c r="R18" i="161"/>
  <c r="AL18" i="161" s="1"/>
  <c r="AM18" i="161" s="1"/>
  <c r="AN18" i="161" s="1"/>
  <c r="AH18" i="161" s="1"/>
  <c r="B18" i="161" s="1"/>
  <c r="Y18" i="161"/>
  <c r="AA18" i="161" s="1"/>
  <c r="Q18" i="161"/>
  <c r="AE18" i="161" s="1"/>
  <c r="Z18" i="161"/>
  <c r="AT18" i="161"/>
  <c r="AS18" i="161"/>
  <c r="AR18" i="161"/>
  <c r="AU18" i="161"/>
  <c r="T38" i="161"/>
  <c r="U38" i="161" s="1"/>
  <c r="V38" i="161" s="1"/>
  <c r="Y38" i="161"/>
  <c r="AA38" i="161" s="1"/>
  <c r="R38" i="161"/>
  <c r="AL38" i="161" s="1"/>
  <c r="AM38" i="161" s="1"/>
  <c r="AN38" i="161" s="1"/>
  <c r="AH38" i="161" s="1"/>
  <c r="B38" i="161" s="1"/>
  <c r="Z38" i="161"/>
  <c r="Q38" i="161"/>
  <c r="AE38" i="161" s="1"/>
  <c r="AT38" i="161"/>
  <c r="AU38" i="161"/>
  <c r="AS38" i="161"/>
  <c r="AR38" i="161"/>
  <c r="AU22" i="161"/>
  <c r="Z22" i="161"/>
  <c r="T22" i="161"/>
  <c r="U22" i="161" s="1"/>
  <c r="V22" i="161" s="1"/>
  <c r="R22" i="161"/>
  <c r="AL22" i="161" s="1"/>
  <c r="AM22" i="161" s="1"/>
  <c r="Q22" i="161"/>
  <c r="AE22" i="161" s="1"/>
  <c r="Y22" i="161"/>
  <c r="AA22" i="161" s="1"/>
  <c r="AT22" i="161"/>
  <c r="AR22" i="161"/>
  <c r="AS22" i="161"/>
  <c r="T27" i="161"/>
  <c r="U27" i="161" s="1"/>
  <c r="V27" i="161" s="1"/>
  <c r="Y27" i="161"/>
  <c r="AA27" i="161" s="1"/>
  <c r="R27" i="161"/>
  <c r="AL27" i="161" s="1"/>
  <c r="AM27" i="161" s="1"/>
  <c r="AN27" i="161" s="1"/>
  <c r="AH27" i="161" s="1"/>
  <c r="B27" i="161" s="1"/>
  <c r="Q27" i="161"/>
  <c r="AE27" i="161" s="1"/>
  <c r="Z27" i="161"/>
  <c r="AS27" i="161"/>
  <c r="AT27" i="161"/>
  <c r="AU27" i="161"/>
  <c r="AR27" i="161"/>
  <c r="T39" i="161"/>
  <c r="V39" i="161" s="1"/>
  <c r="Z39" i="161"/>
  <c r="AB39" i="161" s="1"/>
  <c r="Y39" i="161"/>
  <c r="AA39" i="161" s="1"/>
  <c r="Q39" i="161"/>
  <c r="AE39" i="161" s="1"/>
  <c r="R39" i="161"/>
  <c r="AL39" i="161" s="1"/>
  <c r="Z21" i="161"/>
  <c r="Y21" i="161"/>
  <c r="AA21" i="161" s="1"/>
  <c r="R21" i="161"/>
  <c r="AL21" i="161" s="1"/>
  <c r="AM21" i="161" s="1"/>
  <c r="AN21" i="161" s="1"/>
  <c r="AH21" i="161" s="1"/>
  <c r="B21" i="161" s="1"/>
  <c r="Q21" i="161"/>
  <c r="AE21" i="161" s="1"/>
  <c r="T21" i="161"/>
  <c r="U21" i="161" s="1"/>
  <c r="V21" i="161" s="1"/>
  <c r="AT21" i="161"/>
  <c r="AU21" i="161"/>
  <c r="AS21" i="161"/>
  <c r="AR21" i="161"/>
  <c r="Z16" i="161"/>
  <c r="Q16" i="161"/>
  <c r="AE16" i="161" s="1"/>
  <c r="R16" i="161"/>
  <c r="AL16" i="161" s="1"/>
  <c r="AM16" i="161" s="1"/>
  <c r="Y16" i="161"/>
  <c r="AA16" i="161" s="1"/>
  <c r="T16" i="161"/>
  <c r="U16" i="161" s="1"/>
  <c r="V16" i="161" s="1"/>
  <c r="AR16" i="161"/>
  <c r="AU16" i="161"/>
  <c r="AT16" i="161"/>
  <c r="AS16" i="161"/>
  <c r="Y65" i="161"/>
  <c r="AA65" i="161" s="1"/>
  <c r="R65" i="161"/>
  <c r="AL65" i="161" s="1"/>
  <c r="Q65" i="161"/>
  <c r="AE65" i="161" s="1"/>
  <c r="T65" i="161"/>
  <c r="V65" i="161" s="1"/>
  <c r="Z65" i="161"/>
  <c r="AB65" i="161" s="1"/>
  <c r="Y88" i="161"/>
  <c r="AA88" i="161" s="1"/>
  <c r="T88" i="161"/>
  <c r="U88" i="161" s="1"/>
  <c r="V88" i="161" s="1"/>
  <c r="Z88" i="161"/>
  <c r="Q88" i="161"/>
  <c r="AE88" i="161" s="1"/>
  <c r="R88" i="161"/>
  <c r="AL88" i="161" s="1"/>
  <c r="AM88" i="161" s="1"/>
  <c r="AN88" i="161" s="1"/>
  <c r="AH88" i="161" s="1"/>
  <c r="B88" i="161" s="1"/>
  <c r="AS88" i="161"/>
  <c r="AT88" i="161"/>
  <c r="AU88" i="161"/>
  <c r="AR88" i="161"/>
  <c r="Y98" i="161"/>
  <c r="AA98" i="161" s="1"/>
  <c r="R98" i="161"/>
  <c r="AL98" i="161" s="1"/>
  <c r="AM98" i="161" s="1"/>
  <c r="AN98" i="161" s="1"/>
  <c r="AH98" i="161" s="1"/>
  <c r="B98" i="161" s="1"/>
  <c r="Z98" i="161"/>
  <c r="Q98" i="161"/>
  <c r="AE98" i="161" s="1"/>
  <c r="T98" i="161"/>
  <c r="U98" i="161" s="1"/>
  <c r="V98" i="161" s="1"/>
  <c r="AS98" i="161"/>
  <c r="AR98" i="161"/>
  <c r="AU98" i="161"/>
  <c r="AT98" i="161"/>
  <c r="T155" i="161"/>
  <c r="V155" i="161" s="1"/>
  <c r="Q155" i="161"/>
  <c r="AE155" i="161" s="1"/>
  <c r="Y155" i="161"/>
  <c r="AA155" i="161" s="1"/>
  <c r="R155" i="161"/>
  <c r="AL155" i="161" s="1"/>
  <c r="Z155" i="161"/>
  <c r="AB155" i="161" s="1"/>
  <c r="R142" i="161"/>
  <c r="AL142" i="161" s="1"/>
  <c r="AM142" i="161" s="1"/>
  <c r="AN142" i="161" s="1"/>
  <c r="AH142" i="161" s="1"/>
  <c r="B142" i="161" s="1"/>
  <c r="Y142" i="161"/>
  <c r="AA142" i="161" s="1"/>
  <c r="T142" i="161"/>
  <c r="U142" i="161" s="1"/>
  <c r="V142" i="161" s="1"/>
  <c r="Z142" i="161"/>
  <c r="Q142" i="161"/>
  <c r="AE142" i="161" s="1"/>
  <c r="AU142" i="161"/>
  <c r="AT142" i="161"/>
  <c r="AS142" i="161"/>
  <c r="AR142" i="161"/>
  <c r="T119" i="161"/>
  <c r="U119" i="161" s="1"/>
  <c r="V119" i="161" s="1"/>
  <c r="R119" i="161"/>
  <c r="AL119" i="161" s="1"/>
  <c r="AM119" i="161" s="1"/>
  <c r="AN119" i="161" s="1"/>
  <c r="AH119" i="161" s="1"/>
  <c r="B119" i="161" s="1"/>
  <c r="Q119" i="161"/>
  <c r="AE119" i="161" s="1"/>
  <c r="Z119" i="161"/>
  <c r="Y119" i="161"/>
  <c r="AA119" i="161" s="1"/>
  <c r="AU119" i="161"/>
  <c r="AS119" i="161"/>
  <c r="AT119" i="161"/>
  <c r="AR119" i="161"/>
  <c r="Q32" i="161"/>
  <c r="AE32" i="161" s="1"/>
  <c r="R32" i="161"/>
  <c r="AL32" i="161" s="1"/>
  <c r="AM32" i="161" s="1"/>
  <c r="AN32" i="161" s="1"/>
  <c r="AH32" i="161" s="1"/>
  <c r="B32" i="161" s="1"/>
  <c r="Y32" i="161"/>
  <c r="AA32" i="161" s="1"/>
  <c r="T32" i="161"/>
  <c r="U32" i="161" s="1"/>
  <c r="V32" i="161" s="1"/>
  <c r="AU32" i="161"/>
  <c r="Z32" i="161"/>
  <c r="AS32" i="161"/>
  <c r="AT32" i="161"/>
  <c r="AR32" i="161"/>
  <c r="R81" i="161"/>
  <c r="AL81" i="161" s="1"/>
  <c r="AM81" i="161" s="1"/>
  <c r="Z81" i="161"/>
  <c r="T81" i="161"/>
  <c r="U81" i="161" s="1"/>
  <c r="V81" i="161" s="1"/>
  <c r="Y81" i="161"/>
  <c r="AA81" i="161" s="1"/>
  <c r="Q81" i="161"/>
  <c r="AE81" i="161" s="1"/>
  <c r="AU81" i="161"/>
  <c r="AT81" i="161"/>
  <c r="AR81" i="161"/>
  <c r="AS81" i="161"/>
  <c r="Z134" i="161"/>
  <c r="T134" i="161"/>
  <c r="U134" i="161" s="1"/>
  <c r="V134" i="161" s="1"/>
  <c r="Y134" i="161"/>
  <c r="AA134" i="161" s="1"/>
  <c r="Q134" i="161"/>
  <c r="AE134" i="161" s="1"/>
  <c r="R134" i="161"/>
  <c r="AL134" i="161" s="1"/>
  <c r="AM134" i="161" s="1"/>
  <c r="AN134" i="161" s="1"/>
  <c r="AH134" i="161" s="1"/>
  <c r="B134" i="161" s="1"/>
  <c r="AU134" i="161"/>
  <c r="AT134" i="161"/>
  <c r="AR134" i="161"/>
  <c r="AS134" i="161"/>
  <c r="Q37" i="161"/>
  <c r="AE37" i="161" s="1"/>
  <c r="R37" i="161"/>
  <c r="AL37" i="161" s="1"/>
  <c r="AM37" i="161" s="1"/>
  <c r="AN37" i="161" s="1"/>
  <c r="AH37" i="161" s="1"/>
  <c r="B37" i="161" s="1"/>
  <c r="T37" i="161"/>
  <c r="U37" i="161" s="1"/>
  <c r="V37" i="161" s="1"/>
  <c r="Y37" i="161"/>
  <c r="AA37" i="161" s="1"/>
  <c r="Z37" i="161"/>
  <c r="AS37" i="161"/>
  <c r="AU37" i="161"/>
  <c r="AR37" i="161"/>
  <c r="AT37" i="161"/>
  <c r="Y85" i="161"/>
  <c r="AA85" i="161" s="1"/>
  <c r="T85" i="161"/>
  <c r="R85" i="161"/>
  <c r="AL85" i="161" s="1"/>
  <c r="Q85" i="161"/>
  <c r="AE85" i="161" s="1"/>
  <c r="Z85" i="161"/>
  <c r="AB85" i="161" s="1"/>
  <c r="Z164" i="161"/>
  <c r="AB164" i="161" s="1"/>
  <c r="Y164" i="161"/>
  <c r="AA164" i="161" s="1"/>
  <c r="R164" i="161"/>
  <c r="AL164" i="161" s="1"/>
  <c r="Q164" i="161"/>
  <c r="AE164" i="161" s="1"/>
  <c r="T164" i="161"/>
  <c r="V164" i="161" s="1"/>
  <c r="R73" i="161"/>
  <c r="AL73" i="161" s="1"/>
  <c r="Q73" i="161"/>
  <c r="AE73" i="161" s="1"/>
  <c r="Y73" i="161"/>
  <c r="AA73" i="161" s="1"/>
  <c r="Z73" i="161"/>
  <c r="AB73" i="161" s="1"/>
  <c r="T73" i="161"/>
  <c r="V73" i="161" s="1"/>
  <c r="Y146" i="161"/>
  <c r="AA146" i="161" s="1"/>
  <c r="Z146" i="161"/>
  <c r="AB146" i="161" s="1"/>
  <c r="Q146" i="161"/>
  <c r="AE146" i="161" s="1"/>
  <c r="T146" i="161"/>
  <c r="V146" i="161" s="1"/>
  <c r="R146" i="161"/>
  <c r="AL146" i="161" s="1"/>
  <c r="R256" i="161"/>
  <c r="AL256" i="161" s="1"/>
  <c r="AM256" i="161" s="1"/>
  <c r="AN256" i="161" s="1"/>
  <c r="AH256" i="161" s="1"/>
  <c r="B256" i="161" s="1"/>
  <c r="T256" i="161"/>
  <c r="U256" i="161" s="1"/>
  <c r="V256" i="161" s="1"/>
  <c r="Z256" i="161"/>
  <c r="Y256" i="161"/>
  <c r="AA256" i="161" s="1"/>
  <c r="Q256" i="161"/>
  <c r="AE256" i="161" s="1"/>
  <c r="AR256" i="161"/>
  <c r="AU256" i="161"/>
  <c r="AS256" i="161"/>
  <c r="AT256" i="161"/>
  <c r="R153" i="161"/>
  <c r="AL153" i="161" s="1"/>
  <c r="AM153" i="161" s="1"/>
  <c r="AN153" i="161" s="1"/>
  <c r="AH153" i="161" s="1"/>
  <c r="B153" i="161" s="1"/>
  <c r="T153" i="161"/>
  <c r="U153" i="161" s="1"/>
  <c r="V153" i="161" s="1"/>
  <c r="Q153" i="161"/>
  <c r="AE153" i="161" s="1"/>
  <c r="Y153" i="161"/>
  <c r="AA153" i="161" s="1"/>
  <c r="Z153" i="161"/>
  <c r="AS153" i="161"/>
  <c r="AT153" i="161"/>
  <c r="AU153" i="161"/>
  <c r="AR153" i="161"/>
  <c r="R198" i="161"/>
  <c r="AL198" i="161" s="1"/>
  <c r="AM198" i="161" s="1"/>
  <c r="AN198" i="161" s="1"/>
  <c r="AH198" i="161" s="1"/>
  <c r="B198" i="161" s="1"/>
  <c r="Y198" i="161"/>
  <c r="AA198" i="161" s="1"/>
  <c r="Q198" i="161"/>
  <c r="AE198" i="161" s="1"/>
  <c r="T198" i="161"/>
  <c r="U198" i="161" s="1"/>
  <c r="V198" i="161" s="1"/>
  <c r="Z198" i="161"/>
  <c r="AR198" i="161"/>
  <c r="AU198" i="161"/>
  <c r="AT198" i="161"/>
  <c r="AS198" i="161"/>
  <c r="AR246" i="161"/>
  <c r="R246" i="161"/>
  <c r="AL246" i="161" s="1"/>
  <c r="AM246" i="161" s="1"/>
  <c r="AN246" i="161" s="1"/>
  <c r="AH246" i="161" s="1"/>
  <c r="B246" i="161" s="1"/>
  <c r="Z246" i="161"/>
  <c r="Y246" i="161"/>
  <c r="AA246" i="161" s="1"/>
  <c r="T246" i="161"/>
  <c r="U246" i="161" s="1"/>
  <c r="V246" i="161" s="1"/>
  <c r="Q246" i="161"/>
  <c r="AE246" i="161" s="1"/>
  <c r="AS246" i="161"/>
  <c r="AU246" i="161"/>
  <c r="AT246" i="161"/>
  <c r="T191" i="161"/>
  <c r="V191" i="161" s="1"/>
  <c r="R191" i="161"/>
  <c r="AL191" i="161" s="1"/>
  <c r="Q191" i="161"/>
  <c r="AE191" i="161" s="1"/>
  <c r="Y191" i="161"/>
  <c r="AA191" i="161" s="1"/>
  <c r="Z191" i="161"/>
  <c r="AB191" i="161" s="1"/>
  <c r="Z291" i="161"/>
  <c r="T291" i="161"/>
  <c r="U291" i="161" s="1"/>
  <c r="V291" i="161" s="1"/>
  <c r="Q291" i="161"/>
  <c r="AE291" i="161" s="1"/>
  <c r="R291" i="161"/>
  <c r="AL291" i="161" s="1"/>
  <c r="AM291" i="161" s="1"/>
  <c r="AN291" i="161" s="1"/>
  <c r="AH291" i="161" s="1"/>
  <c r="B291" i="161" s="1"/>
  <c r="Y291" i="161"/>
  <c r="AA291" i="161" s="1"/>
  <c r="AR291" i="161"/>
  <c r="AU291" i="161"/>
  <c r="AS291" i="161"/>
  <c r="AT291" i="161"/>
  <c r="T159" i="161"/>
  <c r="U159" i="161" s="1"/>
  <c r="V159" i="161" s="1"/>
  <c r="Y159" i="161"/>
  <c r="AA159" i="161" s="1"/>
  <c r="Q159" i="161"/>
  <c r="AE159" i="161" s="1"/>
  <c r="R159" i="161"/>
  <c r="AL159" i="161" s="1"/>
  <c r="AM159" i="161" s="1"/>
  <c r="AN159" i="161" s="1"/>
  <c r="AH159" i="161" s="1"/>
  <c r="B159" i="161" s="1"/>
  <c r="Z159" i="161"/>
  <c r="AS159" i="161"/>
  <c r="AT159" i="161"/>
  <c r="AR159" i="161"/>
  <c r="AU159" i="161"/>
  <c r="Y241" i="161"/>
  <c r="AA241" i="161" s="1"/>
  <c r="T241" i="161"/>
  <c r="U241" i="161" s="1"/>
  <c r="V241" i="161" s="1"/>
  <c r="Z241" i="161"/>
  <c r="Q241" i="161"/>
  <c r="AE241" i="161" s="1"/>
  <c r="R241" i="161"/>
  <c r="AL241" i="161" s="1"/>
  <c r="AM241" i="161" s="1"/>
  <c r="AN241" i="161" s="1"/>
  <c r="AH241" i="161" s="1"/>
  <c r="B241" i="161" s="1"/>
  <c r="AT241" i="161"/>
  <c r="AS241" i="161"/>
  <c r="AR241" i="161"/>
  <c r="AU241" i="161"/>
  <c r="Z183" i="161"/>
  <c r="Y183" i="161"/>
  <c r="AA183" i="161" s="1"/>
  <c r="R183" i="161"/>
  <c r="AL183" i="161" s="1"/>
  <c r="AM183" i="161" s="1"/>
  <c r="AN183" i="161" s="1"/>
  <c r="AH183" i="161" s="1"/>
  <c r="B183" i="161" s="1"/>
  <c r="T183" i="161"/>
  <c r="U183" i="161" s="1"/>
  <c r="V183" i="161" s="1"/>
  <c r="Q183" i="161"/>
  <c r="AE183" i="161" s="1"/>
  <c r="AS183" i="161"/>
  <c r="AU183" i="161"/>
  <c r="AR183" i="161"/>
  <c r="AT183" i="161"/>
  <c r="Q233" i="161"/>
  <c r="AE233" i="161" s="1"/>
  <c r="Y233" i="161"/>
  <c r="AA233" i="161" s="1"/>
  <c r="AT233" i="161"/>
  <c r="R233" i="161"/>
  <c r="AL233" i="161" s="1"/>
  <c r="AM233" i="161" s="1"/>
  <c r="AN233" i="161" s="1"/>
  <c r="AH233" i="161" s="1"/>
  <c r="B233" i="161" s="1"/>
  <c r="AR233" i="161"/>
  <c r="AU233" i="161"/>
  <c r="T233" i="161"/>
  <c r="U233" i="161" s="1"/>
  <c r="V233" i="161" s="1"/>
  <c r="AS233" i="161"/>
  <c r="Z233" i="161"/>
  <c r="R332" i="161"/>
  <c r="AL332" i="161" s="1"/>
  <c r="AM332" i="161" s="1"/>
  <c r="AN332" i="161" s="1"/>
  <c r="AH332" i="161" s="1"/>
  <c r="B332" i="161" s="1"/>
  <c r="Y332" i="161"/>
  <c r="AA332" i="161" s="1"/>
  <c r="T332" i="161"/>
  <c r="U332" i="161" s="1"/>
  <c r="V332" i="161" s="1"/>
  <c r="Z332" i="161"/>
  <c r="Q332" i="161"/>
  <c r="AE332" i="161" s="1"/>
  <c r="AS332" i="161"/>
  <c r="AT332" i="161"/>
  <c r="AR332" i="161"/>
  <c r="AU332" i="161"/>
  <c r="T169" i="161"/>
  <c r="U169" i="161" s="1"/>
  <c r="V169" i="161" s="1"/>
  <c r="Q169" i="161"/>
  <c r="AE169" i="161" s="1"/>
  <c r="Z169" i="161"/>
  <c r="Y169" i="161"/>
  <c r="AA169" i="161" s="1"/>
  <c r="R169" i="161"/>
  <c r="AL169" i="161" s="1"/>
  <c r="AM169" i="161" s="1"/>
  <c r="AN169" i="161" s="1"/>
  <c r="AH169" i="161" s="1"/>
  <c r="B169" i="161" s="1"/>
  <c r="AU169" i="161"/>
  <c r="AR169" i="161"/>
  <c r="AS169" i="161"/>
  <c r="AT169" i="161"/>
  <c r="Z242" i="161"/>
  <c r="T242" i="161"/>
  <c r="U242" i="161" s="1"/>
  <c r="V242" i="161" s="1"/>
  <c r="Y242" i="161"/>
  <c r="AA242" i="161" s="1"/>
  <c r="Q242" i="161"/>
  <c r="AE242" i="161" s="1"/>
  <c r="R242" i="161"/>
  <c r="AL242" i="161" s="1"/>
  <c r="AM242" i="161" s="1"/>
  <c r="AN242" i="161" s="1"/>
  <c r="AH242" i="161" s="1"/>
  <c r="B242" i="161" s="1"/>
  <c r="AT242" i="161"/>
  <c r="AS242" i="161"/>
  <c r="AU242" i="161"/>
  <c r="AR242" i="161"/>
  <c r="Y182" i="161"/>
  <c r="AA182" i="161" s="1"/>
  <c r="R182" i="161"/>
  <c r="AL182" i="161" s="1"/>
  <c r="AM182" i="161" s="1"/>
  <c r="AN182" i="161" s="1"/>
  <c r="AH182" i="161" s="1"/>
  <c r="B182" i="161" s="1"/>
  <c r="Q182" i="161"/>
  <c r="AE182" i="161" s="1"/>
  <c r="T182" i="161"/>
  <c r="U182" i="161" s="1"/>
  <c r="V182" i="161" s="1"/>
  <c r="Z182" i="161"/>
  <c r="AS182" i="161"/>
  <c r="AT182" i="161"/>
  <c r="AU182" i="161"/>
  <c r="AR182" i="161"/>
  <c r="T294" i="161"/>
  <c r="U294" i="161" s="1"/>
  <c r="V294" i="161" s="1"/>
  <c r="Y294" i="161"/>
  <c r="AA294" i="161" s="1"/>
  <c r="Q294" i="161"/>
  <c r="AE294" i="161" s="1"/>
  <c r="Z294" i="161"/>
  <c r="R294" i="161"/>
  <c r="AL294" i="161" s="1"/>
  <c r="AM294" i="161" s="1"/>
  <c r="AN294" i="161" s="1"/>
  <c r="AH294" i="161" s="1"/>
  <c r="B294" i="161" s="1"/>
  <c r="AT294" i="161"/>
  <c r="AS294" i="161"/>
  <c r="AR294" i="161"/>
  <c r="AU294" i="161"/>
  <c r="Y245" i="161"/>
  <c r="AA245" i="161" s="1"/>
  <c r="R245" i="161"/>
  <c r="AL245" i="161" s="1"/>
  <c r="AM245" i="161" s="1"/>
  <c r="AN245" i="161" s="1"/>
  <c r="AH245" i="161" s="1"/>
  <c r="B245" i="161" s="1"/>
  <c r="Q245" i="161"/>
  <c r="AE245" i="161" s="1"/>
  <c r="T245" i="161"/>
  <c r="U245" i="161" s="1"/>
  <c r="V245" i="161" s="1"/>
  <c r="Z245" i="161"/>
  <c r="AS245" i="161"/>
  <c r="AR245" i="161"/>
  <c r="AU245" i="161"/>
  <c r="AT245" i="161"/>
  <c r="Z312" i="161"/>
  <c r="AB312" i="161" s="1"/>
  <c r="R312" i="161"/>
  <c r="AL312" i="161" s="1"/>
  <c r="Y312" i="161"/>
  <c r="AA312" i="161" s="1"/>
  <c r="T312" i="161"/>
  <c r="V312" i="161" s="1"/>
  <c r="Q312" i="161"/>
  <c r="AE312" i="161" s="1"/>
  <c r="T358" i="161"/>
  <c r="U358" i="161" s="1"/>
  <c r="V358" i="161" s="1"/>
  <c r="AT358" i="161"/>
  <c r="AR358" i="161"/>
  <c r="Q358" i="161"/>
  <c r="AE358" i="161" s="1"/>
  <c r="R358" i="161"/>
  <c r="AL358" i="161" s="1"/>
  <c r="AM358" i="161" s="1"/>
  <c r="AN358" i="161" s="1"/>
  <c r="AH358" i="161" s="1"/>
  <c r="B358" i="161" s="1"/>
  <c r="AS358" i="161"/>
  <c r="AU358" i="161"/>
  <c r="Y358" i="161"/>
  <c r="AA358" i="161" s="1"/>
  <c r="Z358" i="161"/>
  <c r="Y282" i="161"/>
  <c r="AA282" i="161" s="1"/>
  <c r="T282" i="161"/>
  <c r="U282" i="161" s="1"/>
  <c r="V282" i="161" s="1"/>
  <c r="R282" i="161"/>
  <c r="AL282" i="161" s="1"/>
  <c r="AM282" i="161" s="1"/>
  <c r="AN282" i="161" s="1"/>
  <c r="AH282" i="161" s="1"/>
  <c r="B282" i="161" s="1"/>
  <c r="Q282" i="161"/>
  <c r="AE282" i="161" s="1"/>
  <c r="Z282" i="161"/>
  <c r="AR282" i="161"/>
  <c r="AT282" i="161"/>
  <c r="AU282" i="161"/>
  <c r="AS282" i="161"/>
  <c r="Z359" i="161"/>
  <c r="Y359" i="161"/>
  <c r="AA359" i="161" s="1"/>
  <c r="T359" i="161"/>
  <c r="U359" i="161" s="1"/>
  <c r="V359" i="161" s="1"/>
  <c r="Q359" i="161"/>
  <c r="AE359" i="161" s="1"/>
  <c r="AR359" i="161"/>
  <c r="AU359" i="161"/>
  <c r="AS359" i="161"/>
  <c r="AT359" i="161"/>
  <c r="R359" i="161"/>
  <c r="AL359" i="161" s="1"/>
  <c r="AM359" i="161" s="1"/>
  <c r="AN359" i="161" s="1"/>
  <c r="AH359" i="161" s="1"/>
  <c r="B359" i="161" s="1"/>
  <c r="T268" i="161"/>
  <c r="U268" i="161" s="1"/>
  <c r="V268" i="161" s="1"/>
  <c r="Z268" i="161"/>
  <c r="R268" i="161"/>
  <c r="AL268" i="161" s="1"/>
  <c r="AM268" i="161" s="1"/>
  <c r="AN268" i="161" s="1"/>
  <c r="AH268" i="161" s="1"/>
  <c r="B268" i="161" s="1"/>
  <c r="Y268" i="161"/>
  <c r="AA268" i="161" s="1"/>
  <c r="Q268" i="161"/>
  <c r="AE268" i="161" s="1"/>
  <c r="AU268" i="161"/>
  <c r="AT268" i="161"/>
  <c r="AS268" i="161"/>
  <c r="AR268" i="161"/>
  <c r="Q369" i="161"/>
  <c r="AE369" i="161" s="1"/>
  <c r="Z369" i="161"/>
  <c r="Y369" i="161"/>
  <c r="AA369" i="161" s="1"/>
  <c r="R369" i="161"/>
  <c r="AL369" i="161" s="1"/>
  <c r="AM369" i="161" s="1"/>
  <c r="AN369" i="161" s="1"/>
  <c r="AH369" i="161" s="1"/>
  <c r="B369" i="161" s="1"/>
  <c r="T369" i="161"/>
  <c r="U369" i="161" s="1"/>
  <c r="V369" i="161" s="1"/>
  <c r="AU369" i="161"/>
  <c r="AS369" i="161"/>
  <c r="AR369" i="161"/>
  <c r="AT369" i="161"/>
  <c r="R315" i="161"/>
  <c r="AL315" i="161" s="1"/>
  <c r="AM315" i="161" s="1"/>
  <c r="AN315" i="161" s="1"/>
  <c r="AH315" i="161" s="1"/>
  <c r="B315" i="161" s="1"/>
  <c r="T315" i="161"/>
  <c r="U315" i="161" s="1"/>
  <c r="V315" i="161" s="1"/>
  <c r="Q315" i="161"/>
  <c r="AE315" i="161" s="1"/>
  <c r="Y315" i="161"/>
  <c r="AA315" i="161" s="1"/>
  <c r="AR315" i="161"/>
  <c r="AU315" i="161"/>
  <c r="AT315" i="161"/>
  <c r="Z315" i="161"/>
  <c r="AS315" i="161"/>
  <c r="R366" i="161"/>
  <c r="AL366" i="161" s="1"/>
  <c r="Z366" i="161"/>
  <c r="AB366" i="161" s="1"/>
  <c r="Q366" i="161"/>
  <c r="AE366" i="161" s="1"/>
  <c r="T366" i="161"/>
  <c r="V366" i="161" s="1"/>
  <c r="Y366" i="161"/>
  <c r="AA366" i="161" s="1"/>
  <c r="R356" i="161"/>
  <c r="AL356" i="161" s="1"/>
  <c r="T356" i="161"/>
  <c r="V356" i="161" s="1"/>
  <c r="Y356" i="161"/>
  <c r="AA356" i="161" s="1"/>
  <c r="Z356" i="161"/>
  <c r="AB356" i="161" s="1"/>
  <c r="Q356" i="161"/>
  <c r="AE356" i="161" s="1"/>
  <c r="T46" i="161"/>
  <c r="U46" i="161" s="1"/>
  <c r="V46" i="161" s="1"/>
  <c r="R46" i="161"/>
  <c r="AL46" i="161" s="1"/>
  <c r="AM46" i="161" s="1"/>
  <c r="AN46" i="161" s="1"/>
  <c r="AH46" i="161" s="1"/>
  <c r="B46" i="161" s="1"/>
  <c r="Y46" i="161"/>
  <c r="AA46" i="161" s="1"/>
  <c r="Q46" i="161"/>
  <c r="AE46" i="161" s="1"/>
  <c r="Z46" i="161"/>
  <c r="AU46" i="161"/>
  <c r="AT46" i="161"/>
  <c r="AS46" i="161"/>
  <c r="AR46" i="161"/>
  <c r="AU80" i="161"/>
  <c r="R80" i="161"/>
  <c r="AL80" i="161" s="1"/>
  <c r="AM80" i="161" s="1"/>
  <c r="Y80" i="161"/>
  <c r="AA80" i="161" s="1"/>
  <c r="Q80" i="161"/>
  <c r="AE80" i="161" s="1"/>
  <c r="Z80" i="161"/>
  <c r="T80" i="161"/>
  <c r="AT80" i="161"/>
  <c r="AS80" i="161"/>
  <c r="AR80" i="161"/>
  <c r="Q23" i="161"/>
  <c r="AE23" i="161" s="1"/>
  <c r="T23" i="161"/>
  <c r="U23" i="161" s="1"/>
  <c r="V23" i="161" s="1"/>
  <c r="Y23" i="161"/>
  <c r="AA23" i="161" s="1"/>
  <c r="R23" i="161"/>
  <c r="AL23" i="161" s="1"/>
  <c r="AM23" i="161" s="1"/>
  <c r="Z23" i="161"/>
  <c r="AU23" i="161"/>
  <c r="AS23" i="161"/>
  <c r="AT23" i="161"/>
  <c r="AR23" i="161"/>
  <c r="T20" i="161"/>
  <c r="U20" i="161" s="1"/>
  <c r="V20" i="161" s="1"/>
  <c r="Y20" i="161"/>
  <c r="AA20" i="161" s="1"/>
  <c r="R20" i="161"/>
  <c r="AL20" i="161" s="1"/>
  <c r="AM20" i="161" s="1"/>
  <c r="Z20" i="161"/>
  <c r="Q20" i="161"/>
  <c r="AE20" i="161" s="1"/>
  <c r="AT20" i="161"/>
  <c r="AR20" i="161"/>
  <c r="AU20" i="161"/>
  <c r="AS20" i="161"/>
  <c r="R86" i="161"/>
  <c r="AL86" i="161" s="1"/>
  <c r="AM86" i="161" s="1"/>
  <c r="AN86" i="161" s="1"/>
  <c r="AH86" i="161" s="1"/>
  <c r="B86" i="161" s="1"/>
  <c r="T86" i="161"/>
  <c r="U86" i="161" s="1"/>
  <c r="V86" i="161" s="1"/>
  <c r="Z86" i="161"/>
  <c r="Q86" i="161"/>
  <c r="AE86" i="161" s="1"/>
  <c r="Y86" i="161"/>
  <c r="AA86" i="161" s="1"/>
  <c r="AS86" i="161"/>
  <c r="AU86" i="161"/>
  <c r="AT86" i="161"/>
  <c r="AR86" i="161"/>
  <c r="R89" i="161"/>
  <c r="AL89" i="161" s="1"/>
  <c r="AM89" i="161" s="1"/>
  <c r="AN89" i="161" s="1"/>
  <c r="AH89" i="161" s="1"/>
  <c r="B89" i="161" s="1"/>
  <c r="Q89" i="161"/>
  <c r="AE89" i="161" s="1"/>
  <c r="Z89" i="161"/>
  <c r="T89" i="161"/>
  <c r="U89" i="161" s="1"/>
  <c r="V89" i="161" s="1"/>
  <c r="Y89" i="161"/>
  <c r="AA89" i="161" s="1"/>
  <c r="AR89" i="161"/>
  <c r="AT89" i="161"/>
  <c r="AS89" i="161"/>
  <c r="AU89" i="161"/>
  <c r="Y100" i="161"/>
  <c r="AA100" i="161" s="1"/>
  <c r="R100" i="161"/>
  <c r="AL100" i="161" s="1"/>
  <c r="AM100" i="161" s="1"/>
  <c r="AN100" i="161" s="1"/>
  <c r="AH100" i="161" s="1"/>
  <c r="B100" i="161" s="1"/>
  <c r="Z100" i="161"/>
  <c r="T100" i="161"/>
  <c r="U100" i="161" s="1"/>
  <c r="V100" i="161" s="1"/>
  <c r="Q100" i="161"/>
  <c r="AE100" i="161" s="1"/>
  <c r="AS100" i="161"/>
  <c r="AU100" i="161"/>
  <c r="AT100" i="161"/>
  <c r="AR100" i="161"/>
  <c r="T194" i="161"/>
  <c r="V194" i="161" s="1"/>
  <c r="R194" i="161"/>
  <c r="AL194" i="161" s="1"/>
  <c r="Q194" i="161"/>
  <c r="AE194" i="161" s="1"/>
  <c r="Y194" i="161"/>
  <c r="AA194" i="161" s="1"/>
  <c r="Z194" i="161"/>
  <c r="AB194" i="161" s="1"/>
  <c r="T152" i="161"/>
  <c r="U152" i="161" s="1"/>
  <c r="V152" i="161" s="1"/>
  <c r="R152" i="161"/>
  <c r="AL152" i="161" s="1"/>
  <c r="AM152" i="161" s="1"/>
  <c r="AN152" i="161" s="1"/>
  <c r="AH152" i="161" s="1"/>
  <c r="B152" i="161" s="1"/>
  <c r="Q152" i="161"/>
  <c r="AE152" i="161" s="1"/>
  <c r="Z152" i="161"/>
  <c r="Y152" i="161"/>
  <c r="AA152" i="161" s="1"/>
  <c r="AS152" i="161"/>
  <c r="AT152" i="161"/>
  <c r="AR152" i="161"/>
  <c r="AU152" i="161"/>
  <c r="T123" i="161"/>
  <c r="U123" i="161" s="1"/>
  <c r="V123" i="161" s="1"/>
  <c r="Y123" i="161"/>
  <c r="AA123" i="161" s="1"/>
  <c r="Q123" i="161"/>
  <c r="AE123" i="161" s="1"/>
  <c r="Z123" i="161"/>
  <c r="R123" i="161"/>
  <c r="AL123" i="161" s="1"/>
  <c r="AM123" i="161" s="1"/>
  <c r="AN123" i="161" s="1"/>
  <c r="AH123" i="161" s="1"/>
  <c r="B123" i="161" s="1"/>
  <c r="AS123" i="161"/>
  <c r="AR123" i="161"/>
  <c r="AT123" i="161"/>
  <c r="AU123" i="161"/>
  <c r="T36" i="161"/>
  <c r="U36" i="161" s="1"/>
  <c r="V36" i="161" s="1"/>
  <c r="R36" i="161"/>
  <c r="AL36" i="161" s="1"/>
  <c r="AM36" i="161" s="1"/>
  <c r="AN36" i="161" s="1"/>
  <c r="AH36" i="161" s="1"/>
  <c r="B36" i="161" s="1"/>
  <c r="Q36" i="161"/>
  <c r="AE36" i="161" s="1"/>
  <c r="Y36" i="161"/>
  <c r="AA36" i="161" s="1"/>
  <c r="Z36" i="161"/>
  <c r="AU36" i="161"/>
  <c r="AT36" i="161"/>
  <c r="AS36" i="161"/>
  <c r="AR36" i="161"/>
  <c r="R82" i="161"/>
  <c r="AL82" i="161" s="1"/>
  <c r="AM82" i="161" s="1"/>
  <c r="Q82" i="161"/>
  <c r="AE82" i="161" s="1"/>
  <c r="Z82" i="161"/>
  <c r="T82" i="161"/>
  <c r="U82" i="161" s="1"/>
  <c r="V82" i="161" s="1"/>
  <c r="Y82" i="161"/>
  <c r="AA82" i="161" s="1"/>
  <c r="AS82" i="161"/>
  <c r="AU82" i="161"/>
  <c r="AR82" i="161"/>
  <c r="AT82" i="161"/>
  <c r="T135" i="161"/>
  <c r="U135" i="161" s="1"/>
  <c r="V135" i="161" s="1"/>
  <c r="R135" i="161"/>
  <c r="AL135" i="161" s="1"/>
  <c r="AM135" i="161" s="1"/>
  <c r="AN135" i="161" s="1"/>
  <c r="AH135" i="161" s="1"/>
  <c r="B135" i="161" s="1"/>
  <c r="Y135" i="161"/>
  <c r="AA135" i="161" s="1"/>
  <c r="Z135" i="161"/>
  <c r="Q135" i="161"/>
  <c r="AE135" i="161" s="1"/>
  <c r="AS135" i="161"/>
  <c r="AT135" i="161"/>
  <c r="AR135" i="161"/>
  <c r="AU135" i="161"/>
  <c r="T40" i="161"/>
  <c r="U40" i="161" s="1"/>
  <c r="V40" i="161" s="1"/>
  <c r="Y40" i="161"/>
  <c r="AA40" i="161" s="1"/>
  <c r="Q40" i="161"/>
  <c r="AE40" i="161" s="1"/>
  <c r="Z40" i="161"/>
  <c r="R40" i="161"/>
  <c r="AL40" i="161" s="1"/>
  <c r="AM40" i="161" s="1"/>
  <c r="AN40" i="161" s="1"/>
  <c r="AH40" i="161" s="1"/>
  <c r="B40" i="161" s="1"/>
  <c r="AS40" i="161"/>
  <c r="AR40" i="161"/>
  <c r="AU40" i="161"/>
  <c r="AT40" i="161"/>
  <c r="Y92" i="161"/>
  <c r="AA92" i="161" s="1"/>
  <c r="T92" i="161"/>
  <c r="U92" i="161" s="1"/>
  <c r="V92" i="161" s="1"/>
  <c r="R92" i="161"/>
  <c r="AL92" i="161" s="1"/>
  <c r="AM92" i="161" s="1"/>
  <c r="AN92" i="161" s="1"/>
  <c r="AH92" i="161" s="1"/>
  <c r="B92" i="161" s="1"/>
  <c r="Z92" i="161"/>
  <c r="Q92" i="161"/>
  <c r="AE92" i="161" s="1"/>
  <c r="AS92" i="161"/>
  <c r="AR92" i="161"/>
  <c r="AU92" i="161"/>
  <c r="AT92" i="161"/>
  <c r="T167" i="161"/>
  <c r="U167" i="161" s="1"/>
  <c r="V167" i="161" s="1"/>
  <c r="R167" i="161"/>
  <c r="AL167" i="161" s="1"/>
  <c r="AM167" i="161" s="1"/>
  <c r="AN167" i="161" s="1"/>
  <c r="AH167" i="161" s="1"/>
  <c r="B167" i="161" s="1"/>
  <c r="Y167" i="161"/>
  <c r="AA167" i="161" s="1"/>
  <c r="Q167" i="161"/>
  <c r="AE167" i="161" s="1"/>
  <c r="Z167" i="161"/>
  <c r="AU167" i="161"/>
  <c r="AS167" i="161"/>
  <c r="AR167" i="161"/>
  <c r="AT167" i="161"/>
  <c r="R83" i="161"/>
  <c r="AL83" i="161" s="1"/>
  <c r="AM83" i="161" s="1"/>
  <c r="T83" i="161"/>
  <c r="U83" i="161" s="1"/>
  <c r="V83" i="161" s="1"/>
  <c r="Q83" i="161"/>
  <c r="AE83" i="161" s="1"/>
  <c r="Z83" i="161"/>
  <c r="Y83" i="161"/>
  <c r="AA83" i="161" s="1"/>
  <c r="AS83" i="161"/>
  <c r="AR83" i="161"/>
  <c r="AU83" i="161"/>
  <c r="AT83" i="161"/>
  <c r="R172" i="161"/>
  <c r="AL172" i="161" s="1"/>
  <c r="AM172" i="161" s="1"/>
  <c r="AN172" i="161" s="1"/>
  <c r="AH172" i="161" s="1"/>
  <c r="B172" i="161" s="1"/>
  <c r="T172" i="161"/>
  <c r="U172" i="161" s="1"/>
  <c r="V172" i="161" s="1"/>
  <c r="Z172" i="161"/>
  <c r="Q172" i="161"/>
  <c r="AE172" i="161" s="1"/>
  <c r="Y172" i="161"/>
  <c r="AA172" i="161" s="1"/>
  <c r="AR172" i="161"/>
  <c r="AT172" i="161"/>
  <c r="AS172" i="161"/>
  <c r="AU172" i="161"/>
  <c r="Y259" i="161"/>
  <c r="AA259" i="161" s="1"/>
  <c r="T259" i="161"/>
  <c r="U259" i="161" s="1"/>
  <c r="V259" i="161" s="1"/>
  <c r="R259" i="161"/>
  <c r="AL259" i="161" s="1"/>
  <c r="AM259" i="161" s="1"/>
  <c r="AN259" i="161" s="1"/>
  <c r="AH259" i="161" s="1"/>
  <c r="B259" i="161" s="1"/>
  <c r="Z259" i="161"/>
  <c r="Q259" i="161"/>
  <c r="AE259" i="161" s="1"/>
  <c r="AS259" i="161"/>
  <c r="AU259" i="161"/>
  <c r="AR259" i="161"/>
  <c r="AT259" i="161"/>
  <c r="T176" i="161"/>
  <c r="U176" i="161" s="1"/>
  <c r="V176" i="161" s="1"/>
  <c r="R176" i="161"/>
  <c r="AL176" i="161" s="1"/>
  <c r="AM176" i="161" s="1"/>
  <c r="AN176" i="161" s="1"/>
  <c r="AH176" i="161" s="1"/>
  <c r="B176" i="161" s="1"/>
  <c r="Y176" i="161"/>
  <c r="AA176" i="161" s="1"/>
  <c r="Q176" i="161"/>
  <c r="AE176" i="161" s="1"/>
  <c r="Z176" i="161"/>
  <c r="AT176" i="161"/>
  <c r="AU176" i="161"/>
  <c r="AR176" i="161"/>
  <c r="AS176" i="161"/>
  <c r="Q204" i="161"/>
  <c r="AE204" i="161" s="1"/>
  <c r="T204" i="161"/>
  <c r="U204" i="161" s="1"/>
  <c r="V204" i="161" s="1"/>
  <c r="Y204" i="161"/>
  <c r="AA204" i="161" s="1"/>
  <c r="R204" i="161"/>
  <c r="AL204" i="161" s="1"/>
  <c r="AM204" i="161" s="1"/>
  <c r="AN204" i="161" s="1"/>
  <c r="AH204" i="161" s="1"/>
  <c r="B204" i="161" s="1"/>
  <c r="Z204" i="161"/>
  <c r="AT204" i="161"/>
  <c r="AR204" i="161"/>
  <c r="AU204" i="161"/>
  <c r="AS204" i="161"/>
  <c r="Y257" i="161"/>
  <c r="AA257" i="161" s="1"/>
  <c r="T257" i="161"/>
  <c r="U257" i="161" s="1"/>
  <c r="V257" i="161" s="1"/>
  <c r="Z257" i="161"/>
  <c r="Q257" i="161"/>
  <c r="AE257" i="161" s="1"/>
  <c r="R257" i="161"/>
  <c r="AL257" i="161" s="1"/>
  <c r="AM257" i="161" s="1"/>
  <c r="AN257" i="161" s="1"/>
  <c r="AH257" i="161" s="1"/>
  <c r="B257" i="161" s="1"/>
  <c r="AT257" i="161"/>
  <c r="AS257" i="161"/>
  <c r="AR257" i="161"/>
  <c r="AU257" i="161"/>
  <c r="R199" i="161"/>
  <c r="AL199" i="161" s="1"/>
  <c r="AM199" i="161" s="1"/>
  <c r="AN199" i="161" s="1"/>
  <c r="AH199" i="161" s="1"/>
  <c r="B199" i="161" s="1"/>
  <c r="T199" i="161"/>
  <c r="U199" i="161" s="1"/>
  <c r="V199" i="161" s="1"/>
  <c r="Y199" i="161"/>
  <c r="AA199" i="161" s="1"/>
  <c r="Z199" i="161"/>
  <c r="Q199" i="161"/>
  <c r="AE199" i="161" s="1"/>
  <c r="AR199" i="161"/>
  <c r="AU199" i="161"/>
  <c r="AS199" i="161"/>
  <c r="AT199" i="161"/>
  <c r="T304" i="161"/>
  <c r="Y304" i="161"/>
  <c r="AA304" i="161" s="1"/>
  <c r="Z304" i="161"/>
  <c r="AB304" i="161" s="1"/>
  <c r="Q304" i="161"/>
  <c r="AE304" i="161" s="1"/>
  <c r="R304" i="161"/>
  <c r="AL304" i="161" s="1"/>
  <c r="T201" i="161"/>
  <c r="U201" i="161" s="1"/>
  <c r="V201" i="161" s="1"/>
  <c r="AU201" i="161"/>
  <c r="Y201" i="161"/>
  <c r="AA201" i="161" s="1"/>
  <c r="AT201" i="161"/>
  <c r="AS201" i="161"/>
  <c r="Q201" i="161"/>
  <c r="AE201" i="161" s="1"/>
  <c r="AR201" i="161"/>
  <c r="Z201" i="161"/>
  <c r="R201" i="161"/>
  <c r="AL201" i="161" s="1"/>
  <c r="AM201" i="161" s="1"/>
  <c r="AN201" i="161" s="1"/>
  <c r="AH201" i="161" s="1"/>
  <c r="B201" i="161" s="1"/>
  <c r="Y248" i="161"/>
  <c r="AA248" i="161" s="1"/>
  <c r="R248" i="161"/>
  <c r="AL248" i="161" s="1"/>
  <c r="AM248" i="161" s="1"/>
  <c r="AN248" i="161" s="1"/>
  <c r="AH248" i="161" s="1"/>
  <c r="B248" i="161" s="1"/>
  <c r="T248" i="161"/>
  <c r="U248" i="161" s="1"/>
  <c r="V248" i="161" s="1"/>
  <c r="Z248" i="161"/>
  <c r="Q248" i="161"/>
  <c r="AE248" i="161" s="1"/>
  <c r="AT248" i="161"/>
  <c r="AR248" i="161"/>
  <c r="AU248" i="161"/>
  <c r="AS248" i="161"/>
  <c r="Y184" i="161"/>
  <c r="AA184" i="161" s="1"/>
  <c r="R184" i="161"/>
  <c r="AL184" i="161" s="1"/>
  <c r="Q184" i="161"/>
  <c r="AE184" i="161" s="1"/>
  <c r="Z184" i="161"/>
  <c r="AB184" i="161" s="1"/>
  <c r="T184" i="161"/>
  <c r="V184" i="161" s="1"/>
  <c r="AU249" i="161"/>
  <c r="T249" i="161"/>
  <c r="U249" i="161" s="1"/>
  <c r="V249" i="161" s="1"/>
  <c r="R249" i="161"/>
  <c r="AL249" i="161" s="1"/>
  <c r="AM249" i="161" s="1"/>
  <c r="AN249" i="161" s="1"/>
  <c r="AH249" i="161" s="1"/>
  <c r="B249" i="161" s="1"/>
  <c r="Y249" i="161"/>
  <c r="AA249" i="161" s="1"/>
  <c r="Z249" i="161"/>
  <c r="Q249" i="161"/>
  <c r="AE249" i="161" s="1"/>
  <c r="AR249" i="161"/>
  <c r="AT249" i="161"/>
  <c r="AS249" i="161"/>
  <c r="Z346" i="161"/>
  <c r="T346" i="161"/>
  <c r="U346" i="161" s="1"/>
  <c r="V346" i="161" s="1"/>
  <c r="R346" i="161"/>
  <c r="AL346" i="161" s="1"/>
  <c r="AM346" i="161" s="1"/>
  <c r="AN346" i="161" s="1"/>
  <c r="AH346" i="161" s="1"/>
  <c r="B346" i="161" s="1"/>
  <c r="Q346" i="161"/>
  <c r="AE346" i="161" s="1"/>
  <c r="Y346" i="161"/>
  <c r="AA346" i="161" s="1"/>
  <c r="AT346" i="161"/>
  <c r="AS346" i="161"/>
  <c r="AR346" i="161"/>
  <c r="AU346" i="161"/>
  <c r="Y170" i="161"/>
  <c r="AA170" i="161" s="1"/>
  <c r="Q170" i="161"/>
  <c r="AE170" i="161" s="1"/>
  <c r="T170" i="161"/>
  <c r="V170" i="161" s="1"/>
  <c r="R170" i="161"/>
  <c r="AL170" i="161" s="1"/>
  <c r="Z170" i="161"/>
  <c r="AB170" i="161" s="1"/>
  <c r="Z263" i="161"/>
  <c r="AU263" i="161"/>
  <c r="AS263" i="161"/>
  <c r="Q263" i="161"/>
  <c r="AE263" i="161" s="1"/>
  <c r="T263" i="161"/>
  <c r="U263" i="161" s="1"/>
  <c r="V263" i="161" s="1"/>
  <c r="AT263" i="161"/>
  <c r="AR263" i="161"/>
  <c r="R263" i="161"/>
  <c r="AL263" i="161" s="1"/>
  <c r="AM263" i="161" s="1"/>
  <c r="AN263" i="161" s="1"/>
  <c r="AH263" i="161" s="1"/>
  <c r="B263" i="161" s="1"/>
  <c r="Y263" i="161"/>
  <c r="AA263" i="161" s="1"/>
  <c r="T190" i="161"/>
  <c r="U190" i="161" s="1"/>
  <c r="V190" i="161" s="1"/>
  <c r="R190" i="161"/>
  <c r="AL190" i="161" s="1"/>
  <c r="AM190" i="161" s="1"/>
  <c r="AN190" i="161" s="1"/>
  <c r="AH190" i="161" s="1"/>
  <c r="B190" i="161" s="1"/>
  <c r="Q190" i="161"/>
  <c r="AE190" i="161" s="1"/>
  <c r="Z190" i="161"/>
  <c r="Y190" i="161"/>
  <c r="AA190" i="161" s="1"/>
  <c r="AT190" i="161"/>
  <c r="AR190" i="161"/>
  <c r="AU190" i="161"/>
  <c r="AS190" i="161"/>
  <c r="R307" i="161"/>
  <c r="AL307" i="161" s="1"/>
  <c r="AM307" i="161" s="1"/>
  <c r="AN307" i="161" s="1"/>
  <c r="AH307" i="161" s="1"/>
  <c r="B307" i="161" s="1"/>
  <c r="T307" i="161"/>
  <c r="U307" i="161" s="1"/>
  <c r="V307" i="161" s="1"/>
  <c r="Q307" i="161"/>
  <c r="AE307" i="161" s="1"/>
  <c r="Z307" i="161"/>
  <c r="Y307" i="161"/>
  <c r="AA307" i="161" s="1"/>
  <c r="AU307" i="161"/>
  <c r="AT307" i="161"/>
  <c r="AS307" i="161"/>
  <c r="AR307" i="161"/>
  <c r="T288" i="161"/>
  <c r="U288" i="161" s="1"/>
  <c r="V288" i="161" s="1"/>
  <c r="R288" i="161"/>
  <c r="AL288" i="161" s="1"/>
  <c r="AM288" i="161" s="1"/>
  <c r="AN288" i="161" s="1"/>
  <c r="AH288" i="161" s="1"/>
  <c r="B288" i="161" s="1"/>
  <c r="Q288" i="161"/>
  <c r="AE288" i="161" s="1"/>
  <c r="Z288" i="161"/>
  <c r="Y288" i="161"/>
  <c r="AA288" i="161" s="1"/>
  <c r="AT288" i="161"/>
  <c r="AS288" i="161"/>
  <c r="AR288" i="161"/>
  <c r="AU288" i="161"/>
  <c r="R321" i="161"/>
  <c r="AL321" i="161" s="1"/>
  <c r="AM321" i="161" s="1"/>
  <c r="AN321" i="161" s="1"/>
  <c r="AH321" i="161" s="1"/>
  <c r="B321" i="161" s="1"/>
  <c r="AU321" i="161"/>
  <c r="AR321" i="161"/>
  <c r="T321" i="161"/>
  <c r="U321" i="161" s="1"/>
  <c r="V321" i="161" s="1"/>
  <c r="Q321" i="161"/>
  <c r="AE321" i="161" s="1"/>
  <c r="Z321" i="161"/>
  <c r="AT321" i="161"/>
  <c r="Y321" i="161"/>
  <c r="AA321" i="161" s="1"/>
  <c r="AS321" i="161"/>
  <c r="R363" i="161"/>
  <c r="AL363" i="161" s="1"/>
  <c r="AM363" i="161" s="1"/>
  <c r="AN363" i="161" s="1"/>
  <c r="AH363" i="161" s="1"/>
  <c r="B363" i="161" s="1"/>
  <c r="Q363" i="161"/>
  <c r="AE363" i="161" s="1"/>
  <c r="Z363" i="161"/>
  <c r="Y363" i="161"/>
  <c r="AA363" i="161" s="1"/>
  <c r="T363" i="161"/>
  <c r="U363" i="161" s="1"/>
  <c r="V363" i="161" s="1"/>
  <c r="AR363" i="161"/>
  <c r="AS363" i="161"/>
  <c r="AU363" i="161"/>
  <c r="AT363" i="161"/>
  <c r="R317" i="161"/>
  <c r="AL317" i="161" s="1"/>
  <c r="AM317" i="161" s="1"/>
  <c r="AN317" i="161" s="1"/>
  <c r="AH317" i="161" s="1"/>
  <c r="B317" i="161" s="1"/>
  <c r="T317" i="161"/>
  <c r="U317" i="161" s="1"/>
  <c r="V317" i="161" s="1"/>
  <c r="Y317" i="161"/>
  <c r="AA317" i="161" s="1"/>
  <c r="Z317" i="161"/>
  <c r="Q317" i="161"/>
  <c r="AE317" i="161" s="1"/>
  <c r="AU317" i="161"/>
  <c r="AS317" i="161"/>
  <c r="AT317" i="161"/>
  <c r="AR317" i="161"/>
  <c r="R365" i="161"/>
  <c r="AL365" i="161" s="1"/>
  <c r="AM365" i="161" s="1"/>
  <c r="AN365" i="161" s="1"/>
  <c r="AH365" i="161" s="1"/>
  <c r="B365" i="161" s="1"/>
  <c r="Q365" i="161"/>
  <c r="AE365" i="161" s="1"/>
  <c r="Z365" i="161"/>
  <c r="Y365" i="161"/>
  <c r="AA365" i="161" s="1"/>
  <c r="T365" i="161"/>
  <c r="U365" i="161" s="1"/>
  <c r="V365" i="161" s="1"/>
  <c r="AS365" i="161"/>
  <c r="AT365" i="161"/>
  <c r="AR365" i="161"/>
  <c r="AU365" i="161"/>
  <c r="R275" i="161"/>
  <c r="AL275" i="161" s="1"/>
  <c r="AM275" i="161" s="1"/>
  <c r="AN275" i="161" s="1"/>
  <c r="AH275" i="161" s="1"/>
  <c r="B275" i="161" s="1"/>
  <c r="Q275" i="161"/>
  <c r="AE275" i="161" s="1"/>
  <c r="T275" i="161"/>
  <c r="U275" i="161" s="1"/>
  <c r="V275" i="161" s="1"/>
  <c r="Y275" i="161"/>
  <c r="AA275" i="161" s="1"/>
  <c r="Z275" i="161"/>
  <c r="AS275" i="161"/>
  <c r="AU275" i="161"/>
  <c r="AR275" i="161"/>
  <c r="AT275" i="161"/>
  <c r="Z373" i="161"/>
  <c r="Y373" i="161"/>
  <c r="AA373" i="161" s="1"/>
  <c r="Q373" i="161"/>
  <c r="AE373" i="161" s="1"/>
  <c r="R373" i="161"/>
  <c r="AL373" i="161" s="1"/>
  <c r="AM373" i="161" s="1"/>
  <c r="AN373" i="161" s="1"/>
  <c r="AH373" i="161" s="1"/>
  <c r="B373" i="161" s="1"/>
  <c r="T373" i="161"/>
  <c r="U373" i="161" s="1"/>
  <c r="V373" i="161" s="1"/>
  <c r="AR373" i="161"/>
  <c r="AT373" i="161"/>
  <c r="AS373" i="161"/>
  <c r="AU373" i="161"/>
  <c r="Y320" i="161"/>
  <c r="AA320" i="161" s="1"/>
  <c r="Q320" i="161"/>
  <c r="AE320" i="161" s="1"/>
  <c r="R320" i="161"/>
  <c r="AL320" i="161" s="1"/>
  <c r="AM320" i="161" s="1"/>
  <c r="AN320" i="161" s="1"/>
  <c r="AH320" i="161" s="1"/>
  <c r="B320" i="161" s="1"/>
  <c r="T320" i="161"/>
  <c r="U320" i="161" s="1"/>
  <c r="V320" i="161" s="1"/>
  <c r="Z320" i="161"/>
  <c r="AR320" i="161"/>
  <c r="AS320" i="161"/>
  <c r="AT320" i="161"/>
  <c r="AU320" i="161"/>
  <c r="T300" i="161"/>
  <c r="U300" i="161" s="1"/>
  <c r="V300" i="161" s="1"/>
  <c r="Q300" i="161"/>
  <c r="AE300" i="161" s="1"/>
  <c r="Z300" i="161"/>
  <c r="R300" i="161"/>
  <c r="AL300" i="161" s="1"/>
  <c r="AM300" i="161" s="1"/>
  <c r="AN300" i="161" s="1"/>
  <c r="AH300" i="161" s="1"/>
  <c r="B300" i="161" s="1"/>
  <c r="Y300" i="161"/>
  <c r="AA300" i="161" s="1"/>
  <c r="AT300" i="161"/>
  <c r="AR300" i="161"/>
  <c r="AU300" i="161"/>
  <c r="AS300" i="161"/>
  <c r="AS334" i="161"/>
  <c r="Y334" i="161"/>
  <c r="AA334" i="161" s="1"/>
  <c r="Z334" i="161"/>
  <c r="T334" i="161"/>
  <c r="U334" i="161" s="1"/>
  <c r="V334" i="161" s="1"/>
  <c r="Q334" i="161"/>
  <c r="AE334" i="161" s="1"/>
  <c r="R334" i="161"/>
  <c r="AL334" i="161" s="1"/>
  <c r="AM334" i="161" s="1"/>
  <c r="AN334" i="161" s="1"/>
  <c r="AH334" i="161" s="1"/>
  <c r="B334" i="161" s="1"/>
  <c r="AT334" i="161"/>
  <c r="AR334" i="161"/>
  <c r="AU334" i="161"/>
  <c r="R95" i="161"/>
  <c r="AL95" i="161" s="1"/>
  <c r="Z95" i="161"/>
  <c r="AB95" i="161" s="1"/>
  <c r="T95" i="161"/>
  <c r="V95" i="161" s="1"/>
  <c r="Q95" i="161"/>
  <c r="AE95" i="161" s="1"/>
  <c r="Y95" i="161"/>
  <c r="AA95" i="161" s="1"/>
  <c r="Y96" i="161"/>
  <c r="AA96" i="161" s="1"/>
  <c r="T96" i="161"/>
  <c r="U96" i="161" s="1"/>
  <c r="V96" i="161" s="1"/>
  <c r="Z96" i="161"/>
  <c r="Q96" i="161"/>
  <c r="AE96" i="161" s="1"/>
  <c r="R96" i="161"/>
  <c r="AL96" i="161" s="1"/>
  <c r="AM96" i="161" s="1"/>
  <c r="AN96" i="161" s="1"/>
  <c r="AH96" i="161" s="1"/>
  <c r="B96" i="161" s="1"/>
  <c r="AU96" i="161"/>
  <c r="AT96" i="161"/>
  <c r="AR96" i="161"/>
  <c r="AS96" i="161"/>
  <c r="T103" i="161"/>
  <c r="U103" i="161" s="1"/>
  <c r="V103" i="161" s="1"/>
  <c r="Z103" i="161"/>
  <c r="R103" i="161"/>
  <c r="AL103" i="161" s="1"/>
  <c r="AM103" i="161" s="1"/>
  <c r="AN103" i="161" s="1"/>
  <c r="AH103" i="161" s="1"/>
  <c r="B103" i="161" s="1"/>
  <c r="Q103" i="161"/>
  <c r="AE103" i="161" s="1"/>
  <c r="AU103" i="161"/>
  <c r="AS103" i="161"/>
  <c r="AT103" i="161"/>
  <c r="AR103" i="161"/>
  <c r="Y103" i="161"/>
  <c r="AA103" i="161" s="1"/>
  <c r="Y209" i="161"/>
  <c r="AA209" i="161" s="1"/>
  <c r="R209" i="161"/>
  <c r="AL209" i="161" s="1"/>
  <c r="AM209" i="161" s="1"/>
  <c r="AN209" i="161" s="1"/>
  <c r="AH209" i="161" s="1"/>
  <c r="B209" i="161" s="1"/>
  <c r="T209" i="161"/>
  <c r="U209" i="161" s="1"/>
  <c r="V209" i="161" s="1"/>
  <c r="Z209" i="161"/>
  <c r="Q209" i="161"/>
  <c r="AE209" i="161" s="1"/>
  <c r="AR209" i="161"/>
  <c r="AU209" i="161"/>
  <c r="AS209" i="161"/>
  <c r="AT209" i="161"/>
  <c r="Q154" i="161"/>
  <c r="AE154" i="161" s="1"/>
  <c r="R154" i="161"/>
  <c r="AL154" i="161" s="1"/>
  <c r="AM154" i="161" s="1"/>
  <c r="AN154" i="161" s="1"/>
  <c r="AH154" i="161" s="1"/>
  <c r="B154" i="161" s="1"/>
  <c r="Z154" i="161"/>
  <c r="Y154" i="161"/>
  <c r="AA154" i="161" s="1"/>
  <c r="T154" i="161"/>
  <c r="U154" i="161" s="1"/>
  <c r="V154" i="161" s="1"/>
  <c r="AR154" i="161"/>
  <c r="AS154" i="161"/>
  <c r="AU154" i="161"/>
  <c r="AT154" i="161"/>
  <c r="T124" i="161"/>
  <c r="U124" i="161" s="1"/>
  <c r="V124" i="161" s="1"/>
  <c r="Q124" i="161"/>
  <c r="AE124" i="161" s="1"/>
  <c r="R124" i="161"/>
  <c r="AL124" i="161" s="1"/>
  <c r="AM124" i="161" s="1"/>
  <c r="AN124" i="161" s="1"/>
  <c r="AH124" i="161" s="1"/>
  <c r="B124" i="161" s="1"/>
  <c r="Y124" i="161"/>
  <c r="AA124" i="161" s="1"/>
  <c r="Z124" i="161"/>
  <c r="AS124" i="161"/>
  <c r="AT124" i="161"/>
  <c r="AU124" i="161"/>
  <c r="AR124" i="161"/>
  <c r="R57" i="161"/>
  <c r="AL57" i="161" s="1"/>
  <c r="AM57" i="161" s="1"/>
  <c r="Z57" i="161"/>
  <c r="Q57" i="161"/>
  <c r="AE57" i="161" s="1"/>
  <c r="Y57" i="161"/>
  <c r="AA57" i="161" s="1"/>
  <c r="T57" i="161"/>
  <c r="U57" i="161" s="1"/>
  <c r="V57" i="161" s="1"/>
  <c r="AT57" i="161"/>
  <c r="AU57" i="161"/>
  <c r="AR57" i="161"/>
  <c r="AS57" i="161"/>
  <c r="Z91" i="161"/>
  <c r="T91" i="161"/>
  <c r="U91" i="161" s="1"/>
  <c r="V91" i="161" s="1"/>
  <c r="Y91" i="161"/>
  <c r="AA91" i="161" s="1"/>
  <c r="R91" i="161"/>
  <c r="AL91" i="161" s="1"/>
  <c r="AM91" i="161" s="1"/>
  <c r="AN91" i="161" s="1"/>
  <c r="AH91" i="161" s="1"/>
  <c r="B91" i="161" s="1"/>
  <c r="Q91" i="161"/>
  <c r="AE91" i="161" s="1"/>
  <c r="AU91" i="161"/>
  <c r="AR91" i="161"/>
  <c r="AT91" i="161"/>
  <c r="AS91" i="161"/>
  <c r="AT140" i="161"/>
  <c r="R140" i="161"/>
  <c r="AL140" i="161" s="1"/>
  <c r="AM140" i="161" s="1"/>
  <c r="AN140" i="161" s="1"/>
  <c r="AH140" i="161" s="1"/>
  <c r="B140" i="161" s="1"/>
  <c r="Y140" i="161"/>
  <c r="AA140" i="161" s="1"/>
  <c r="T140" i="161"/>
  <c r="U140" i="161" s="1"/>
  <c r="V140" i="161" s="1"/>
  <c r="Z140" i="161"/>
  <c r="Q140" i="161"/>
  <c r="AE140" i="161" s="1"/>
  <c r="AU140" i="161"/>
  <c r="AS140" i="161"/>
  <c r="AR140" i="161"/>
  <c r="T42" i="161"/>
  <c r="U42" i="161" s="1"/>
  <c r="V42" i="161" s="1"/>
  <c r="Q42" i="161"/>
  <c r="AE42" i="161" s="1"/>
  <c r="R42" i="161"/>
  <c r="AL42" i="161" s="1"/>
  <c r="AM42" i="161" s="1"/>
  <c r="AN42" i="161" s="1"/>
  <c r="AH42" i="161" s="1"/>
  <c r="B42" i="161" s="1"/>
  <c r="Z42" i="161"/>
  <c r="Y42" i="161"/>
  <c r="AA42" i="161" s="1"/>
  <c r="AS42" i="161"/>
  <c r="AT42" i="161"/>
  <c r="AR42" i="161"/>
  <c r="AU42" i="161"/>
  <c r="AS106" i="161"/>
  <c r="T106" i="161"/>
  <c r="U106" i="161" s="1"/>
  <c r="V106" i="161" s="1"/>
  <c r="Q106" i="161"/>
  <c r="AE106" i="161" s="1"/>
  <c r="R106" i="161"/>
  <c r="AL106" i="161" s="1"/>
  <c r="AM106" i="161" s="1"/>
  <c r="AN106" i="161" s="1"/>
  <c r="AH106" i="161" s="1"/>
  <c r="B106" i="161" s="1"/>
  <c r="Z106" i="161"/>
  <c r="Y106" i="161"/>
  <c r="AA106" i="161" s="1"/>
  <c r="AT106" i="161"/>
  <c r="AU106" i="161"/>
  <c r="AR106" i="161"/>
  <c r="T197" i="161"/>
  <c r="U197" i="161" s="1"/>
  <c r="V197" i="161" s="1"/>
  <c r="Q197" i="161"/>
  <c r="AE197" i="161" s="1"/>
  <c r="Y197" i="161"/>
  <c r="AA197" i="161" s="1"/>
  <c r="Z197" i="161"/>
  <c r="R197" i="161"/>
  <c r="AL197" i="161" s="1"/>
  <c r="AM197" i="161" s="1"/>
  <c r="AN197" i="161" s="1"/>
  <c r="AH197" i="161" s="1"/>
  <c r="B197" i="161" s="1"/>
  <c r="AT197" i="161"/>
  <c r="AR197" i="161"/>
  <c r="AS197" i="161"/>
  <c r="AU197" i="161"/>
  <c r="Q93" i="161"/>
  <c r="AE93" i="161" s="1"/>
  <c r="Z93" i="161"/>
  <c r="R93" i="161"/>
  <c r="AL93" i="161" s="1"/>
  <c r="AM93" i="161" s="1"/>
  <c r="AN93" i="161" s="1"/>
  <c r="AH93" i="161" s="1"/>
  <c r="B93" i="161" s="1"/>
  <c r="Y93" i="161"/>
  <c r="AA93" i="161" s="1"/>
  <c r="T93" i="161"/>
  <c r="U93" i="161" s="1"/>
  <c r="V93" i="161" s="1"/>
  <c r="AR93" i="161"/>
  <c r="AU93" i="161"/>
  <c r="AS93" i="161"/>
  <c r="AT93" i="161"/>
  <c r="T173" i="161"/>
  <c r="U173" i="161" s="1"/>
  <c r="V173" i="161" s="1"/>
  <c r="Z173" i="161"/>
  <c r="Y173" i="161"/>
  <c r="AA173" i="161" s="1"/>
  <c r="R173" i="161"/>
  <c r="AL173" i="161" s="1"/>
  <c r="AM173" i="161" s="1"/>
  <c r="AN173" i="161" s="1"/>
  <c r="AH173" i="161" s="1"/>
  <c r="B173" i="161" s="1"/>
  <c r="Q173" i="161"/>
  <c r="AE173" i="161" s="1"/>
  <c r="AT173" i="161"/>
  <c r="AR173" i="161"/>
  <c r="AU173" i="161"/>
  <c r="AS173" i="161"/>
  <c r="Q269" i="161"/>
  <c r="AE269" i="161" s="1"/>
  <c r="R269" i="161"/>
  <c r="AL269" i="161" s="1"/>
  <c r="AM269" i="161" s="1"/>
  <c r="AN269" i="161" s="1"/>
  <c r="AH269" i="161" s="1"/>
  <c r="B269" i="161" s="1"/>
  <c r="Y269" i="161"/>
  <c r="AA269" i="161" s="1"/>
  <c r="Z269" i="161"/>
  <c r="T269" i="161"/>
  <c r="U269" i="161" s="1"/>
  <c r="V269" i="161" s="1"/>
  <c r="AU269" i="161"/>
  <c r="AS269" i="161"/>
  <c r="AT269" i="161"/>
  <c r="AR269" i="161"/>
  <c r="Y178" i="161"/>
  <c r="AA178" i="161" s="1"/>
  <c r="T178" i="161"/>
  <c r="U178" i="161" s="1"/>
  <c r="V178" i="161" s="1"/>
  <c r="AS178" i="161"/>
  <c r="Z178" i="161"/>
  <c r="R178" i="161"/>
  <c r="AL178" i="161" s="1"/>
  <c r="AM178" i="161" s="1"/>
  <c r="AN178" i="161" s="1"/>
  <c r="AH178" i="161" s="1"/>
  <c r="B178" i="161" s="1"/>
  <c r="Q178" i="161"/>
  <c r="AE178" i="161" s="1"/>
  <c r="AR178" i="161"/>
  <c r="AT178" i="161"/>
  <c r="AU178" i="161"/>
  <c r="Q208" i="161"/>
  <c r="AE208" i="161" s="1"/>
  <c r="T208" i="161"/>
  <c r="U208" i="161" s="1"/>
  <c r="V208" i="161" s="1"/>
  <c r="Z208" i="161"/>
  <c r="R208" i="161"/>
  <c r="AL208" i="161" s="1"/>
  <c r="AM208" i="161" s="1"/>
  <c r="AN208" i="161" s="1"/>
  <c r="AH208" i="161" s="1"/>
  <c r="B208" i="161" s="1"/>
  <c r="Y208" i="161"/>
  <c r="AA208" i="161" s="1"/>
  <c r="AU208" i="161"/>
  <c r="AR208" i="161"/>
  <c r="AS208" i="161"/>
  <c r="AT208" i="161"/>
  <c r="Y258" i="161"/>
  <c r="AA258" i="161" s="1"/>
  <c r="R258" i="161"/>
  <c r="AL258" i="161" s="1"/>
  <c r="AM258" i="161" s="1"/>
  <c r="AN258" i="161" s="1"/>
  <c r="AH258" i="161" s="1"/>
  <c r="B258" i="161" s="1"/>
  <c r="T258" i="161"/>
  <c r="U258" i="161" s="1"/>
  <c r="V258" i="161" s="1"/>
  <c r="Z258" i="161"/>
  <c r="Q258" i="161"/>
  <c r="AE258" i="161" s="1"/>
  <c r="AR258" i="161"/>
  <c r="AU258" i="161"/>
  <c r="AS258" i="161"/>
  <c r="AT258" i="161"/>
  <c r="R205" i="161"/>
  <c r="AL205" i="161" s="1"/>
  <c r="AM205" i="161" s="1"/>
  <c r="AN205" i="161" s="1"/>
  <c r="AH205" i="161" s="1"/>
  <c r="B205" i="161" s="1"/>
  <c r="Y205" i="161"/>
  <c r="AA205" i="161" s="1"/>
  <c r="T205" i="161"/>
  <c r="U205" i="161" s="1"/>
  <c r="V205" i="161" s="1"/>
  <c r="Z205" i="161"/>
  <c r="Q205" i="161"/>
  <c r="AE205" i="161" s="1"/>
  <c r="AU205" i="161"/>
  <c r="AR205" i="161"/>
  <c r="AT205" i="161"/>
  <c r="AS205" i="161"/>
  <c r="R311" i="161"/>
  <c r="AL311" i="161" s="1"/>
  <c r="AM311" i="161" s="1"/>
  <c r="AN311" i="161" s="1"/>
  <c r="AH311" i="161" s="1"/>
  <c r="B311" i="161" s="1"/>
  <c r="T311" i="161"/>
  <c r="U311" i="161" s="1"/>
  <c r="V311" i="161" s="1"/>
  <c r="Q311" i="161"/>
  <c r="AE311" i="161" s="1"/>
  <c r="Z311" i="161"/>
  <c r="Y311" i="161"/>
  <c r="AA311" i="161" s="1"/>
  <c r="AR311" i="161"/>
  <c r="AS311" i="161"/>
  <c r="AU311" i="161"/>
  <c r="AT311" i="161"/>
  <c r="Z202" i="161"/>
  <c r="Q202" i="161"/>
  <c r="AE202" i="161" s="1"/>
  <c r="AU202" i="161"/>
  <c r="Y202" i="161"/>
  <c r="AA202" i="161" s="1"/>
  <c r="AR202" i="161"/>
  <c r="T202" i="161"/>
  <c r="U202" i="161" s="1"/>
  <c r="V202" i="161" s="1"/>
  <c r="AT202" i="161"/>
  <c r="AS202" i="161"/>
  <c r="R202" i="161"/>
  <c r="AL202" i="161" s="1"/>
  <c r="AM202" i="161" s="1"/>
  <c r="AN202" i="161" s="1"/>
  <c r="AH202" i="161" s="1"/>
  <c r="B202" i="161" s="1"/>
  <c r="R276" i="161"/>
  <c r="AL276" i="161" s="1"/>
  <c r="AM276" i="161" s="1"/>
  <c r="AN276" i="161" s="1"/>
  <c r="AH276" i="161" s="1"/>
  <c r="B276" i="161" s="1"/>
  <c r="T276" i="161"/>
  <c r="U276" i="161" s="1"/>
  <c r="V276" i="161" s="1"/>
  <c r="Q276" i="161"/>
  <c r="AE276" i="161" s="1"/>
  <c r="Z276" i="161"/>
  <c r="Y276" i="161"/>
  <c r="AA276" i="161" s="1"/>
  <c r="AS276" i="161"/>
  <c r="AT276" i="161"/>
  <c r="AU276" i="161"/>
  <c r="AR276" i="161"/>
  <c r="T200" i="161"/>
  <c r="U200" i="161" s="1"/>
  <c r="V200" i="161" s="1"/>
  <c r="Q200" i="161"/>
  <c r="AE200" i="161" s="1"/>
  <c r="AU200" i="161"/>
  <c r="Y200" i="161"/>
  <c r="AA200" i="161" s="1"/>
  <c r="AS200" i="161"/>
  <c r="AT200" i="161"/>
  <c r="Z200" i="161"/>
  <c r="R200" i="161"/>
  <c r="AL200" i="161" s="1"/>
  <c r="AM200" i="161" s="1"/>
  <c r="AN200" i="161" s="1"/>
  <c r="AH200" i="161" s="1"/>
  <c r="B200" i="161" s="1"/>
  <c r="AR200" i="161"/>
  <c r="Y265" i="161"/>
  <c r="AA265" i="161" s="1"/>
  <c r="T265" i="161"/>
  <c r="R265" i="161"/>
  <c r="AL265" i="161" s="1"/>
  <c r="Z265" i="161"/>
  <c r="AB265" i="161" s="1"/>
  <c r="Q265" i="161"/>
  <c r="AE265" i="161" s="1"/>
  <c r="AS377" i="161"/>
  <c r="Z377" i="161"/>
  <c r="Y377" i="161"/>
  <c r="AA377" i="161" s="1"/>
  <c r="T377" i="161"/>
  <c r="U377" i="161" s="1"/>
  <c r="V377" i="161" s="1"/>
  <c r="R377" i="161"/>
  <c r="AL377" i="161" s="1"/>
  <c r="AM377" i="161" s="1"/>
  <c r="AN377" i="161" s="1"/>
  <c r="AH377" i="161" s="1"/>
  <c r="B377" i="161" s="1"/>
  <c r="Q377" i="161"/>
  <c r="AE377" i="161" s="1"/>
  <c r="AU377" i="161"/>
  <c r="AT377" i="161"/>
  <c r="AR377" i="161"/>
  <c r="Z189" i="161"/>
  <c r="R189" i="161"/>
  <c r="AL189" i="161" s="1"/>
  <c r="AM189" i="161" s="1"/>
  <c r="AN189" i="161" s="1"/>
  <c r="AH189" i="161" s="1"/>
  <c r="B189" i="161" s="1"/>
  <c r="T189" i="161"/>
  <c r="U189" i="161" s="1"/>
  <c r="V189" i="161" s="1"/>
  <c r="Q189" i="161"/>
  <c r="AE189" i="161" s="1"/>
  <c r="Y189" i="161"/>
  <c r="AA189" i="161" s="1"/>
  <c r="AR189" i="161"/>
  <c r="AU189" i="161"/>
  <c r="AS189" i="161"/>
  <c r="AT189" i="161"/>
  <c r="R278" i="161"/>
  <c r="AL278" i="161" s="1"/>
  <c r="AM278" i="161" s="1"/>
  <c r="AN278" i="161" s="1"/>
  <c r="AH278" i="161" s="1"/>
  <c r="B278" i="161" s="1"/>
  <c r="T278" i="161"/>
  <c r="U278" i="161" s="1"/>
  <c r="V278" i="161" s="1"/>
  <c r="Q278" i="161"/>
  <c r="AE278" i="161" s="1"/>
  <c r="Y278" i="161"/>
  <c r="AA278" i="161" s="1"/>
  <c r="AT278" i="161"/>
  <c r="Z278" i="161"/>
  <c r="AU278" i="161"/>
  <c r="AR278" i="161"/>
  <c r="AS278" i="161"/>
  <c r="R193" i="161"/>
  <c r="AL193" i="161" s="1"/>
  <c r="Q193" i="161"/>
  <c r="AE193" i="161" s="1"/>
  <c r="T193" i="161"/>
  <c r="V193" i="161" s="1"/>
  <c r="Y193" i="161"/>
  <c r="AA193" i="161" s="1"/>
  <c r="Z193" i="161"/>
  <c r="AB193" i="161" s="1"/>
  <c r="AS350" i="161"/>
  <c r="Z350" i="161"/>
  <c r="R350" i="161"/>
  <c r="AL350" i="161" s="1"/>
  <c r="AM350" i="161" s="1"/>
  <c r="AN350" i="161" s="1"/>
  <c r="AH350" i="161" s="1"/>
  <c r="B350" i="161" s="1"/>
  <c r="Q350" i="161"/>
  <c r="AE350" i="161" s="1"/>
  <c r="AR350" i="161"/>
  <c r="Y350" i="161"/>
  <c r="AA350" i="161" s="1"/>
  <c r="AT350" i="161"/>
  <c r="AU350" i="161"/>
  <c r="T350" i="161"/>
  <c r="U350" i="161" s="1"/>
  <c r="V350" i="161" s="1"/>
  <c r="R339" i="161"/>
  <c r="AL339" i="161" s="1"/>
  <c r="AM339" i="161" s="1"/>
  <c r="AN339" i="161" s="1"/>
  <c r="AH339" i="161" s="1"/>
  <c r="B339" i="161" s="1"/>
  <c r="Q339" i="161"/>
  <c r="AE339" i="161" s="1"/>
  <c r="T339" i="161"/>
  <c r="U339" i="161" s="1"/>
  <c r="V339" i="161" s="1"/>
  <c r="Y339" i="161"/>
  <c r="AA339" i="161" s="1"/>
  <c r="Z339" i="161"/>
  <c r="AT339" i="161"/>
  <c r="AR339" i="161"/>
  <c r="AS339" i="161"/>
  <c r="AU339" i="161"/>
  <c r="R325" i="161"/>
  <c r="AL325" i="161" s="1"/>
  <c r="AM325" i="161" s="1"/>
  <c r="AN325" i="161" s="1"/>
  <c r="AH325" i="161" s="1"/>
  <c r="B325" i="161" s="1"/>
  <c r="Z325" i="161"/>
  <c r="Q325" i="161"/>
  <c r="AE325" i="161" s="1"/>
  <c r="Y325" i="161"/>
  <c r="AA325" i="161" s="1"/>
  <c r="T325" i="161"/>
  <c r="U325" i="161" s="1"/>
  <c r="V325" i="161" s="1"/>
  <c r="AT325" i="161"/>
  <c r="AS325" i="161"/>
  <c r="AR325" i="161"/>
  <c r="AU325" i="161"/>
  <c r="R364" i="161"/>
  <c r="AL364" i="161" s="1"/>
  <c r="AM364" i="161" s="1"/>
  <c r="AN364" i="161" s="1"/>
  <c r="AH364" i="161" s="1"/>
  <c r="B364" i="161" s="1"/>
  <c r="Q364" i="161"/>
  <c r="AE364" i="161" s="1"/>
  <c r="Z364" i="161"/>
  <c r="Y364" i="161"/>
  <c r="AA364" i="161" s="1"/>
  <c r="T364" i="161"/>
  <c r="U364" i="161" s="1"/>
  <c r="V364" i="161" s="1"/>
  <c r="AS364" i="161"/>
  <c r="AR364" i="161"/>
  <c r="AU364" i="161"/>
  <c r="AT364" i="161"/>
  <c r="Y318" i="161"/>
  <c r="AA318" i="161" s="1"/>
  <c r="T318" i="161"/>
  <c r="U318" i="161" s="1"/>
  <c r="V318" i="161" s="1"/>
  <c r="R318" i="161"/>
  <c r="AL318" i="161" s="1"/>
  <c r="AM318" i="161" s="1"/>
  <c r="AN318" i="161" s="1"/>
  <c r="AH318" i="161" s="1"/>
  <c r="B318" i="161" s="1"/>
  <c r="Q318" i="161"/>
  <c r="AE318" i="161" s="1"/>
  <c r="Z318" i="161"/>
  <c r="AR318" i="161"/>
  <c r="AU318" i="161"/>
  <c r="AT318" i="161"/>
  <c r="AS318" i="161"/>
  <c r="AS375" i="161"/>
  <c r="Q375" i="161"/>
  <c r="AE375" i="161" s="1"/>
  <c r="T375" i="161"/>
  <c r="U375" i="161" s="1"/>
  <c r="V375" i="161" s="1"/>
  <c r="Y375" i="161"/>
  <c r="AA375" i="161" s="1"/>
  <c r="R375" i="161"/>
  <c r="AL375" i="161" s="1"/>
  <c r="AM375" i="161" s="1"/>
  <c r="AN375" i="161" s="1"/>
  <c r="AH375" i="161" s="1"/>
  <c r="B375" i="161" s="1"/>
  <c r="Z375" i="161"/>
  <c r="AT375" i="161"/>
  <c r="AU375" i="161"/>
  <c r="AR375" i="161"/>
  <c r="R305" i="161"/>
  <c r="AL305" i="161" s="1"/>
  <c r="AM305" i="161" s="1"/>
  <c r="AN305" i="161" s="1"/>
  <c r="AH305" i="161" s="1"/>
  <c r="B305" i="161" s="1"/>
  <c r="Y305" i="161"/>
  <c r="AA305" i="161" s="1"/>
  <c r="Z305" i="161"/>
  <c r="Q305" i="161"/>
  <c r="AE305" i="161" s="1"/>
  <c r="T305" i="161"/>
  <c r="U305" i="161" s="1"/>
  <c r="V305" i="161" s="1"/>
  <c r="AR305" i="161"/>
  <c r="AU305" i="161"/>
  <c r="AS305" i="161"/>
  <c r="AT305" i="161"/>
  <c r="Q273" i="161"/>
  <c r="AE273" i="161" s="1"/>
  <c r="Z273" i="161"/>
  <c r="Y273" i="161"/>
  <c r="AA273" i="161" s="1"/>
  <c r="T273" i="161"/>
  <c r="U273" i="161" s="1"/>
  <c r="V273" i="161" s="1"/>
  <c r="R273" i="161"/>
  <c r="AL273" i="161" s="1"/>
  <c r="AM273" i="161" s="1"/>
  <c r="AN273" i="161" s="1"/>
  <c r="AH273" i="161" s="1"/>
  <c r="B273" i="161" s="1"/>
  <c r="AS273" i="161"/>
  <c r="AT273" i="161"/>
  <c r="AU273" i="161"/>
  <c r="AR273" i="161"/>
  <c r="R323" i="161"/>
  <c r="AL323" i="161" s="1"/>
  <c r="AM323" i="161" s="1"/>
  <c r="AN323" i="161" s="1"/>
  <c r="AH323" i="161" s="1"/>
  <c r="B323" i="161" s="1"/>
  <c r="Y323" i="161"/>
  <c r="AA323" i="161" s="1"/>
  <c r="AR323" i="161"/>
  <c r="AU323" i="161"/>
  <c r="Q323" i="161"/>
  <c r="AE323" i="161" s="1"/>
  <c r="AT323" i="161"/>
  <c r="AS323" i="161"/>
  <c r="Z323" i="161"/>
  <c r="T323" i="161"/>
  <c r="U323" i="161" s="1"/>
  <c r="V323" i="161" s="1"/>
  <c r="Z308" i="161"/>
  <c r="AB308" i="161" s="1"/>
  <c r="Y308" i="161"/>
  <c r="AA308" i="161" s="1"/>
  <c r="T308" i="161"/>
  <c r="V308" i="161" s="1"/>
  <c r="R308" i="161"/>
  <c r="AL308" i="161" s="1"/>
  <c r="Q308" i="161"/>
  <c r="AE308" i="161" s="1"/>
  <c r="T335" i="161"/>
  <c r="V335" i="161" s="1"/>
  <c r="Y335" i="161"/>
  <c r="AA335" i="161" s="1"/>
  <c r="Q335" i="161"/>
  <c r="AE335" i="161" s="1"/>
  <c r="Z335" i="161"/>
  <c r="AB335" i="161" s="1"/>
  <c r="R335" i="161"/>
  <c r="AL335" i="161" s="1"/>
  <c r="R66" i="161"/>
  <c r="AL66" i="161" s="1"/>
  <c r="AM66" i="161" s="1"/>
  <c r="Y66" i="161"/>
  <c r="AA66" i="161" s="1"/>
  <c r="T66" i="161"/>
  <c r="U66" i="161" s="1"/>
  <c r="V66" i="161" s="1"/>
  <c r="Q66" i="161"/>
  <c r="AE66" i="161" s="1"/>
  <c r="Z66" i="161"/>
  <c r="AR66" i="161"/>
  <c r="AU66" i="161"/>
  <c r="AT66" i="161"/>
  <c r="AS66" i="161"/>
  <c r="Q47" i="161"/>
  <c r="AE47" i="161" s="1"/>
  <c r="Y47" i="161"/>
  <c r="AA47" i="161" s="1"/>
  <c r="R47" i="161"/>
  <c r="AL47" i="161" s="1"/>
  <c r="T47" i="161"/>
  <c r="V47" i="161" s="1"/>
  <c r="Z47" i="161"/>
  <c r="AB47" i="161" s="1"/>
  <c r="R74" i="161"/>
  <c r="AL74" i="161" s="1"/>
  <c r="AM74" i="161" s="1"/>
  <c r="AN74" i="161" s="1"/>
  <c r="AH74" i="161" s="1"/>
  <c r="B74" i="161" s="1"/>
  <c r="T74" i="161"/>
  <c r="U74" i="161" s="1"/>
  <c r="V74" i="161" s="1"/>
  <c r="Q74" i="161"/>
  <c r="AE74" i="161" s="1"/>
  <c r="AT74" i="161"/>
  <c r="AR74" i="161"/>
  <c r="AS74" i="161"/>
  <c r="Z74" i="161"/>
  <c r="Y74" i="161"/>
  <c r="AA74" i="161" s="1"/>
  <c r="AU74" i="161"/>
  <c r="Y35" i="161"/>
  <c r="AA35" i="161" s="1"/>
  <c r="T35" i="161"/>
  <c r="U35" i="161" s="1"/>
  <c r="V35" i="161" s="1"/>
  <c r="R35" i="161"/>
  <c r="AL35" i="161" s="1"/>
  <c r="AM35" i="161" s="1"/>
  <c r="AN35" i="161" s="1"/>
  <c r="AH35" i="161" s="1"/>
  <c r="B35" i="161" s="1"/>
  <c r="Q35" i="161"/>
  <c r="AE35" i="161" s="1"/>
  <c r="Z35" i="161"/>
  <c r="AT35" i="161"/>
  <c r="AU35" i="161"/>
  <c r="AR35" i="161"/>
  <c r="AS35" i="161"/>
  <c r="Y109" i="161"/>
  <c r="AA109" i="161" s="1"/>
  <c r="T109" i="161"/>
  <c r="U109" i="161" s="1"/>
  <c r="V109" i="161" s="1"/>
  <c r="R109" i="161"/>
  <c r="AL109" i="161" s="1"/>
  <c r="AM109" i="161" s="1"/>
  <c r="AN109" i="161" s="1"/>
  <c r="AH109" i="161" s="1"/>
  <c r="B109" i="161" s="1"/>
  <c r="Z109" i="161"/>
  <c r="Q109" i="161"/>
  <c r="AE109" i="161" s="1"/>
  <c r="AT109" i="161"/>
  <c r="AU109" i="161"/>
  <c r="AR109" i="161"/>
  <c r="AS109" i="161"/>
  <c r="Y99" i="161"/>
  <c r="AA99" i="161" s="1"/>
  <c r="T99" i="161"/>
  <c r="V99" i="161" s="1"/>
  <c r="R99" i="161"/>
  <c r="AL99" i="161" s="1"/>
  <c r="Q99" i="161"/>
  <c r="AE99" i="161" s="1"/>
  <c r="Z99" i="161"/>
  <c r="AB99" i="161" s="1"/>
  <c r="AS110" i="161"/>
  <c r="Q110" i="161"/>
  <c r="AE110" i="161" s="1"/>
  <c r="R110" i="161"/>
  <c r="AL110" i="161" s="1"/>
  <c r="AM110" i="161" s="1"/>
  <c r="AN110" i="161" s="1"/>
  <c r="AH110" i="161" s="1"/>
  <c r="B110" i="161" s="1"/>
  <c r="Z110" i="161"/>
  <c r="T110" i="161"/>
  <c r="U110" i="161" s="1"/>
  <c r="V110" i="161" s="1"/>
  <c r="Y110" i="161"/>
  <c r="AA110" i="161" s="1"/>
  <c r="AR110" i="161"/>
  <c r="AU110" i="161"/>
  <c r="AT110" i="161"/>
  <c r="Y102" i="161"/>
  <c r="AA102" i="161" s="1"/>
  <c r="R102" i="161"/>
  <c r="AL102" i="161" s="1"/>
  <c r="AM102" i="161" s="1"/>
  <c r="AN102" i="161" s="1"/>
  <c r="AH102" i="161" s="1"/>
  <c r="B102" i="161" s="1"/>
  <c r="Z102" i="161"/>
  <c r="Q102" i="161"/>
  <c r="AE102" i="161" s="1"/>
  <c r="T102" i="161"/>
  <c r="U102" i="161" s="1"/>
  <c r="V102" i="161" s="1"/>
  <c r="AR102" i="161"/>
  <c r="AU102" i="161"/>
  <c r="AT102" i="161"/>
  <c r="AS102" i="161"/>
  <c r="Z166" i="161"/>
  <c r="AB166" i="161" s="1"/>
  <c r="Q166" i="161"/>
  <c r="AE166" i="161" s="1"/>
  <c r="Y166" i="161"/>
  <c r="AA166" i="161" s="1"/>
  <c r="R166" i="161"/>
  <c r="AL166" i="161" s="1"/>
  <c r="T166" i="161"/>
  <c r="V166" i="161" s="1"/>
  <c r="T127" i="161"/>
  <c r="U127" i="161" s="1"/>
  <c r="V127" i="161" s="1"/>
  <c r="R127" i="161"/>
  <c r="AL127" i="161" s="1"/>
  <c r="AM127" i="161" s="1"/>
  <c r="AN127" i="161" s="1"/>
  <c r="AH127" i="161" s="1"/>
  <c r="B127" i="161" s="1"/>
  <c r="Z127" i="161"/>
  <c r="Q127" i="161"/>
  <c r="AE127" i="161" s="1"/>
  <c r="Y127" i="161"/>
  <c r="AA127" i="161" s="1"/>
  <c r="AU127" i="161"/>
  <c r="AR127" i="161"/>
  <c r="AS127" i="161"/>
  <c r="AT127" i="161"/>
  <c r="AS59" i="161"/>
  <c r="T59" i="161"/>
  <c r="U59" i="161" s="1"/>
  <c r="V59" i="161" s="1"/>
  <c r="Z59" i="161"/>
  <c r="Y59" i="161"/>
  <c r="AA59" i="161" s="1"/>
  <c r="R59" i="161"/>
  <c r="AL59" i="161" s="1"/>
  <c r="AM59" i="161" s="1"/>
  <c r="Q59" i="161"/>
  <c r="AE59" i="161" s="1"/>
  <c r="AU59" i="161"/>
  <c r="AR59" i="161"/>
  <c r="AT59" i="161"/>
  <c r="AS113" i="161"/>
  <c r="R113" i="161"/>
  <c r="AL113" i="161" s="1"/>
  <c r="AM113" i="161" s="1"/>
  <c r="AN113" i="161" s="1"/>
  <c r="AH113" i="161" s="1"/>
  <c r="B113" i="161" s="1"/>
  <c r="T113" i="161"/>
  <c r="U113" i="161" s="1"/>
  <c r="V113" i="161" s="1"/>
  <c r="Q113" i="161"/>
  <c r="AE113" i="161" s="1"/>
  <c r="Z113" i="161"/>
  <c r="Y113" i="161"/>
  <c r="AA113" i="161" s="1"/>
  <c r="AR113" i="161"/>
  <c r="AT113" i="161"/>
  <c r="AU113" i="161"/>
  <c r="R148" i="161"/>
  <c r="AL148" i="161" s="1"/>
  <c r="AM148" i="161" s="1"/>
  <c r="AN148" i="161" s="1"/>
  <c r="AH148" i="161" s="1"/>
  <c r="B148" i="161" s="1"/>
  <c r="Y148" i="161"/>
  <c r="AA148" i="161" s="1"/>
  <c r="T148" i="161"/>
  <c r="U148" i="161" s="1"/>
  <c r="V148" i="161" s="1"/>
  <c r="Q148" i="161"/>
  <c r="AE148" i="161" s="1"/>
  <c r="Z148" i="161"/>
  <c r="AU148" i="161"/>
  <c r="AR148" i="161"/>
  <c r="AS148" i="161"/>
  <c r="AT148" i="161"/>
  <c r="T43" i="161"/>
  <c r="U43" i="161" s="1"/>
  <c r="V43" i="161" s="1"/>
  <c r="Q43" i="161"/>
  <c r="AE43" i="161" s="1"/>
  <c r="R43" i="161"/>
  <c r="AL43" i="161" s="1"/>
  <c r="AM43" i="161" s="1"/>
  <c r="AN43" i="161" s="1"/>
  <c r="AH43" i="161" s="1"/>
  <c r="B43" i="161" s="1"/>
  <c r="Y43" i="161"/>
  <c r="AA43" i="161" s="1"/>
  <c r="Z43" i="161"/>
  <c r="AU43" i="161"/>
  <c r="AR43" i="161"/>
  <c r="AT43" i="161"/>
  <c r="AS43" i="161"/>
  <c r="T130" i="161"/>
  <c r="U130" i="161" s="1"/>
  <c r="V130" i="161" s="1"/>
  <c r="R130" i="161"/>
  <c r="AL130" i="161" s="1"/>
  <c r="AM130" i="161" s="1"/>
  <c r="AN130" i="161" s="1"/>
  <c r="AH130" i="161" s="1"/>
  <c r="B130" i="161" s="1"/>
  <c r="Z130" i="161"/>
  <c r="Q130" i="161"/>
  <c r="AE130" i="161" s="1"/>
  <c r="Y130" i="161"/>
  <c r="AA130" i="161" s="1"/>
  <c r="AS130" i="161"/>
  <c r="AU130" i="161"/>
  <c r="AT130" i="161"/>
  <c r="AR130" i="161"/>
  <c r="T41" i="161"/>
  <c r="U41" i="161" s="1"/>
  <c r="V41" i="161" s="1"/>
  <c r="Z41" i="161"/>
  <c r="Y41" i="161"/>
  <c r="AA41" i="161" s="1"/>
  <c r="Q41" i="161"/>
  <c r="AE41" i="161" s="1"/>
  <c r="R41" i="161"/>
  <c r="AL41" i="161" s="1"/>
  <c r="AM41" i="161" s="1"/>
  <c r="AN41" i="161" s="1"/>
  <c r="AH41" i="161" s="1"/>
  <c r="B41" i="161" s="1"/>
  <c r="AU41" i="161"/>
  <c r="AR41" i="161"/>
  <c r="AT41" i="161"/>
  <c r="AS41" i="161"/>
  <c r="Y94" i="161"/>
  <c r="AA94" i="161" s="1"/>
  <c r="Q94" i="161"/>
  <c r="AE94" i="161" s="1"/>
  <c r="T94" i="161"/>
  <c r="U94" i="161" s="1"/>
  <c r="V94" i="161" s="1"/>
  <c r="R94" i="161"/>
  <c r="AL94" i="161" s="1"/>
  <c r="AM94" i="161" s="1"/>
  <c r="AN94" i="161" s="1"/>
  <c r="AH94" i="161" s="1"/>
  <c r="B94" i="161" s="1"/>
  <c r="Z94" i="161"/>
  <c r="AU94" i="161"/>
  <c r="AT94" i="161"/>
  <c r="AR94" i="161"/>
  <c r="AS94" i="161"/>
  <c r="AU210" i="161"/>
  <c r="Y210" i="161"/>
  <c r="AA210" i="161" s="1"/>
  <c r="R210" i="161"/>
  <c r="AL210" i="161" s="1"/>
  <c r="AM210" i="161" s="1"/>
  <c r="AN210" i="161" s="1"/>
  <c r="AH210" i="161" s="1"/>
  <c r="B210" i="161" s="1"/>
  <c r="Q210" i="161"/>
  <c r="AE210" i="161" s="1"/>
  <c r="Z210" i="161"/>
  <c r="T210" i="161"/>
  <c r="U210" i="161" s="1"/>
  <c r="V210" i="161" s="1"/>
  <c r="AS210" i="161"/>
  <c r="AR210" i="161"/>
  <c r="AT210" i="161"/>
  <c r="T286" i="161"/>
  <c r="U286" i="161" s="1"/>
  <c r="V286" i="161" s="1"/>
  <c r="R286" i="161"/>
  <c r="AL286" i="161" s="1"/>
  <c r="AM286" i="161" s="1"/>
  <c r="AN286" i="161" s="1"/>
  <c r="AH286" i="161" s="1"/>
  <c r="B286" i="161" s="1"/>
  <c r="Q286" i="161"/>
  <c r="AE286" i="161" s="1"/>
  <c r="Y286" i="161"/>
  <c r="AA286" i="161" s="1"/>
  <c r="Z286" i="161"/>
  <c r="AR286" i="161"/>
  <c r="AT286" i="161"/>
  <c r="AS286" i="161"/>
  <c r="AU286" i="161"/>
  <c r="T181" i="161"/>
  <c r="R181" i="161"/>
  <c r="AL181" i="161" s="1"/>
  <c r="Z181" i="161"/>
  <c r="AB181" i="161" s="1"/>
  <c r="Y181" i="161"/>
  <c r="AA181" i="161" s="1"/>
  <c r="Q181" i="161"/>
  <c r="AE181" i="161" s="1"/>
  <c r="Y211" i="161"/>
  <c r="AA211" i="161" s="1"/>
  <c r="Q211" i="161"/>
  <c r="AE211" i="161" s="1"/>
  <c r="R211" i="161"/>
  <c r="AL211" i="161" s="1"/>
  <c r="AM211" i="161" s="1"/>
  <c r="AN211" i="161" s="1"/>
  <c r="AH211" i="161" s="1"/>
  <c r="B211" i="161" s="1"/>
  <c r="T211" i="161"/>
  <c r="U211" i="161" s="1"/>
  <c r="V211" i="161" s="1"/>
  <c r="Z211" i="161"/>
  <c r="AS211" i="161"/>
  <c r="AR211" i="161"/>
  <c r="AU211" i="161"/>
  <c r="AT211" i="161"/>
  <c r="Y299" i="161"/>
  <c r="AA299" i="161" s="1"/>
  <c r="Z299" i="161"/>
  <c r="T299" i="161"/>
  <c r="R299" i="161"/>
  <c r="AL299" i="161" s="1"/>
  <c r="AM299" i="161" s="1"/>
  <c r="AN299" i="161" s="1"/>
  <c r="AH299" i="161" s="1"/>
  <c r="B299" i="161" s="1"/>
  <c r="Q299" i="161"/>
  <c r="AE299" i="161" s="1"/>
  <c r="AT299" i="161"/>
  <c r="AR299" i="161"/>
  <c r="AU299" i="161"/>
  <c r="AS299" i="161"/>
  <c r="R216" i="161"/>
  <c r="AL216" i="161" s="1"/>
  <c r="T216" i="161"/>
  <c r="V216" i="161" s="1"/>
  <c r="Z216" i="161"/>
  <c r="AB216" i="161" s="1"/>
  <c r="Y216" i="161"/>
  <c r="AA216" i="161" s="1"/>
  <c r="Q216" i="161"/>
  <c r="AE216" i="161" s="1"/>
  <c r="Q347" i="161"/>
  <c r="AE347" i="161" s="1"/>
  <c r="Y347" i="161"/>
  <c r="AA347" i="161" s="1"/>
  <c r="Z347" i="161"/>
  <c r="T347" i="161"/>
  <c r="U347" i="161" s="1"/>
  <c r="V347" i="161" s="1"/>
  <c r="R347" i="161"/>
  <c r="AL347" i="161" s="1"/>
  <c r="AM347" i="161" s="1"/>
  <c r="AN347" i="161" s="1"/>
  <c r="AH347" i="161" s="1"/>
  <c r="B347" i="161" s="1"/>
  <c r="AR347" i="161"/>
  <c r="AS347" i="161"/>
  <c r="AU347" i="161"/>
  <c r="AT347" i="161"/>
  <c r="Y206" i="161"/>
  <c r="AA206" i="161" s="1"/>
  <c r="Z206" i="161"/>
  <c r="AB206" i="161" s="1"/>
  <c r="T206" i="161"/>
  <c r="V206" i="161" s="1"/>
  <c r="Q206" i="161"/>
  <c r="AE206" i="161" s="1"/>
  <c r="R206" i="161"/>
  <c r="AL206" i="161" s="1"/>
  <c r="R284" i="161"/>
  <c r="AL284" i="161" s="1"/>
  <c r="AM284" i="161" s="1"/>
  <c r="AN284" i="161" s="1"/>
  <c r="AH284" i="161" s="1"/>
  <c r="B284" i="161" s="1"/>
  <c r="Q284" i="161"/>
  <c r="AE284" i="161" s="1"/>
  <c r="Z284" i="161"/>
  <c r="T284" i="161"/>
  <c r="U284" i="161" s="1"/>
  <c r="V284" i="161" s="1"/>
  <c r="Y284" i="161"/>
  <c r="AA284" i="161" s="1"/>
  <c r="AT284" i="161"/>
  <c r="AR284" i="161"/>
  <c r="AU284" i="161"/>
  <c r="AS284" i="161"/>
  <c r="T217" i="161"/>
  <c r="U217" i="161" s="1"/>
  <c r="V217" i="161" s="1"/>
  <c r="R217" i="161"/>
  <c r="AL217" i="161" s="1"/>
  <c r="AM217" i="161" s="1"/>
  <c r="AN217" i="161" s="1"/>
  <c r="AH217" i="161" s="1"/>
  <c r="B217" i="161" s="1"/>
  <c r="Z217" i="161"/>
  <c r="Q217" i="161"/>
  <c r="AE217" i="161" s="1"/>
  <c r="Y217" i="161"/>
  <c r="AA217" i="161" s="1"/>
  <c r="AS217" i="161"/>
  <c r="AT217" i="161"/>
  <c r="AU217" i="161"/>
  <c r="AR217" i="161"/>
  <c r="Z266" i="161"/>
  <c r="Y266" i="161"/>
  <c r="AA266" i="161" s="1"/>
  <c r="T266" i="161"/>
  <c r="U266" i="161" s="1"/>
  <c r="V266" i="161" s="1"/>
  <c r="R266" i="161"/>
  <c r="AL266" i="161" s="1"/>
  <c r="AM266" i="161" s="1"/>
  <c r="AN266" i="161" s="1"/>
  <c r="AH266" i="161" s="1"/>
  <c r="B266" i="161" s="1"/>
  <c r="Q266" i="161"/>
  <c r="AE266" i="161" s="1"/>
  <c r="AS266" i="161"/>
  <c r="AT266" i="161"/>
  <c r="AR266" i="161"/>
  <c r="AU266" i="161"/>
  <c r="AS150" i="161"/>
  <c r="Z150" i="161"/>
  <c r="Y150" i="161"/>
  <c r="AA150" i="161" s="1"/>
  <c r="R150" i="161"/>
  <c r="AL150" i="161" s="1"/>
  <c r="AM150" i="161" s="1"/>
  <c r="AN150" i="161" s="1"/>
  <c r="AH150" i="161" s="1"/>
  <c r="B150" i="161" s="1"/>
  <c r="Q150" i="161"/>
  <c r="AE150" i="161" s="1"/>
  <c r="T150" i="161"/>
  <c r="U150" i="161" s="1"/>
  <c r="V150" i="161" s="1"/>
  <c r="AT150" i="161"/>
  <c r="AU150" i="161"/>
  <c r="AR150" i="161"/>
  <c r="AU192" i="161"/>
  <c r="Q192" i="161"/>
  <c r="AE192" i="161" s="1"/>
  <c r="Z192" i="161"/>
  <c r="Y192" i="161"/>
  <c r="AA192" i="161" s="1"/>
  <c r="T192" i="161"/>
  <c r="U192" i="161" s="1"/>
  <c r="V192" i="161" s="1"/>
  <c r="R192" i="161"/>
  <c r="AL192" i="161" s="1"/>
  <c r="AM192" i="161" s="1"/>
  <c r="AN192" i="161" s="1"/>
  <c r="AH192" i="161" s="1"/>
  <c r="B192" i="161" s="1"/>
  <c r="AS192" i="161"/>
  <c r="AT192" i="161"/>
  <c r="AR192" i="161"/>
  <c r="R295" i="161"/>
  <c r="AL295" i="161" s="1"/>
  <c r="AM295" i="161" s="1"/>
  <c r="AN295" i="161" s="1"/>
  <c r="AH295" i="161" s="1"/>
  <c r="B295" i="161" s="1"/>
  <c r="Y295" i="161"/>
  <c r="AA295" i="161" s="1"/>
  <c r="Q295" i="161"/>
  <c r="AE295" i="161" s="1"/>
  <c r="Z295" i="161"/>
  <c r="T295" i="161"/>
  <c r="U295" i="161" s="1"/>
  <c r="V295" i="161" s="1"/>
  <c r="AU295" i="161"/>
  <c r="AS295" i="161"/>
  <c r="AR295" i="161"/>
  <c r="AT295" i="161"/>
  <c r="Z235" i="161"/>
  <c r="R235" i="161"/>
  <c r="AL235" i="161" s="1"/>
  <c r="AM235" i="161" s="1"/>
  <c r="AN235" i="161" s="1"/>
  <c r="AH235" i="161" s="1"/>
  <c r="B235" i="161" s="1"/>
  <c r="T235" i="161"/>
  <c r="U235" i="161" s="1"/>
  <c r="V235" i="161" s="1"/>
  <c r="Q235" i="161"/>
  <c r="AE235" i="161" s="1"/>
  <c r="Y235" i="161"/>
  <c r="AA235" i="161" s="1"/>
  <c r="AR235" i="161"/>
  <c r="AT235" i="161"/>
  <c r="AU235" i="161"/>
  <c r="AS235" i="161"/>
  <c r="Y214" i="161"/>
  <c r="AA214" i="161" s="1"/>
  <c r="R214" i="161"/>
  <c r="AL214" i="161" s="1"/>
  <c r="T214" i="161"/>
  <c r="V214" i="161" s="1"/>
  <c r="Q214" i="161"/>
  <c r="AE214" i="161" s="1"/>
  <c r="Z214" i="161"/>
  <c r="AB214" i="161" s="1"/>
  <c r="T349" i="161"/>
  <c r="U349" i="161" s="1"/>
  <c r="V349" i="161" s="1"/>
  <c r="AT349" i="161"/>
  <c r="Q349" i="161"/>
  <c r="AE349" i="161" s="1"/>
  <c r="Y349" i="161"/>
  <c r="AA349" i="161" s="1"/>
  <c r="Z349" i="161"/>
  <c r="AS349" i="161"/>
  <c r="AU349" i="161"/>
  <c r="R349" i="161"/>
  <c r="AL349" i="161" s="1"/>
  <c r="AM349" i="161" s="1"/>
  <c r="AN349" i="161" s="1"/>
  <c r="AH349" i="161" s="1"/>
  <c r="B349" i="161" s="1"/>
  <c r="AR349" i="161"/>
  <c r="Y327" i="161"/>
  <c r="AA327" i="161" s="1"/>
  <c r="T327" i="161"/>
  <c r="U327" i="161" s="1"/>
  <c r="V327" i="161" s="1"/>
  <c r="Q327" i="161"/>
  <c r="AE327" i="161" s="1"/>
  <c r="R327" i="161"/>
  <c r="AL327" i="161" s="1"/>
  <c r="AM327" i="161" s="1"/>
  <c r="AN327" i="161" s="1"/>
  <c r="AH327" i="161" s="1"/>
  <c r="B327" i="161" s="1"/>
  <c r="Z327" i="161"/>
  <c r="AU327" i="161"/>
  <c r="AS327" i="161"/>
  <c r="AR327" i="161"/>
  <c r="AT327" i="161"/>
  <c r="T370" i="161"/>
  <c r="U370" i="161" s="1"/>
  <c r="V370" i="161" s="1"/>
  <c r="Q370" i="161"/>
  <c r="AE370" i="161" s="1"/>
  <c r="R370" i="161"/>
  <c r="AL370" i="161" s="1"/>
  <c r="AM370" i="161" s="1"/>
  <c r="AN370" i="161" s="1"/>
  <c r="AH370" i="161" s="1"/>
  <c r="B370" i="161" s="1"/>
  <c r="Z370" i="161"/>
  <c r="Y370" i="161"/>
  <c r="AA370" i="161" s="1"/>
  <c r="AR370" i="161"/>
  <c r="AS370" i="161"/>
  <c r="AT370" i="161"/>
  <c r="AU370" i="161"/>
  <c r="Y322" i="161"/>
  <c r="AA322" i="161" s="1"/>
  <c r="T322" i="161"/>
  <c r="U322" i="161" s="1"/>
  <c r="V322" i="161" s="1"/>
  <c r="R322" i="161"/>
  <c r="AL322" i="161" s="1"/>
  <c r="AM322" i="161" s="1"/>
  <c r="AN322" i="161" s="1"/>
  <c r="AH322" i="161" s="1"/>
  <c r="B322" i="161" s="1"/>
  <c r="AT322" i="161"/>
  <c r="AR322" i="161"/>
  <c r="Q322" i="161"/>
  <c r="AE322" i="161" s="1"/>
  <c r="AU322" i="161"/>
  <c r="Z322" i="161"/>
  <c r="AS322" i="161"/>
  <c r="T251" i="161"/>
  <c r="R251" i="161"/>
  <c r="AL251" i="161" s="1"/>
  <c r="Z251" i="161"/>
  <c r="AB251" i="161" s="1"/>
  <c r="Q251" i="161"/>
  <c r="AE251" i="161" s="1"/>
  <c r="Y251" i="161"/>
  <c r="AA251" i="161" s="1"/>
  <c r="Q328" i="161"/>
  <c r="AE328" i="161" s="1"/>
  <c r="Z328" i="161"/>
  <c r="R328" i="161"/>
  <c r="AL328" i="161" s="1"/>
  <c r="AM328" i="161" s="1"/>
  <c r="AN328" i="161" s="1"/>
  <c r="AH328" i="161" s="1"/>
  <c r="B328" i="161" s="1"/>
  <c r="Y328" i="161"/>
  <c r="AA328" i="161" s="1"/>
  <c r="T328" i="161"/>
  <c r="U328" i="161" s="1"/>
  <c r="V328" i="161" s="1"/>
  <c r="AR328" i="161"/>
  <c r="AU328" i="161"/>
  <c r="AS328" i="161"/>
  <c r="AT328" i="161"/>
  <c r="Y274" i="161"/>
  <c r="AA274" i="161" s="1"/>
  <c r="T274" i="161"/>
  <c r="U274" i="161" s="1"/>
  <c r="V274" i="161" s="1"/>
  <c r="R274" i="161"/>
  <c r="AL274" i="161" s="1"/>
  <c r="AM274" i="161" s="1"/>
  <c r="AN274" i="161" s="1"/>
  <c r="AH274" i="161" s="1"/>
  <c r="B274" i="161" s="1"/>
  <c r="Z274" i="161"/>
  <c r="Q274" i="161"/>
  <c r="AE274" i="161" s="1"/>
  <c r="AR274" i="161"/>
  <c r="AU274" i="161"/>
  <c r="AS274" i="161"/>
  <c r="AT274" i="161"/>
  <c r="Q326" i="161"/>
  <c r="AE326" i="161" s="1"/>
  <c r="Z326" i="161"/>
  <c r="AB326" i="161" s="1"/>
  <c r="T326" i="161"/>
  <c r="V326" i="161" s="1"/>
  <c r="R326" i="161"/>
  <c r="AL326" i="161" s="1"/>
  <c r="Y326" i="161"/>
  <c r="AA326" i="161" s="1"/>
  <c r="Z313" i="161"/>
  <c r="Y313" i="161"/>
  <c r="AA313" i="161" s="1"/>
  <c r="T313" i="161"/>
  <c r="U313" i="161" s="1"/>
  <c r="V313" i="161" s="1"/>
  <c r="Q313" i="161"/>
  <c r="AE313" i="161" s="1"/>
  <c r="R313" i="161"/>
  <c r="AL313" i="161" s="1"/>
  <c r="AM313" i="161" s="1"/>
  <c r="AN313" i="161" s="1"/>
  <c r="AH313" i="161" s="1"/>
  <c r="B313" i="161" s="1"/>
  <c r="AT313" i="161"/>
  <c r="AS313" i="161"/>
  <c r="AU313" i="161"/>
  <c r="AR313" i="161"/>
  <c r="T379" i="161"/>
  <c r="U379" i="161" s="1"/>
  <c r="V379" i="161" s="1"/>
  <c r="Q379" i="161"/>
  <c r="AE379" i="161" s="1"/>
  <c r="Z379" i="161"/>
  <c r="R379" i="161"/>
  <c r="AL379" i="161" s="1"/>
  <c r="AM379" i="161" s="1"/>
  <c r="AN379" i="161" s="1"/>
  <c r="AH379" i="161" s="1"/>
  <c r="B379" i="161" s="1"/>
  <c r="Y379" i="161"/>
  <c r="AA379" i="161" s="1"/>
  <c r="AR379" i="161"/>
  <c r="AU379" i="161"/>
  <c r="AS379" i="161"/>
  <c r="AT379" i="161"/>
  <c r="T14" i="161"/>
  <c r="R14" i="161"/>
  <c r="Q14" i="161"/>
  <c r="AE14" i="161" s="1"/>
  <c r="Y14" i="161"/>
  <c r="AA14" i="161" s="1"/>
  <c r="AT14" i="161"/>
  <c r="AS14" i="161"/>
  <c r="AU14" i="161"/>
  <c r="AR14" i="161"/>
  <c r="Z14" i="161"/>
  <c r="H8" i="190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AW246" i="161" l="1"/>
  <c r="AX246" i="161" s="1"/>
  <c r="AY246" i="161" s="1"/>
  <c r="AQ246" i="161" s="1"/>
  <c r="AW119" i="161"/>
  <c r="AX119" i="161" s="1"/>
  <c r="AY119" i="161" s="1"/>
  <c r="AQ119" i="161" s="1"/>
  <c r="AW269" i="161"/>
  <c r="AX269" i="161" s="1"/>
  <c r="AY269" i="161" s="1"/>
  <c r="AQ269" i="161" s="1"/>
  <c r="T13" i="161"/>
  <c r="W274" i="161"/>
  <c r="D269" i="189"/>
  <c r="W35" i="161"/>
  <c r="D30" i="189"/>
  <c r="F30" i="189" s="1"/>
  <c r="W308" i="161"/>
  <c r="D303" i="189"/>
  <c r="W339" i="161"/>
  <c r="D334" i="189"/>
  <c r="W278" i="161"/>
  <c r="D273" i="189"/>
  <c r="W189" i="161"/>
  <c r="D184" i="189"/>
  <c r="W377" i="161"/>
  <c r="D372" i="189"/>
  <c r="W184" i="161"/>
  <c r="D179" i="189"/>
  <c r="W172" i="161"/>
  <c r="D167" i="189"/>
  <c r="W36" i="161"/>
  <c r="D31" i="189"/>
  <c r="F31" i="189" s="1"/>
  <c r="W315" i="161"/>
  <c r="D310" i="189"/>
  <c r="W312" i="161"/>
  <c r="D307" i="189"/>
  <c r="W169" i="161"/>
  <c r="D164" i="189"/>
  <c r="W183" i="161"/>
  <c r="D178" i="189"/>
  <c r="W246" i="161"/>
  <c r="D241" i="189"/>
  <c r="W119" i="161"/>
  <c r="D114" i="189"/>
  <c r="W18" i="161"/>
  <c r="D13" i="189"/>
  <c r="W345" i="161"/>
  <c r="D340" i="189"/>
  <c r="W244" i="161"/>
  <c r="D239" i="189"/>
  <c r="W118" i="161"/>
  <c r="D113" i="189"/>
  <c r="W24" i="161"/>
  <c r="D19" i="189"/>
  <c r="W272" i="161"/>
  <c r="D267" i="189"/>
  <c r="W230" i="161"/>
  <c r="D225" i="189"/>
  <c r="W162" i="161"/>
  <c r="D157" i="189"/>
  <c r="W229" i="161"/>
  <c r="D224" i="189"/>
  <c r="W31" i="161"/>
  <c r="D26" i="189"/>
  <c r="F26" i="189" s="1"/>
  <c r="W331" i="161"/>
  <c r="D326" i="189"/>
  <c r="W187" i="161"/>
  <c r="D182" i="189"/>
  <c r="W70" i="161"/>
  <c r="D65" i="189"/>
  <c r="F65" i="189" s="1"/>
  <c r="W319" i="161"/>
  <c r="D314" i="189"/>
  <c r="W296" i="161"/>
  <c r="D291" i="189"/>
  <c r="W151" i="161"/>
  <c r="D146" i="189"/>
  <c r="W218" i="161"/>
  <c r="D213" i="189"/>
  <c r="W297" i="161"/>
  <c r="D292" i="189"/>
  <c r="W107" i="161"/>
  <c r="D102" i="189"/>
  <c r="W313" i="161"/>
  <c r="D308" i="189"/>
  <c r="W370" i="161"/>
  <c r="D365" i="189"/>
  <c r="W327" i="161"/>
  <c r="D322" i="189"/>
  <c r="W216" i="161"/>
  <c r="D211" i="189"/>
  <c r="W211" i="161"/>
  <c r="D206" i="189"/>
  <c r="W59" i="161"/>
  <c r="D54" i="189"/>
  <c r="W74" i="161"/>
  <c r="D69" i="189"/>
  <c r="W273" i="161"/>
  <c r="D268" i="189"/>
  <c r="W305" i="161"/>
  <c r="D300" i="189"/>
  <c r="W200" i="161"/>
  <c r="D195" i="189"/>
  <c r="W276" i="161"/>
  <c r="D271" i="189"/>
  <c r="W95" i="161"/>
  <c r="D90" i="189"/>
  <c r="W334" i="161"/>
  <c r="D329" i="189"/>
  <c r="W317" i="161"/>
  <c r="D312" i="189"/>
  <c r="W321" i="161"/>
  <c r="D316" i="189"/>
  <c r="W83" i="161"/>
  <c r="D78" i="189"/>
  <c r="W123" i="161"/>
  <c r="D118" i="189"/>
  <c r="W86" i="161"/>
  <c r="D81" i="189"/>
  <c r="W245" i="161"/>
  <c r="D240" i="189"/>
  <c r="W146" i="161"/>
  <c r="D141" i="189"/>
  <c r="W131" i="161"/>
  <c r="D126" i="189"/>
  <c r="W267" i="161"/>
  <c r="D262" i="189"/>
  <c r="W196" i="161"/>
  <c r="D191" i="189"/>
  <c r="W158" i="161"/>
  <c r="D153" i="189"/>
  <c r="W354" i="161"/>
  <c r="D349" i="189"/>
  <c r="W351" i="161"/>
  <c r="D346" i="189"/>
  <c r="W138" i="161"/>
  <c r="D133" i="189"/>
  <c r="W145" i="161"/>
  <c r="D140" i="189"/>
  <c r="W76" i="161"/>
  <c r="D71" i="189"/>
  <c r="W122" i="161"/>
  <c r="D117" i="189"/>
  <c r="W44" i="161"/>
  <c r="D39" i="189"/>
  <c r="W333" i="161"/>
  <c r="D328" i="189"/>
  <c r="W374" i="161"/>
  <c r="D369" i="189"/>
  <c r="W224" i="161"/>
  <c r="D219" i="189"/>
  <c r="W58" i="161"/>
  <c r="D53" i="189"/>
  <c r="W157" i="161"/>
  <c r="D152" i="189"/>
  <c r="W120" i="161"/>
  <c r="D115" i="189"/>
  <c r="W336" i="161"/>
  <c r="D331" i="189"/>
  <c r="W260" i="161"/>
  <c r="D255" i="189"/>
  <c r="W283" i="161"/>
  <c r="D278" i="189"/>
  <c r="W367" i="161"/>
  <c r="D362" i="189"/>
  <c r="W71" i="161"/>
  <c r="D66" i="189"/>
  <c r="F66" i="189" s="1"/>
  <c r="W379" i="161"/>
  <c r="D374" i="189"/>
  <c r="W206" i="161"/>
  <c r="D201" i="189"/>
  <c r="W347" i="161"/>
  <c r="D342" i="189"/>
  <c r="W286" i="161"/>
  <c r="D281" i="189"/>
  <c r="W94" i="161"/>
  <c r="D89" i="189"/>
  <c r="W173" i="161"/>
  <c r="D168" i="189"/>
  <c r="W124" i="161"/>
  <c r="D119" i="189"/>
  <c r="W209" i="161"/>
  <c r="D204" i="189"/>
  <c r="W152" i="161"/>
  <c r="D147" i="189"/>
  <c r="W356" i="161"/>
  <c r="D351" i="189"/>
  <c r="W359" i="161"/>
  <c r="D354" i="189"/>
  <c r="W198" i="161"/>
  <c r="D193" i="189"/>
  <c r="W164" i="161"/>
  <c r="D159" i="189"/>
  <c r="W37" i="161"/>
  <c r="D32" i="189"/>
  <c r="F32" i="189" s="1"/>
  <c r="W65" i="161"/>
  <c r="D60" i="189"/>
  <c r="W16" i="161"/>
  <c r="D11" i="189"/>
  <c r="W355" i="161"/>
  <c r="D350" i="189"/>
  <c r="W168" i="161"/>
  <c r="D163" i="189"/>
  <c r="W368" i="161"/>
  <c r="D363" i="189"/>
  <c r="W185" i="161"/>
  <c r="D180" i="189"/>
  <c r="W28" i="161"/>
  <c r="D23" i="189"/>
  <c r="F23" i="189" s="1"/>
  <c r="F12" i="189"/>
  <c r="Q12" i="189" s="1"/>
  <c r="R12" i="189" s="1"/>
  <c r="W262" i="161"/>
  <c r="D257" i="189"/>
  <c r="W376" i="161"/>
  <c r="D371" i="189"/>
  <c r="W29" i="161"/>
  <c r="D24" i="189"/>
  <c r="W51" i="161"/>
  <c r="D46" i="189"/>
  <c r="F46" i="189" s="1"/>
  <c r="W342" i="161"/>
  <c r="D337" i="189"/>
  <c r="W341" i="161"/>
  <c r="D336" i="189"/>
  <c r="W285" i="161"/>
  <c r="D280" i="189"/>
  <c r="W301" i="161"/>
  <c r="D296" i="189"/>
  <c r="W302" i="161"/>
  <c r="D297" i="189"/>
  <c r="W221" i="161"/>
  <c r="D216" i="189"/>
  <c r="W141" i="161"/>
  <c r="D136" i="189"/>
  <c r="W121" i="161"/>
  <c r="D116" i="189"/>
  <c r="W236" i="161"/>
  <c r="D231" i="189"/>
  <c r="W222" i="161"/>
  <c r="D217" i="189"/>
  <c r="W101" i="161"/>
  <c r="D96" i="189"/>
  <c r="W129" i="161"/>
  <c r="D124" i="189"/>
  <c r="W19" i="161"/>
  <c r="D14" i="189"/>
  <c r="W349" i="161"/>
  <c r="D344" i="189"/>
  <c r="W266" i="161"/>
  <c r="D261" i="189"/>
  <c r="W127" i="161"/>
  <c r="D122" i="189"/>
  <c r="W323" i="161"/>
  <c r="D318" i="189"/>
  <c r="W350" i="161"/>
  <c r="D345" i="189"/>
  <c r="W311" i="161"/>
  <c r="D306" i="189"/>
  <c r="W205" i="161"/>
  <c r="D200" i="189"/>
  <c r="W320" i="161"/>
  <c r="D315" i="189"/>
  <c r="W373" i="161"/>
  <c r="D368" i="189"/>
  <c r="W170" i="161"/>
  <c r="D165" i="189"/>
  <c r="W248" i="161"/>
  <c r="D243" i="189"/>
  <c r="W199" i="161"/>
  <c r="D194" i="189"/>
  <c r="W167" i="161"/>
  <c r="D162" i="189"/>
  <c r="W92" i="161"/>
  <c r="D87" i="189"/>
  <c r="W20" i="161"/>
  <c r="D15" i="189"/>
  <c r="W23" i="161"/>
  <c r="D18" i="189"/>
  <c r="W268" i="161"/>
  <c r="D263" i="189"/>
  <c r="W182" i="161"/>
  <c r="D177" i="189"/>
  <c r="W241" i="161"/>
  <c r="D236" i="189"/>
  <c r="W191" i="161"/>
  <c r="D186" i="189"/>
  <c r="W98" i="161"/>
  <c r="D93" i="189"/>
  <c r="W21" i="161"/>
  <c r="D16" i="189"/>
  <c r="F16" i="189" s="1"/>
  <c r="W309" i="161"/>
  <c r="D304" i="189"/>
  <c r="W247" i="161"/>
  <c r="D242" i="189"/>
  <c r="W144" i="161"/>
  <c r="D139" i="189"/>
  <c r="W64" i="161"/>
  <c r="D59" i="189"/>
  <c r="W15" i="161"/>
  <c r="D10" i="189"/>
  <c r="F10" i="189" s="1"/>
  <c r="W30" i="161"/>
  <c r="D25" i="189"/>
  <c r="F25" i="189" s="1"/>
  <c r="W343" i="161"/>
  <c r="D338" i="189"/>
  <c r="W372" i="161"/>
  <c r="D367" i="189"/>
  <c r="F367" i="189" s="1"/>
  <c r="W223" i="161"/>
  <c r="D218" i="189"/>
  <c r="W195" i="161"/>
  <c r="D190" i="189"/>
  <c r="W163" i="161"/>
  <c r="D158" i="189"/>
  <c r="W116" i="161"/>
  <c r="D111" i="189"/>
  <c r="W149" i="161"/>
  <c r="D144" i="189"/>
  <c r="W61" i="161"/>
  <c r="D56" i="189"/>
  <c r="W316" i="161"/>
  <c r="D311" i="189"/>
  <c r="W108" i="161"/>
  <c r="D103" i="189"/>
  <c r="W171" i="161"/>
  <c r="D166" i="189"/>
  <c r="W371" i="161"/>
  <c r="D366" i="189"/>
  <c r="W252" i="161"/>
  <c r="D247" i="189"/>
  <c r="W203" i="161"/>
  <c r="D198" i="189"/>
  <c r="W271" i="161"/>
  <c r="D266" i="189"/>
  <c r="W186" i="161"/>
  <c r="D181" i="189"/>
  <c r="W48" i="161"/>
  <c r="D43" i="189"/>
  <c r="F43" i="189" s="1"/>
  <c r="W139" i="161"/>
  <c r="D134" i="189"/>
  <c r="W50" i="161"/>
  <c r="D45" i="189"/>
  <c r="F45" i="189" s="1"/>
  <c r="W78" i="161"/>
  <c r="D73" i="189"/>
  <c r="W284" i="161"/>
  <c r="D279" i="189"/>
  <c r="W166" i="161"/>
  <c r="D161" i="189"/>
  <c r="W47" i="161"/>
  <c r="D42" i="189"/>
  <c r="W375" i="161"/>
  <c r="D370" i="189"/>
  <c r="F370" i="189" s="1"/>
  <c r="W364" i="161"/>
  <c r="D359" i="189"/>
  <c r="W258" i="161"/>
  <c r="D253" i="189"/>
  <c r="W197" i="161"/>
  <c r="D192" i="189"/>
  <c r="W106" i="161"/>
  <c r="D101" i="189"/>
  <c r="W140" i="161"/>
  <c r="D135" i="189"/>
  <c r="W263" i="161"/>
  <c r="D258" i="189"/>
  <c r="W257" i="161"/>
  <c r="D252" i="189"/>
  <c r="W82" i="161"/>
  <c r="D77" i="189"/>
  <c r="W282" i="161"/>
  <c r="D277" i="189"/>
  <c r="W233" i="161"/>
  <c r="D228" i="189"/>
  <c r="W134" i="161"/>
  <c r="D129" i="189"/>
  <c r="W81" i="161"/>
  <c r="D76" i="189"/>
  <c r="W32" i="161"/>
  <c r="D27" i="189"/>
  <c r="W39" i="161"/>
  <c r="D34" i="189"/>
  <c r="W22" i="161"/>
  <c r="D17" i="189"/>
  <c r="W306" i="161"/>
  <c r="D301" i="189"/>
  <c r="W357" i="161"/>
  <c r="D352" i="189"/>
  <c r="W281" i="161"/>
  <c r="D276" i="189"/>
  <c r="W69" i="161"/>
  <c r="D64" i="189"/>
  <c r="F64" i="189" s="1"/>
  <c r="W174" i="161"/>
  <c r="D169" i="189"/>
  <c r="W240" i="161"/>
  <c r="D235" i="189"/>
  <c r="W293" i="161"/>
  <c r="D288" i="189"/>
  <c r="W125" i="161"/>
  <c r="D120" i="189"/>
  <c r="W137" i="161"/>
  <c r="D132" i="189"/>
  <c r="W237" i="161"/>
  <c r="D232" i="189"/>
  <c r="W207" i="161"/>
  <c r="D202" i="189"/>
  <c r="W378" i="161"/>
  <c r="D373" i="189"/>
  <c r="W348" i="161"/>
  <c r="D343" i="189"/>
  <c r="W49" i="161"/>
  <c r="D44" i="189"/>
  <c r="F44" i="189" s="1"/>
  <c r="W75" i="161"/>
  <c r="D70" i="189"/>
  <c r="W213" i="161"/>
  <c r="D208" i="189"/>
  <c r="W340" i="161"/>
  <c r="D335" i="189"/>
  <c r="W41" i="161"/>
  <c r="D36" i="189"/>
  <c r="W102" i="161"/>
  <c r="D97" i="189"/>
  <c r="W335" i="161"/>
  <c r="D330" i="189"/>
  <c r="W325" i="161"/>
  <c r="D320" i="189"/>
  <c r="W269" i="161"/>
  <c r="D264" i="189"/>
  <c r="W57" i="161"/>
  <c r="D52" i="189"/>
  <c r="W103" i="161"/>
  <c r="D98" i="189"/>
  <c r="W96" i="161"/>
  <c r="D91" i="189"/>
  <c r="W300" i="161"/>
  <c r="D295" i="189"/>
  <c r="W365" i="161"/>
  <c r="D360" i="189"/>
  <c r="W288" i="161"/>
  <c r="D283" i="189"/>
  <c r="W307" i="161"/>
  <c r="D302" i="189"/>
  <c r="W346" i="161"/>
  <c r="D341" i="189"/>
  <c r="W204" i="161"/>
  <c r="D199" i="189"/>
  <c r="W40" i="161"/>
  <c r="D35" i="189"/>
  <c r="W100" i="161"/>
  <c r="D95" i="189"/>
  <c r="W366" i="161"/>
  <c r="D361" i="189"/>
  <c r="W294" i="161"/>
  <c r="D289" i="189"/>
  <c r="W159" i="161"/>
  <c r="D154" i="189"/>
  <c r="W291" i="161"/>
  <c r="D286" i="189"/>
  <c r="W153" i="161"/>
  <c r="D148" i="189"/>
  <c r="W73" i="161"/>
  <c r="D68" i="189"/>
  <c r="W27" i="161"/>
  <c r="D22" i="189"/>
  <c r="F22" i="189" s="1"/>
  <c r="W231" i="161"/>
  <c r="D226" i="189"/>
  <c r="W232" i="161"/>
  <c r="D227" i="189"/>
  <c r="W147" i="161"/>
  <c r="D142" i="189"/>
  <c r="W126" i="161"/>
  <c r="D121" i="189"/>
  <c r="W128" i="161"/>
  <c r="D123" i="189"/>
  <c r="W97" i="161"/>
  <c r="D92" i="189"/>
  <c r="W87" i="161"/>
  <c r="D82" i="189"/>
  <c r="W352" i="161"/>
  <c r="D347" i="189"/>
  <c r="W344" i="161"/>
  <c r="D339" i="189"/>
  <c r="W289" i="161"/>
  <c r="D284" i="189"/>
  <c r="W161" i="161"/>
  <c r="D156" i="189"/>
  <c r="W132" i="161"/>
  <c r="D127" i="189"/>
  <c r="W90" i="161"/>
  <c r="D85" i="189"/>
  <c r="W54" i="161"/>
  <c r="D49" i="189"/>
  <c r="F49" i="189" s="1"/>
  <c r="W45" i="161"/>
  <c r="D40" i="189"/>
  <c r="W261" i="161"/>
  <c r="D256" i="189"/>
  <c r="W270" i="161"/>
  <c r="D265" i="189"/>
  <c r="W115" i="161"/>
  <c r="D110" i="189"/>
  <c r="W212" i="161"/>
  <c r="D207" i="189"/>
  <c r="W228" i="161"/>
  <c r="D223" i="189"/>
  <c r="W67" i="161"/>
  <c r="D62" i="189"/>
  <c r="F62" i="189" s="1"/>
  <c r="W136" i="161"/>
  <c r="D131" i="189"/>
  <c r="W326" i="161"/>
  <c r="D321" i="189"/>
  <c r="W328" i="161"/>
  <c r="D323" i="189"/>
  <c r="W214" i="161"/>
  <c r="D209" i="189"/>
  <c r="W295" i="161"/>
  <c r="D290" i="189"/>
  <c r="W217" i="161"/>
  <c r="D212" i="189"/>
  <c r="W210" i="161"/>
  <c r="D205" i="189"/>
  <c r="W130" i="161"/>
  <c r="D125" i="189"/>
  <c r="W148" i="161"/>
  <c r="D143" i="189"/>
  <c r="W110" i="161"/>
  <c r="D105" i="189"/>
  <c r="W99" i="161"/>
  <c r="D94" i="189"/>
  <c r="W66" i="161"/>
  <c r="D61" i="189"/>
  <c r="F61" i="189" s="1"/>
  <c r="W318" i="161"/>
  <c r="D313" i="189"/>
  <c r="W193" i="161"/>
  <c r="D188" i="189"/>
  <c r="W202" i="161"/>
  <c r="D197" i="189"/>
  <c r="W208" i="161"/>
  <c r="D203" i="189"/>
  <c r="W42" i="161"/>
  <c r="D37" i="189"/>
  <c r="W275" i="161"/>
  <c r="D270" i="189"/>
  <c r="W249" i="161"/>
  <c r="D244" i="189"/>
  <c r="W201" i="161"/>
  <c r="D196" i="189"/>
  <c r="W135" i="161"/>
  <c r="D130" i="189"/>
  <c r="W89" i="161"/>
  <c r="D84" i="189"/>
  <c r="W46" i="161"/>
  <c r="D41" i="189"/>
  <c r="W369" i="161"/>
  <c r="D364" i="189"/>
  <c r="W358" i="161"/>
  <c r="D353" i="189"/>
  <c r="W242" i="161"/>
  <c r="D237" i="189"/>
  <c r="W256" i="161"/>
  <c r="D251" i="189"/>
  <c r="W155" i="161"/>
  <c r="D150" i="189"/>
  <c r="W360" i="161"/>
  <c r="D355" i="189"/>
  <c r="W175" i="161"/>
  <c r="D170" i="189"/>
  <c r="W68" i="161"/>
  <c r="D63" i="189"/>
  <c r="W77" i="161"/>
  <c r="D72" i="189"/>
  <c r="W133" i="161"/>
  <c r="D128" i="189"/>
  <c r="W72" i="161"/>
  <c r="D67" i="189"/>
  <c r="W63" i="161"/>
  <c r="D58" i="189"/>
  <c r="W353" i="161"/>
  <c r="D348" i="189"/>
  <c r="W177" i="161"/>
  <c r="D172" i="189"/>
  <c r="W60" i="161"/>
  <c r="D55" i="189"/>
  <c r="W337" i="161"/>
  <c r="D332" i="189"/>
  <c r="W160" i="161"/>
  <c r="D155" i="189"/>
  <c r="W234" i="161"/>
  <c r="D229" i="189"/>
  <c r="W238" i="161"/>
  <c r="D233" i="189"/>
  <c r="W314" i="161"/>
  <c r="D309" i="189"/>
  <c r="W156" i="161"/>
  <c r="D151" i="189"/>
  <c r="W117" i="161"/>
  <c r="D112" i="189"/>
  <c r="W322" i="161"/>
  <c r="D317" i="189"/>
  <c r="W235" i="161"/>
  <c r="D230" i="189"/>
  <c r="W192" i="161"/>
  <c r="D187" i="189"/>
  <c r="W150" i="161"/>
  <c r="D145" i="189"/>
  <c r="W43" i="161"/>
  <c r="D38" i="189"/>
  <c r="W113" i="161"/>
  <c r="D108" i="189"/>
  <c r="W109" i="161"/>
  <c r="D104" i="189"/>
  <c r="W178" i="161"/>
  <c r="D173" i="189"/>
  <c r="W93" i="161"/>
  <c r="D88" i="189"/>
  <c r="W91" i="161"/>
  <c r="D86" i="189"/>
  <c r="W154" i="161"/>
  <c r="D149" i="189"/>
  <c r="W363" i="161"/>
  <c r="D358" i="189"/>
  <c r="F358" i="189" s="1"/>
  <c r="W190" i="161"/>
  <c r="D185" i="189"/>
  <c r="W176" i="161"/>
  <c r="D171" i="189"/>
  <c r="W259" i="161"/>
  <c r="D254" i="189"/>
  <c r="W194" i="161"/>
  <c r="D189" i="189"/>
  <c r="W332" i="161"/>
  <c r="D327" i="189"/>
  <c r="W142" i="161"/>
  <c r="D137" i="189"/>
  <c r="W88" i="161"/>
  <c r="D83" i="189"/>
  <c r="W38" i="161"/>
  <c r="D33" i="189"/>
  <c r="F33" i="189" s="1"/>
  <c r="W310" i="161"/>
  <c r="D305" i="189"/>
  <c r="W277" i="161"/>
  <c r="D272" i="189"/>
  <c r="W165" i="161"/>
  <c r="D160" i="189"/>
  <c r="W188" i="161"/>
  <c r="D183" i="189"/>
  <c r="W239" i="161"/>
  <c r="D234" i="189"/>
  <c r="W243" i="161"/>
  <c r="D238" i="189"/>
  <c r="W290" i="161"/>
  <c r="D285" i="189"/>
  <c r="F285" i="189" s="1"/>
  <c r="W253" i="161"/>
  <c r="D248" i="189"/>
  <c r="W62" i="161"/>
  <c r="D57" i="189"/>
  <c r="W227" i="161"/>
  <c r="D222" i="189"/>
  <c r="W292" i="161"/>
  <c r="D287" i="189"/>
  <c r="W143" i="161"/>
  <c r="D138" i="189"/>
  <c r="W338" i="161"/>
  <c r="D333" i="189"/>
  <c r="W215" i="161"/>
  <c r="D210" i="189"/>
  <c r="W324" i="161"/>
  <c r="D319" i="189"/>
  <c r="W287" i="161"/>
  <c r="D282" i="189"/>
  <c r="W114" i="161"/>
  <c r="D109" i="189"/>
  <c r="W179" i="161"/>
  <c r="D174" i="189"/>
  <c r="AW323" i="161"/>
  <c r="AX323" i="161" s="1"/>
  <c r="AY323" i="161" s="1"/>
  <c r="AQ323" i="161" s="1"/>
  <c r="AW200" i="161"/>
  <c r="AX200" i="161" s="1"/>
  <c r="AY200" i="161" s="1"/>
  <c r="AQ200" i="161" s="1"/>
  <c r="AW64" i="161"/>
  <c r="AW352" i="161"/>
  <c r="AX352" i="161" s="1"/>
  <c r="AY352" i="161" s="1"/>
  <c r="AQ352" i="161" s="1"/>
  <c r="AW296" i="161"/>
  <c r="AX296" i="161" s="1"/>
  <c r="AY296" i="161" s="1"/>
  <c r="AQ296" i="161" s="1"/>
  <c r="AW379" i="161"/>
  <c r="AX379" i="161" s="1"/>
  <c r="AY379" i="161" s="1"/>
  <c r="AQ379" i="161" s="1"/>
  <c r="AW349" i="161"/>
  <c r="AX349" i="161" s="1"/>
  <c r="AY349" i="161" s="1"/>
  <c r="AQ349" i="161" s="1"/>
  <c r="AW113" i="161"/>
  <c r="AX113" i="161" s="1"/>
  <c r="AY113" i="161" s="1"/>
  <c r="AQ113" i="161" s="1"/>
  <c r="AW196" i="161"/>
  <c r="AX196" i="161" s="1"/>
  <c r="AY196" i="161" s="1"/>
  <c r="AQ196" i="161" s="1"/>
  <c r="AW162" i="161"/>
  <c r="AX162" i="161" s="1"/>
  <c r="AY162" i="161" s="1"/>
  <c r="AQ162" i="161" s="1"/>
  <c r="AW94" i="161"/>
  <c r="AX94" i="161" s="1"/>
  <c r="AY94" i="161" s="1"/>
  <c r="AQ94" i="161" s="1"/>
  <c r="AW80" i="161"/>
  <c r="AW253" i="161"/>
  <c r="AX253" i="161" s="1"/>
  <c r="AY253" i="161" s="1"/>
  <c r="AQ253" i="161" s="1"/>
  <c r="AW76" i="161"/>
  <c r="AW350" i="161"/>
  <c r="AX350" i="161" s="1"/>
  <c r="AY350" i="161" s="1"/>
  <c r="AQ350" i="161" s="1"/>
  <c r="AW311" i="161"/>
  <c r="AX311" i="161" s="1"/>
  <c r="AY311" i="161" s="1"/>
  <c r="AQ311" i="161" s="1"/>
  <c r="AW209" i="161"/>
  <c r="AX209" i="161" s="1"/>
  <c r="AY209" i="161" s="1"/>
  <c r="AQ209" i="161" s="1"/>
  <c r="AW231" i="161"/>
  <c r="AX231" i="161" s="1"/>
  <c r="AY231" i="161" s="1"/>
  <c r="AQ231" i="161" s="1"/>
  <c r="AW351" i="161"/>
  <c r="AX351" i="161" s="1"/>
  <c r="AY351" i="161" s="1"/>
  <c r="AQ351" i="161" s="1"/>
  <c r="AW228" i="161"/>
  <c r="AX228" i="161" s="1"/>
  <c r="AY228" i="161" s="1"/>
  <c r="AQ228" i="161" s="1"/>
  <c r="D172" i="161"/>
  <c r="C171" i="161"/>
  <c r="BL171" i="161"/>
  <c r="AW359" i="161"/>
  <c r="AX359" i="161" s="1"/>
  <c r="AY359" i="161" s="1"/>
  <c r="AQ359" i="161" s="1"/>
  <c r="AW282" i="161"/>
  <c r="AX282" i="161" s="1"/>
  <c r="AY282" i="161" s="1"/>
  <c r="AQ282" i="161" s="1"/>
  <c r="AW378" i="161"/>
  <c r="AX378" i="161" s="1"/>
  <c r="AY378" i="161" s="1"/>
  <c r="AQ378" i="161" s="1"/>
  <c r="AW71" i="161"/>
  <c r="AX71" i="161" s="1"/>
  <c r="AY71" i="161" s="1"/>
  <c r="AQ71" i="161" s="1"/>
  <c r="AW198" i="161"/>
  <c r="AX198" i="161" s="1"/>
  <c r="AY198" i="161" s="1"/>
  <c r="AQ198" i="161" s="1"/>
  <c r="AW144" i="161"/>
  <c r="AX144" i="161" s="1"/>
  <c r="AY144" i="161" s="1"/>
  <c r="AQ144" i="161" s="1"/>
  <c r="AW187" i="161"/>
  <c r="AX187" i="161" s="1"/>
  <c r="AY187" i="161" s="1"/>
  <c r="AQ187" i="161" s="1"/>
  <c r="AW130" i="161"/>
  <c r="AX130" i="161" s="1"/>
  <c r="AY130" i="161" s="1"/>
  <c r="AQ130" i="161" s="1"/>
  <c r="AW74" i="161"/>
  <c r="AW178" i="161"/>
  <c r="AX178" i="161" s="1"/>
  <c r="AY178" i="161" s="1"/>
  <c r="AQ178" i="161" s="1"/>
  <c r="AW124" i="161"/>
  <c r="AX124" i="161" s="1"/>
  <c r="AY124" i="161" s="1"/>
  <c r="AQ124" i="161" s="1"/>
  <c r="AW307" i="161"/>
  <c r="AX307" i="161" s="1"/>
  <c r="AY307" i="161" s="1"/>
  <c r="AQ307" i="161" s="1"/>
  <c r="AW277" i="161"/>
  <c r="AX277" i="161" s="1"/>
  <c r="AY277" i="161" s="1"/>
  <c r="AQ277" i="161" s="1"/>
  <c r="AW15" i="161"/>
  <c r="AX15" i="161" s="1"/>
  <c r="AY15" i="161" s="1"/>
  <c r="AQ15" i="161" s="1"/>
  <c r="AW302" i="161"/>
  <c r="AX302" i="161" s="1"/>
  <c r="AY302" i="161" s="1"/>
  <c r="AQ302" i="161" s="1"/>
  <c r="AW49" i="161"/>
  <c r="AX49" i="161" s="1"/>
  <c r="AY49" i="161" s="1"/>
  <c r="AQ49" i="161" s="1"/>
  <c r="AW143" i="161"/>
  <c r="AX143" i="161" s="1"/>
  <c r="AY143" i="161" s="1"/>
  <c r="AQ143" i="161" s="1"/>
  <c r="AW260" i="161"/>
  <c r="AX260" i="161" s="1"/>
  <c r="AY260" i="161" s="1"/>
  <c r="AQ260" i="161" s="1"/>
  <c r="AW192" i="161"/>
  <c r="AX192" i="161" s="1"/>
  <c r="AY192" i="161" s="1"/>
  <c r="AQ192" i="161" s="1"/>
  <c r="AW161" i="161"/>
  <c r="AX161" i="161" s="1"/>
  <c r="AY161" i="161" s="1"/>
  <c r="AQ161" i="161" s="1"/>
  <c r="AW163" i="161"/>
  <c r="AX163" i="161" s="1"/>
  <c r="AY163" i="161" s="1"/>
  <c r="AQ163" i="161" s="1"/>
  <c r="AW270" i="161"/>
  <c r="AX270" i="161" s="1"/>
  <c r="AY270" i="161" s="1"/>
  <c r="AQ270" i="161" s="1"/>
  <c r="AW274" i="161"/>
  <c r="AX274" i="161" s="1"/>
  <c r="AY274" i="161" s="1"/>
  <c r="AQ274" i="161" s="1"/>
  <c r="AW102" i="161"/>
  <c r="AX102" i="161" s="1"/>
  <c r="AY102" i="161" s="1"/>
  <c r="AQ102" i="161" s="1"/>
  <c r="AW201" i="161"/>
  <c r="AX201" i="161" s="1"/>
  <c r="AY201" i="161" s="1"/>
  <c r="AQ201" i="161" s="1"/>
  <c r="AW172" i="161"/>
  <c r="AX172" i="161" s="1"/>
  <c r="AY172" i="161" s="1"/>
  <c r="AQ172" i="161" s="1"/>
  <c r="AW355" i="161"/>
  <c r="AX355" i="161" s="1"/>
  <c r="AY355" i="161" s="1"/>
  <c r="AQ355" i="161" s="1"/>
  <c r="AW360" i="161"/>
  <c r="AX360" i="161" s="1"/>
  <c r="AY360" i="161" s="1"/>
  <c r="AQ360" i="161" s="1"/>
  <c r="AW281" i="161"/>
  <c r="AW126" i="161"/>
  <c r="AX126" i="161" s="1"/>
  <c r="AY126" i="161" s="1"/>
  <c r="AQ126" i="161" s="1"/>
  <c r="AW63" i="161"/>
  <c r="AW132" i="161"/>
  <c r="AX132" i="161" s="1"/>
  <c r="AY132" i="161" s="1"/>
  <c r="AQ132" i="161" s="1"/>
  <c r="AW171" i="161"/>
  <c r="AX171" i="161" s="1"/>
  <c r="AY171" i="161" s="1"/>
  <c r="AQ171" i="161" s="1"/>
  <c r="AW53" i="161"/>
  <c r="AX53" i="161" s="1"/>
  <c r="AY53" i="161" s="1"/>
  <c r="AQ53" i="161" s="1"/>
  <c r="AW276" i="161"/>
  <c r="AX276" i="161" s="1"/>
  <c r="AY276" i="161" s="1"/>
  <c r="AQ276" i="161" s="1"/>
  <c r="AW320" i="161"/>
  <c r="AX320" i="161" s="1"/>
  <c r="AY320" i="161" s="1"/>
  <c r="AQ320" i="161" s="1"/>
  <c r="AW153" i="161"/>
  <c r="AX153" i="161" s="1"/>
  <c r="AY153" i="161" s="1"/>
  <c r="AQ153" i="161" s="1"/>
  <c r="AW357" i="161"/>
  <c r="AX357" i="161" s="1"/>
  <c r="AY357" i="161" s="1"/>
  <c r="AQ357" i="161" s="1"/>
  <c r="AW165" i="161"/>
  <c r="AX165" i="161" s="1"/>
  <c r="AY165" i="161" s="1"/>
  <c r="AQ165" i="161" s="1"/>
  <c r="AW232" i="161"/>
  <c r="AX232" i="161" s="1"/>
  <c r="AY232" i="161" s="1"/>
  <c r="AQ232" i="161" s="1"/>
  <c r="AW60" i="161"/>
  <c r="AW266" i="161"/>
  <c r="AX266" i="161" s="1"/>
  <c r="AY266" i="161" s="1"/>
  <c r="AQ266" i="161" s="1"/>
  <c r="AW278" i="161"/>
  <c r="AX278" i="161" s="1"/>
  <c r="AY278" i="161" s="1"/>
  <c r="AQ278" i="161" s="1"/>
  <c r="AW93" i="161"/>
  <c r="AX93" i="161" s="1"/>
  <c r="AY93" i="161" s="1"/>
  <c r="AQ93" i="161" s="1"/>
  <c r="AW154" i="161"/>
  <c r="AX154" i="161" s="1"/>
  <c r="AY154" i="161" s="1"/>
  <c r="AQ154" i="161" s="1"/>
  <c r="AW103" i="161"/>
  <c r="AX103" i="161" s="1"/>
  <c r="AY103" i="161" s="1"/>
  <c r="AQ103" i="161" s="1"/>
  <c r="AW373" i="161"/>
  <c r="AX373" i="161" s="1"/>
  <c r="AY373" i="161" s="1"/>
  <c r="AQ373" i="161" s="1"/>
  <c r="AW321" i="161"/>
  <c r="AX321" i="161" s="1"/>
  <c r="AY321" i="161" s="1"/>
  <c r="AQ321" i="161" s="1"/>
  <c r="AW263" i="161"/>
  <c r="AX263" i="161" s="1"/>
  <c r="AY263" i="161" s="1"/>
  <c r="AQ263" i="161" s="1"/>
  <c r="AW233" i="161"/>
  <c r="AX233" i="161" s="1"/>
  <c r="AY233" i="161" s="1"/>
  <c r="AQ233" i="161" s="1"/>
  <c r="AW244" i="161"/>
  <c r="AX244" i="161" s="1"/>
  <c r="AY244" i="161" s="1"/>
  <c r="AQ244" i="161" s="1"/>
  <c r="AW77" i="161"/>
  <c r="AW237" i="161"/>
  <c r="AX237" i="161" s="1"/>
  <c r="AY237" i="161" s="1"/>
  <c r="AQ237" i="161" s="1"/>
  <c r="AW202" i="161"/>
  <c r="AX202" i="161" s="1"/>
  <c r="AY202" i="161" s="1"/>
  <c r="AQ202" i="161" s="1"/>
  <c r="AW199" i="161"/>
  <c r="AX199" i="161" s="1"/>
  <c r="AY199" i="161" s="1"/>
  <c r="AQ199" i="161" s="1"/>
  <c r="AW135" i="161"/>
  <c r="AX135" i="161" s="1"/>
  <c r="AY135" i="161" s="1"/>
  <c r="AQ135" i="161" s="1"/>
  <c r="AW89" i="161"/>
  <c r="AW20" i="161"/>
  <c r="AX20" i="161" s="1"/>
  <c r="AY20" i="161" s="1"/>
  <c r="AQ20" i="161" s="1"/>
  <c r="AW315" i="161"/>
  <c r="AX315" i="161" s="1"/>
  <c r="AY315" i="161" s="1"/>
  <c r="AQ315" i="161" s="1"/>
  <c r="AW369" i="161"/>
  <c r="AX369" i="161" s="1"/>
  <c r="AY369" i="161" s="1"/>
  <c r="AQ369" i="161" s="1"/>
  <c r="AW268" i="161"/>
  <c r="AX268" i="161" s="1"/>
  <c r="AY268" i="161" s="1"/>
  <c r="AQ268" i="161" s="1"/>
  <c r="AW242" i="161"/>
  <c r="AX242" i="161" s="1"/>
  <c r="AY242" i="161" s="1"/>
  <c r="AQ242" i="161" s="1"/>
  <c r="AW38" i="161"/>
  <c r="AX38" i="161" s="1"/>
  <c r="AY38" i="161" s="1"/>
  <c r="AQ38" i="161" s="1"/>
  <c r="AW353" i="161"/>
  <c r="AX353" i="161" s="1"/>
  <c r="AY353" i="161" s="1"/>
  <c r="AQ353" i="161" s="1"/>
  <c r="AW283" i="161"/>
  <c r="AX283" i="161" s="1"/>
  <c r="AY283" i="161" s="1"/>
  <c r="AQ283" i="161" s="1"/>
  <c r="AW297" i="161"/>
  <c r="AX297" i="161" s="1"/>
  <c r="AY297" i="161" s="1"/>
  <c r="AQ297" i="161" s="1"/>
  <c r="AW114" i="161"/>
  <c r="AX114" i="161" s="1"/>
  <c r="AY114" i="161" s="1"/>
  <c r="AQ114" i="161" s="1"/>
  <c r="AW322" i="161"/>
  <c r="AX322" i="161" s="1"/>
  <c r="AY322" i="161" s="1"/>
  <c r="AQ322" i="161" s="1"/>
  <c r="AW305" i="161"/>
  <c r="AX305" i="161" s="1"/>
  <c r="AY305" i="161" s="1"/>
  <c r="AQ305" i="161" s="1"/>
  <c r="AW96" i="161"/>
  <c r="AX96" i="161" s="1"/>
  <c r="AY96" i="161" s="1"/>
  <c r="AQ96" i="161" s="1"/>
  <c r="AW249" i="161"/>
  <c r="AX249" i="161" s="1"/>
  <c r="AY249" i="161" s="1"/>
  <c r="AQ249" i="161" s="1"/>
  <c r="AW259" i="161"/>
  <c r="AX259" i="161" s="1"/>
  <c r="AY259" i="161" s="1"/>
  <c r="AQ259" i="161" s="1"/>
  <c r="AW36" i="161"/>
  <c r="AX36" i="161" s="1"/>
  <c r="AY36" i="161" s="1"/>
  <c r="AQ36" i="161" s="1"/>
  <c r="AW23" i="161"/>
  <c r="AX23" i="161" s="1"/>
  <c r="AY23" i="161" s="1"/>
  <c r="AQ23" i="161" s="1"/>
  <c r="AW358" i="161"/>
  <c r="AX358" i="161" s="1"/>
  <c r="AY358" i="161" s="1"/>
  <c r="AQ358" i="161" s="1"/>
  <c r="AW238" i="161"/>
  <c r="AX238" i="161" s="1"/>
  <c r="AY238" i="161" s="1"/>
  <c r="AQ238" i="161" s="1"/>
  <c r="AW115" i="161"/>
  <c r="AX115" i="161" s="1"/>
  <c r="AY115" i="161" s="1"/>
  <c r="AQ115" i="161" s="1"/>
  <c r="AW78" i="161"/>
  <c r="AW286" i="161"/>
  <c r="AX286" i="161" s="1"/>
  <c r="AY286" i="161" s="1"/>
  <c r="AQ286" i="161" s="1"/>
  <c r="AW127" i="161"/>
  <c r="AX127" i="161" s="1"/>
  <c r="AY127" i="161" s="1"/>
  <c r="AQ127" i="161" s="1"/>
  <c r="AW189" i="161"/>
  <c r="AX189" i="161" s="1"/>
  <c r="AY189" i="161" s="1"/>
  <c r="AQ189" i="161" s="1"/>
  <c r="AW139" i="161"/>
  <c r="AX139" i="161" s="1"/>
  <c r="AY139" i="161" s="1"/>
  <c r="AQ139" i="161" s="1"/>
  <c r="AW179" i="161"/>
  <c r="AX179" i="161" s="1"/>
  <c r="AY179" i="161" s="1"/>
  <c r="AQ179" i="161" s="1"/>
  <c r="AW117" i="161"/>
  <c r="AX117" i="161" s="1"/>
  <c r="AY117" i="161" s="1"/>
  <c r="AQ117" i="161" s="1"/>
  <c r="R329" i="161"/>
  <c r="Q329" i="161"/>
  <c r="AE329" i="161" s="1"/>
  <c r="Y329" i="161"/>
  <c r="AA329" i="161" s="1"/>
  <c r="Z329" i="161"/>
  <c r="AB329" i="161" s="1"/>
  <c r="P303" i="161" a="1"/>
  <c r="P303" i="161" s="1"/>
  <c r="AW313" i="161"/>
  <c r="AX313" i="161" s="1"/>
  <c r="AY313" i="161" s="1"/>
  <c r="AQ313" i="161" s="1"/>
  <c r="AO313" i="161"/>
  <c r="AP313" i="161" s="1"/>
  <c r="AJ313" i="161" s="1"/>
  <c r="A313" i="161" s="1"/>
  <c r="AB313" i="161"/>
  <c r="AI206" i="161"/>
  <c r="AG206" i="161"/>
  <c r="AB94" i="161"/>
  <c r="AO94" i="161"/>
  <c r="AP94" i="161" s="1"/>
  <c r="AJ94" i="161" s="1"/>
  <c r="A94" i="161" s="1"/>
  <c r="AO59" i="161"/>
  <c r="AP59" i="161" s="1"/>
  <c r="AJ59" i="161" s="1"/>
  <c r="A59" i="161" s="1"/>
  <c r="AB59" i="161"/>
  <c r="AW110" i="161"/>
  <c r="AX110" i="161" s="1"/>
  <c r="AY110" i="161" s="1"/>
  <c r="AQ110" i="161" s="1"/>
  <c r="AG99" i="161"/>
  <c r="AI99" i="161"/>
  <c r="AB66" i="161"/>
  <c r="AO66" i="161"/>
  <c r="AP66" i="161" s="1"/>
  <c r="AJ66" i="161" s="1"/>
  <c r="A66" i="161" s="1"/>
  <c r="AO323" i="161"/>
  <c r="AP323" i="161" s="1"/>
  <c r="AJ323" i="161" s="1"/>
  <c r="A323" i="161" s="1"/>
  <c r="AB323" i="161"/>
  <c r="AW273" i="161"/>
  <c r="AX273" i="161" s="1"/>
  <c r="AY273" i="161" s="1"/>
  <c r="AQ273" i="161" s="1"/>
  <c r="AW339" i="161"/>
  <c r="AX339" i="161" s="1"/>
  <c r="AY339" i="161" s="1"/>
  <c r="AQ339" i="161" s="1"/>
  <c r="AO200" i="161"/>
  <c r="AP200" i="161" s="1"/>
  <c r="AJ200" i="161" s="1"/>
  <c r="A200" i="161" s="1"/>
  <c r="AB200" i="161"/>
  <c r="AB202" i="161"/>
  <c r="AO202" i="161"/>
  <c r="AP202" i="161" s="1"/>
  <c r="AJ202" i="161" s="1"/>
  <c r="A202" i="161" s="1"/>
  <c r="AB258" i="161"/>
  <c r="AO258" i="161"/>
  <c r="AP258" i="161" s="1"/>
  <c r="AJ258" i="161" s="1"/>
  <c r="A258" i="161" s="1"/>
  <c r="AB42" i="161"/>
  <c r="AO42" i="161"/>
  <c r="AP42" i="161" s="1"/>
  <c r="AJ42" i="161" s="1"/>
  <c r="A42" i="161" s="1"/>
  <c r="AB140" i="161"/>
  <c r="AO140" i="161"/>
  <c r="AP140" i="161" s="1"/>
  <c r="AJ140" i="161" s="1"/>
  <c r="A140" i="161" s="1"/>
  <c r="AW91" i="161"/>
  <c r="AX91" i="161" s="1"/>
  <c r="AY91" i="161" s="1"/>
  <c r="AQ91" i="161" s="1"/>
  <c r="AW300" i="161"/>
  <c r="AX300" i="161" s="1"/>
  <c r="AY300" i="161" s="1"/>
  <c r="AQ300" i="161" s="1"/>
  <c r="AB373" i="161"/>
  <c r="AO373" i="161"/>
  <c r="AP373" i="161" s="1"/>
  <c r="AJ373" i="161" s="1"/>
  <c r="A373" i="161" s="1"/>
  <c r="AB365" i="161"/>
  <c r="AO365" i="161"/>
  <c r="AP365" i="161" s="1"/>
  <c r="AJ365" i="161" s="1"/>
  <c r="A365" i="161" s="1"/>
  <c r="AO317" i="161"/>
  <c r="AP317" i="161" s="1"/>
  <c r="AJ317" i="161" s="1"/>
  <c r="A317" i="161" s="1"/>
  <c r="AB317" i="161"/>
  <c r="AO321" i="161"/>
  <c r="AP321" i="161" s="1"/>
  <c r="AJ321" i="161" s="1"/>
  <c r="A321" i="161" s="1"/>
  <c r="AB321" i="161"/>
  <c r="AB249" i="161"/>
  <c r="AO249" i="161"/>
  <c r="AP249" i="161" s="1"/>
  <c r="AJ249" i="161" s="1"/>
  <c r="A249" i="161" s="1"/>
  <c r="AW248" i="161"/>
  <c r="AX248" i="161" s="1"/>
  <c r="AY248" i="161" s="1"/>
  <c r="AQ248" i="161" s="1"/>
  <c r="AO201" i="161"/>
  <c r="AP201" i="161" s="1"/>
  <c r="AJ201" i="161" s="1"/>
  <c r="A201" i="161" s="1"/>
  <c r="AB201" i="161"/>
  <c r="AO204" i="161"/>
  <c r="AP204" i="161" s="1"/>
  <c r="AJ204" i="161" s="1"/>
  <c r="A204" i="161" s="1"/>
  <c r="AB204" i="161"/>
  <c r="AO40" i="161"/>
  <c r="AP40" i="161" s="1"/>
  <c r="AJ40" i="161" s="1"/>
  <c r="A40" i="161" s="1"/>
  <c r="AB40" i="161"/>
  <c r="AO100" i="161"/>
  <c r="AP100" i="161" s="1"/>
  <c r="AJ100" i="161" s="1"/>
  <c r="A100" i="161" s="1"/>
  <c r="AB100" i="161"/>
  <c r="AW46" i="161"/>
  <c r="AO358" i="161"/>
  <c r="AP358" i="161" s="1"/>
  <c r="AJ358" i="161" s="1"/>
  <c r="A358" i="161" s="1"/>
  <c r="AB358" i="161"/>
  <c r="AO294" i="161"/>
  <c r="AP294" i="161" s="1"/>
  <c r="AJ294" i="161" s="1"/>
  <c r="A294" i="161" s="1"/>
  <c r="AB294" i="161"/>
  <c r="AB182" i="161"/>
  <c r="AO182" i="161"/>
  <c r="AP182" i="161" s="1"/>
  <c r="AJ182" i="161" s="1"/>
  <c r="A182" i="161" s="1"/>
  <c r="AO233" i="161"/>
  <c r="AP233" i="161" s="1"/>
  <c r="AJ233" i="161" s="1"/>
  <c r="A233" i="161" s="1"/>
  <c r="AB233" i="161"/>
  <c r="AO241" i="161"/>
  <c r="AP241" i="161" s="1"/>
  <c r="AJ241" i="161" s="1"/>
  <c r="A241" i="161" s="1"/>
  <c r="AB241" i="161"/>
  <c r="AW37" i="161"/>
  <c r="AX37" i="161" s="1"/>
  <c r="AY37" i="161" s="1"/>
  <c r="AQ37" i="161" s="1"/>
  <c r="AB134" i="161"/>
  <c r="AO134" i="161"/>
  <c r="AP134" i="161" s="1"/>
  <c r="AJ134" i="161" s="1"/>
  <c r="A134" i="161" s="1"/>
  <c r="AO81" i="161"/>
  <c r="AB81" i="161"/>
  <c r="AB119" i="161"/>
  <c r="AO119" i="161"/>
  <c r="AP119" i="161" s="1"/>
  <c r="AJ119" i="161" s="1"/>
  <c r="A119" i="161" s="1"/>
  <c r="AW98" i="161"/>
  <c r="AB27" i="161"/>
  <c r="AO27" i="161"/>
  <c r="AP27" i="161" s="1"/>
  <c r="AJ27" i="161" s="1"/>
  <c r="A27" i="161" s="1"/>
  <c r="AW131" i="161"/>
  <c r="AX131" i="161" s="1"/>
  <c r="AY131" i="161" s="1"/>
  <c r="AQ131" i="161" s="1"/>
  <c r="AB360" i="161"/>
  <c r="AO360" i="161"/>
  <c r="AP360" i="161" s="1"/>
  <c r="AJ360" i="161" s="1"/>
  <c r="A360" i="161" s="1"/>
  <c r="AG362" i="161"/>
  <c r="AI362" i="161"/>
  <c r="AW267" i="161"/>
  <c r="AX267" i="161" s="1"/>
  <c r="AY267" i="161" s="1"/>
  <c r="AQ267" i="161" s="1"/>
  <c r="AI226" i="161"/>
  <c r="AG226" i="161"/>
  <c r="AB232" i="161"/>
  <c r="AO232" i="161"/>
  <c r="AP232" i="161" s="1"/>
  <c r="AJ232" i="161" s="1"/>
  <c r="A232" i="161" s="1"/>
  <c r="AI147" i="161"/>
  <c r="AG147" i="161"/>
  <c r="AW247" i="161"/>
  <c r="AX247" i="161" s="1"/>
  <c r="AY247" i="161" s="1"/>
  <c r="AQ247" i="161" s="1"/>
  <c r="AW68" i="161"/>
  <c r="AX68" i="161" s="1"/>
  <c r="AY68" i="161" s="1"/>
  <c r="AQ68" i="161" s="1"/>
  <c r="AB174" i="161"/>
  <c r="AO174" i="161"/>
  <c r="AP174" i="161" s="1"/>
  <c r="AJ174" i="161" s="1"/>
  <c r="A174" i="161" s="1"/>
  <c r="AW118" i="161"/>
  <c r="AX118" i="161" s="1"/>
  <c r="AY118" i="161" s="1"/>
  <c r="AQ118" i="161" s="1"/>
  <c r="AB97" i="161"/>
  <c r="AO97" i="161"/>
  <c r="AP97" i="161" s="1"/>
  <c r="AJ97" i="161" s="1"/>
  <c r="A97" i="161" s="1"/>
  <c r="AB26" i="161"/>
  <c r="AO26" i="161"/>
  <c r="AP26" i="161" s="1"/>
  <c r="AJ26" i="161" s="1"/>
  <c r="A26" i="161" s="1"/>
  <c r="W17" i="161"/>
  <c r="AB15" i="161"/>
  <c r="AO15" i="161"/>
  <c r="AO63" i="161"/>
  <c r="AP63" i="161" s="1"/>
  <c r="AJ63" i="161" s="1"/>
  <c r="A63" i="161" s="1"/>
  <c r="AB63" i="161"/>
  <c r="AW372" i="161"/>
  <c r="AX372" i="161" s="1"/>
  <c r="AY372" i="161" s="1"/>
  <c r="AQ372" i="161" s="1"/>
  <c r="AW272" i="161"/>
  <c r="AX272" i="161" s="1"/>
  <c r="AY272" i="161" s="1"/>
  <c r="AQ272" i="161" s="1"/>
  <c r="AO351" i="161"/>
  <c r="AP351" i="161" s="1"/>
  <c r="AJ351" i="161" s="1"/>
  <c r="A351" i="161" s="1"/>
  <c r="AB351" i="161"/>
  <c r="AO293" i="161"/>
  <c r="AP293" i="161" s="1"/>
  <c r="AJ293" i="161" s="1"/>
  <c r="A293" i="161" s="1"/>
  <c r="AB293" i="161"/>
  <c r="AO253" i="161"/>
  <c r="AP253" i="161" s="1"/>
  <c r="AJ253" i="161" s="1"/>
  <c r="A253" i="161" s="1"/>
  <c r="AB253" i="161"/>
  <c r="AW145" i="161"/>
  <c r="AX145" i="161" s="1"/>
  <c r="AY145" i="161" s="1"/>
  <c r="AQ145" i="161" s="1"/>
  <c r="AW149" i="161"/>
  <c r="AX149" i="161" s="1"/>
  <c r="AY149" i="161" s="1"/>
  <c r="AQ149" i="161" s="1"/>
  <c r="AO137" i="161"/>
  <c r="AP137" i="161" s="1"/>
  <c r="AJ137" i="161" s="1"/>
  <c r="A137" i="161" s="1"/>
  <c r="AB137" i="161"/>
  <c r="AO44" i="161"/>
  <c r="AP44" i="161" s="1"/>
  <c r="AJ44" i="161" s="1"/>
  <c r="A44" i="161" s="1"/>
  <c r="AB44" i="161"/>
  <c r="AO342" i="161"/>
  <c r="AP342" i="161" s="1"/>
  <c r="AJ342" i="161" s="1"/>
  <c r="A342" i="161" s="1"/>
  <c r="AB342" i="161"/>
  <c r="AI337" i="161"/>
  <c r="AG337" i="161"/>
  <c r="AW261" i="161"/>
  <c r="AX261" i="161" s="1"/>
  <c r="AY261" i="161" s="1"/>
  <c r="AQ261" i="161" s="1"/>
  <c r="AW301" i="161"/>
  <c r="AX301" i="161" s="1"/>
  <c r="AY301" i="161" s="1"/>
  <c r="AQ301" i="161" s="1"/>
  <c r="AO221" i="161"/>
  <c r="AP221" i="161" s="1"/>
  <c r="AJ221" i="161" s="1"/>
  <c r="A221" i="161" s="1"/>
  <c r="AB221" i="161"/>
  <c r="AI141" i="161"/>
  <c r="AG141" i="161"/>
  <c r="AW58" i="161"/>
  <c r="AW121" i="161"/>
  <c r="AX121" i="161" s="1"/>
  <c r="AY121" i="161" s="1"/>
  <c r="AQ121" i="161" s="1"/>
  <c r="AW70" i="161"/>
  <c r="AX70" i="161" s="1"/>
  <c r="AY70" i="161" s="1"/>
  <c r="AQ70" i="161" s="1"/>
  <c r="AI314" i="161"/>
  <c r="AG314" i="161"/>
  <c r="AB336" i="161"/>
  <c r="AO336" i="161"/>
  <c r="AP336" i="161" s="1"/>
  <c r="AJ336" i="161" s="1"/>
  <c r="A336" i="161" s="1"/>
  <c r="AW330" i="161"/>
  <c r="AX330" i="161" s="1"/>
  <c r="AY330" i="161" s="1"/>
  <c r="AQ330" i="161" s="1"/>
  <c r="AB367" i="161"/>
  <c r="AO367" i="161"/>
  <c r="AP367" i="161" s="1"/>
  <c r="AJ367" i="161" s="1"/>
  <c r="A367" i="161" s="1"/>
  <c r="AW327" i="161"/>
  <c r="AX327" i="161" s="1"/>
  <c r="AY327" i="161" s="1"/>
  <c r="AQ327" i="161" s="1"/>
  <c r="AB295" i="161"/>
  <c r="AO295" i="161"/>
  <c r="AP295" i="161" s="1"/>
  <c r="AJ295" i="161" s="1"/>
  <c r="A295" i="161" s="1"/>
  <c r="AB347" i="161"/>
  <c r="AO347" i="161"/>
  <c r="AP347" i="161" s="1"/>
  <c r="AJ347" i="161" s="1"/>
  <c r="A347" i="161" s="1"/>
  <c r="AI216" i="161"/>
  <c r="AG216" i="161"/>
  <c r="AW211" i="161"/>
  <c r="AX211" i="161" s="1"/>
  <c r="AY211" i="161" s="1"/>
  <c r="AQ211" i="161" s="1"/>
  <c r="AW43" i="161"/>
  <c r="AB127" i="161"/>
  <c r="AO127" i="161"/>
  <c r="AP127" i="161" s="1"/>
  <c r="AJ127" i="161" s="1"/>
  <c r="A127" i="161" s="1"/>
  <c r="AW109" i="161"/>
  <c r="AX109" i="161" s="1"/>
  <c r="AY109" i="161" s="1"/>
  <c r="AQ109" i="161" s="1"/>
  <c r="AI193" i="161"/>
  <c r="AG193" i="161"/>
  <c r="AB103" i="161"/>
  <c r="AO103" i="161"/>
  <c r="AP103" i="161" s="1"/>
  <c r="AJ103" i="161" s="1"/>
  <c r="A103" i="161" s="1"/>
  <c r="AB96" i="161"/>
  <c r="AO96" i="161"/>
  <c r="AP96" i="161" s="1"/>
  <c r="AJ96" i="161" s="1"/>
  <c r="A96" i="161" s="1"/>
  <c r="AO263" i="161"/>
  <c r="AP263" i="161" s="1"/>
  <c r="AJ263" i="161" s="1"/>
  <c r="A263" i="161" s="1"/>
  <c r="AB263" i="161"/>
  <c r="V304" i="161"/>
  <c r="D299" i="189" s="1"/>
  <c r="T303" i="161"/>
  <c r="AB257" i="161"/>
  <c r="AO257" i="161"/>
  <c r="AP257" i="161" s="1"/>
  <c r="AJ257" i="161" s="1"/>
  <c r="A257" i="161" s="1"/>
  <c r="AO176" i="161"/>
  <c r="AP176" i="161" s="1"/>
  <c r="AJ176" i="161" s="1"/>
  <c r="A176" i="161" s="1"/>
  <c r="AB176" i="161"/>
  <c r="AB135" i="161"/>
  <c r="AO135" i="161"/>
  <c r="AP135" i="161" s="1"/>
  <c r="AJ135" i="161" s="1"/>
  <c r="A135" i="161" s="1"/>
  <c r="AW123" i="161"/>
  <c r="AX123" i="161" s="1"/>
  <c r="AY123" i="161" s="1"/>
  <c r="AQ123" i="161" s="1"/>
  <c r="AW152" i="161"/>
  <c r="AX152" i="161" s="1"/>
  <c r="AY152" i="161" s="1"/>
  <c r="AQ152" i="161" s="1"/>
  <c r="AI194" i="161"/>
  <c r="AG194" i="161"/>
  <c r="AO89" i="161"/>
  <c r="AP89" i="161" s="1"/>
  <c r="AJ89" i="161" s="1"/>
  <c r="A89" i="161" s="1"/>
  <c r="AB89" i="161"/>
  <c r="AG366" i="161"/>
  <c r="AI366" i="161"/>
  <c r="AG312" i="161"/>
  <c r="AI312" i="161"/>
  <c r="AW332" i="161"/>
  <c r="AX332" i="161" s="1"/>
  <c r="AY332" i="161" s="1"/>
  <c r="AQ332" i="161" s="1"/>
  <c r="AO183" i="161"/>
  <c r="AP183" i="161" s="1"/>
  <c r="AJ183" i="161" s="1"/>
  <c r="A183" i="161" s="1"/>
  <c r="AB183" i="161"/>
  <c r="AW134" i="161"/>
  <c r="AX134" i="161" s="1"/>
  <c r="AY134" i="161" s="1"/>
  <c r="AQ134" i="161" s="1"/>
  <c r="AO142" i="161"/>
  <c r="AP142" i="161" s="1"/>
  <c r="AJ142" i="161" s="1"/>
  <c r="A142" i="161" s="1"/>
  <c r="AB142" i="161"/>
  <c r="AG65" i="161"/>
  <c r="AI65" i="161"/>
  <c r="AB16" i="161"/>
  <c r="AO16" i="161"/>
  <c r="AW18" i="161"/>
  <c r="AO306" i="161"/>
  <c r="AP306" i="161" s="1"/>
  <c r="AJ306" i="161" s="1"/>
  <c r="A306" i="161" s="1"/>
  <c r="AB306" i="161"/>
  <c r="AG188" i="161"/>
  <c r="AI188" i="161"/>
  <c r="AG239" i="161"/>
  <c r="AI239" i="161"/>
  <c r="AO255" i="161"/>
  <c r="AP255" i="161" s="1"/>
  <c r="AJ255" i="161" s="1"/>
  <c r="A255" i="161" s="1"/>
  <c r="AB255" i="161"/>
  <c r="AW185" i="161"/>
  <c r="AX185" i="161" s="1"/>
  <c r="AY185" i="161" s="1"/>
  <c r="AQ185" i="161" s="1"/>
  <c r="AB126" i="161"/>
  <c r="AO126" i="161"/>
  <c r="AP126" i="161" s="1"/>
  <c r="AJ126" i="161" s="1"/>
  <c r="A126" i="161" s="1"/>
  <c r="AW97" i="161"/>
  <c r="AX97" i="161" s="1"/>
  <c r="AY97" i="161" s="1"/>
  <c r="AQ97" i="161" s="1"/>
  <c r="AW87" i="161"/>
  <c r="AB64" i="161"/>
  <c r="AO64" i="161"/>
  <c r="AP64" i="161" s="1"/>
  <c r="AJ64" i="161" s="1"/>
  <c r="A64" i="161" s="1"/>
  <c r="AI354" i="161"/>
  <c r="AG354" i="161"/>
  <c r="AB376" i="161"/>
  <c r="AO376" i="161"/>
  <c r="AP376" i="161" s="1"/>
  <c r="AJ376" i="161" s="1"/>
  <c r="A376" i="161" s="1"/>
  <c r="AO289" i="161"/>
  <c r="AP289" i="161" s="1"/>
  <c r="AJ289" i="161" s="1"/>
  <c r="A289" i="161" s="1"/>
  <c r="AB289" i="161"/>
  <c r="AB243" i="161"/>
  <c r="AO243" i="161"/>
  <c r="AP243" i="161" s="1"/>
  <c r="AJ243" i="161" s="1"/>
  <c r="A243" i="161" s="1"/>
  <c r="AB161" i="161"/>
  <c r="AO161" i="161"/>
  <c r="AP161" i="161" s="1"/>
  <c r="AJ161" i="161" s="1"/>
  <c r="A161" i="161" s="1"/>
  <c r="AO162" i="161"/>
  <c r="AP162" i="161" s="1"/>
  <c r="AJ162" i="161" s="1"/>
  <c r="A162" i="161" s="1"/>
  <c r="AB162" i="161"/>
  <c r="AW223" i="161"/>
  <c r="AX223" i="161" s="1"/>
  <c r="AY223" i="161" s="1"/>
  <c r="AQ223" i="161" s="1"/>
  <c r="AW240" i="161"/>
  <c r="AX240" i="161" s="1"/>
  <c r="AY240" i="161" s="1"/>
  <c r="AQ240" i="161" s="1"/>
  <c r="AG229" i="161"/>
  <c r="AI229" i="161"/>
  <c r="AB195" i="161"/>
  <c r="AO195" i="161"/>
  <c r="AP195" i="161" s="1"/>
  <c r="AJ195" i="161" s="1"/>
  <c r="A195" i="161" s="1"/>
  <c r="AW62" i="161"/>
  <c r="AI125" i="161"/>
  <c r="AG125" i="161"/>
  <c r="AO54" i="161"/>
  <c r="AB54" i="161"/>
  <c r="AB29" i="161"/>
  <c r="AO29" i="161"/>
  <c r="AW51" i="161"/>
  <c r="AX51" i="161" s="1"/>
  <c r="AY51" i="161" s="1"/>
  <c r="AQ51" i="161" s="1"/>
  <c r="AW61" i="161"/>
  <c r="AW45" i="161"/>
  <c r="AW374" i="161"/>
  <c r="AX374" i="161" s="1"/>
  <c r="AY374" i="161" s="1"/>
  <c r="AQ374" i="161" s="1"/>
  <c r="AW160" i="161"/>
  <c r="AX160" i="161" s="1"/>
  <c r="AY160" i="161" s="1"/>
  <c r="AQ160" i="161" s="1"/>
  <c r="AW280" i="161"/>
  <c r="AO238" i="161"/>
  <c r="AP238" i="161" s="1"/>
  <c r="AJ238" i="161" s="1"/>
  <c r="A238" i="161" s="1"/>
  <c r="AB238" i="161"/>
  <c r="AB108" i="161"/>
  <c r="AO108" i="161"/>
  <c r="AP108" i="161" s="1"/>
  <c r="AJ108" i="161" s="1"/>
  <c r="A108" i="161" s="1"/>
  <c r="AW157" i="161"/>
  <c r="AX157" i="161" s="1"/>
  <c r="AY157" i="161" s="1"/>
  <c r="AQ157" i="161" s="1"/>
  <c r="AI371" i="161"/>
  <c r="AG371" i="161"/>
  <c r="AW340" i="161"/>
  <c r="AX340" i="161" s="1"/>
  <c r="AY340" i="161" s="1"/>
  <c r="AQ340" i="161" s="1"/>
  <c r="AW218" i="161"/>
  <c r="AX218" i="161" s="1"/>
  <c r="AY218" i="161" s="1"/>
  <c r="AQ218" i="161" s="1"/>
  <c r="AB48" i="161"/>
  <c r="AO48" i="161"/>
  <c r="AP48" i="161" s="1"/>
  <c r="AJ48" i="161" s="1"/>
  <c r="A48" i="161" s="1"/>
  <c r="AW67" i="161"/>
  <c r="AX67" i="161" s="1"/>
  <c r="AY67" i="161" s="1"/>
  <c r="AQ67" i="161" s="1"/>
  <c r="AB117" i="161"/>
  <c r="AO117" i="161"/>
  <c r="AP117" i="161" s="1"/>
  <c r="AJ117" i="161" s="1"/>
  <c r="A117" i="161" s="1"/>
  <c r="AB71" i="161"/>
  <c r="AO71" i="161"/>
  <c r="AP71" i="161" s="1"/>
  <c r="AJ71" i="161" s="1"/>
  <c r="A71" i="161" s="1"/>
  <c r="AO328" i="161"/>
  <c r="AP328" i="161" s="1"/>
  <c r="AJ328" i="161" s="1"/>
  <c r="A328" i="161" s="1"/>
  <c r="AB328" i="161"/>
  <c r="AW370" i="161"/>
  <c r="AX370" i="161" s="1"/>
  <c r="AY370" i="161" s="1"/>
  <c r="AQ370" i="161" s="1"/>
  <c r="AI214" i="161"/>
  <c r="AG214" i="161"/>
  <c r="AW217" i="161"/>
  <c r="AX217" i="161" s="1"/>
  <c r="AY217" i="161" s="1"/>
  <c r="AQ217" i="161" s="1"/>
  <c r="AW148" i="161"/>
  <c r="AX148" i="161" s="1"/>
  <c r="AY148" i="161" s="1"/>
  <c r="AQ148" i="161" s="1"/>
  <c r="AW59" i="161"/>
  <c r="AW35" i="161"/>
  <c r="AX35" i="161" s="1"/>
  <c r="AY35" i="161" s="1"/>
  <c r="AQ35" i="161" s="1"/>
  <c r="AW375" i="161"/>
  <c r="AX375" i="161" s="1"/>
  <c r="AY375" i="161" s="1"/>
  <c r="AQ375" i="161" s="1"/>
  <c r="AB364" i="161"/>
  <c r="AO364" i="161"/>
  <c r="AP364" i="161" s="1"/>
  <c r="AJ364" i="161" s="1"/>
  <c r="A364" i="161" s="1"/>
  <c r="AB339" i="161"/>
  <c r="AO339" i="161"/>
  <c r="AP339" i="161" s="1"/>
  <c r="AJ339" i="161" s="1"/>
  <c r="A339" i="161" s="1"/>
  <c r="AB189" i="161"/>
  <c r="AO189" i="161"/>
  <c r="AP189" i="161" s="1"/>
  <c r="AJ189" i="161" s="1"/>
  <c r="A189" i="161" s="1"/>
  <c r="AB377" i="161"/>
  <c r="AO377" i="161"/>
  <c r="AP377" i="161" s="1"/>
  <c r="AJ377" i="161" s="1"/>
  <c r="A377" i="161" s="1"/>
  <c r="AB208" i="161"/>
  <c r="AO208" i="161"/>
  <c r="AP208" i="161" s="1"/>
  <c r="AJ208" i="161" s="1"/>
  <c r="A208" i="161" s="1"/>
  <c r="AO178" i="161"/>
  <c r="AP178" i="161" s="1"/>
  <c r="AJ178" i="161" s="1"/>
  <c r="A178" i="161" s="1"/>
  <c r="AB178" i="161"/>
  <c r="AW106" i="161"/>
  <c r="AX106" i="161" s="1"/>
  <c r="AY106" i="161" s="1"/>
  <c r="AQ106" i="161" s="1"/>
  <c r="AW275" i="161"/>
  <c r="AX275" i="161" s="1"/>
  <c r="AY275" i="161" s="1"/>
  <c r="AQ275" i="161" s="1"/>
  <c r="AW365" i="161"/>
  <c r="AX365" i="161" s="1"/>
  <c r="AY365" i="161" s="1"/>
  <c r="AQ365" i="161" s="1"/>
  <c r="AB363" i="161"/>
  <c r="AO363" i="161"/>
  <c r="AP363" i="161" s="1"/>
  <c r="AJ363" i="161" s="1"/>
  <c r="A363" i="161" s="1"/>
  <c r="AW190" i="161"/>
  <c r="AX190" i="161" s="1"/>
  <c r="AY190" i="161" s="1"/>
  <c r="AQ190" i="161" s="1"/>
  <c r="AW83" i="161"/>
  <c r="AW167" i="161"/>
  <c r="AX167" i="161" s="1"/>
  <c r="AY167" i="161" s="1"/>
  <c r="AQ167" i="161" s="1"/>
  <c r="AW92" i="161"/>
  <c r="AX92" i="161" s="1"/>
  <c r="AY92" i="161" s="1"/>
  <c r="AQ92" i="161" s="1"/>
  <c r="AB36" i="161"/>
  <c r="AO36" i="161"/>
  <c r="AW100" i="161"/>
  <c r="AX100" i="161" s="1"/>
  <c r="AY100" i="161" s="1"/>
  <c r="AQ100" i="161" s="1"/>
  <c r="AO86" i="161"/>
  <c r="AP86" i="161" s="1"/>
  <c r="AJ86" i="161" s="1"/>
  <c r="A86" i="161" s="1"/>
  <c r="AB86" i="161"/>
  <c r="AB20" i="161"/>
  <c r="AO20" i="161"/>
  <c r="AO23" i="161"/>
  <c r="AP23" i="161" s="1"/>
  <c r="AJ23" i="161" s="1"/>
  <c r="A23" i="161" s="1"/>
  <c r="AB23" i="161"/>
  <c r="T79" i="161"/>
  <c r="U80" i="161"/>
  <c r="V80" i="161" s="1"/>
  <c r="D75" i="189" s="1"/>
  <c r="AW183" i="161"/>
  <c r="AX183" i="161" s="1"/>
  <c r="AY183" i="161" s="1"/>
  <c r="AQ183" i="161" s="1"/>
  <c r="AW81" i="161"/>
  <c r="AW32" i="161"/>
  <c r="AX32" i="161" s="1"/>
  <c r="AY32" i="161" s="1"/>
  <c r="AQ32" i="161" s="1"/>
  <c r="AW21" i="161"/>
  <c r="AO21" i="161"/>
  <c r="AB21" i="161"/>
  <c r="AO357" i="161"/>
  <c r="AP357" i="161" s="1"/>
  <c r="AJ357" i="161" s="1"/>
  <c r="A357" i="161" s="1"/>
  <c r="AB357" i="161"/>
  <c r="AI345" i="161"/>
  <c r="AG345" i="161"/>
  <c r="AO310" i="161"/>
  <c r="AP310" i="161" s="1"/>
  <c r="AJ310" i="161" s="1"/>
  <c r="A310" i="161" s="1"/>
  <c r="AB310" i="161"/>
  <c r="AB175" i="161"/>
  <c r="AO175" i="161"/>
  <c r="AP175" i="161" s="1"/>
  <c r="AJ175" i="161" s="1"/>
  <c r="A175" i="161" s="1"/>
  <c r="AW168" i="161"/>
  <c r="AX168" i="161" s="1"/>
  <c r="AY168" i="161" s="1"/>
  <c r="AQ168" i="161" s="1"/>
  <c r="AW309" i="161"/>
  <c r="AX309" i="161" s="1"/>
  <c r="AY309" i="161" s="1"/>
  <c r="AQ309" i="161" s="1"/>
  <c r="U255" i="161"/>
  <c r="V255" i="161" s="1"/>
  <c r="D250" i="189" s="1"/>
  <c r="T254" i="161"/>
  <c r="AO69" i="161"/>
  <c r="AP69" i="161" s="1"/>
  <c r="AJ69" i="161" s="1"/>
  <c r="A69" i="161" s="1"/>
  <c r="AB69" i="161"/>
  <c r="AI128" i="161"/>
  <c r="AG128" i="161"/>
  <c r="AB24" i="161"/>
  <c r="AO24" i="161"/>
  <c r="AP24" i="161" s="1"/>
  <c r="AJ24" i="161" s="1"/>
  <c r="A24" i="161" s="1"/>
  <c r="AO28" i="161"/>
  <c r="AP28" i="161" s="1"/>
  <c r="AJ28" i="161" s="1"/>
  <c r="A28" i="161" s="1"/>
  <c r="AB28" i="161"/>
  <c r="AW17" i="161"/>
  <c r="AW30" i="161"/>
  <c r="AX30" i="161" s="1"/>
  <c r="AY30" i="161" s="1"/>
  <c r="AQ30" i="161" s="1"/>
  <c r="AO30" i="161"/>
  <c r="AP30" i="161" s="1"/>
  <c r="AJ30" i="161" s="1"/>
  <c r="A30" i="161" s="1"/>
  <c r="AB30" i="161"/>
  <c r="AB372" i="161"/>
  <c r="AO372" i="161"/>
  <c r="AP372" i="161" s="1"/>
  <c r="AJ372" i="161" s="1"/>
  <c r="A372" i="161" s="1"/>
  <c r="AW262" i="161"/>
  <c r="AX262" i="161" s="1"/>
  <c r="AY262" i="161" s="1"/>
  <c r="AQ262" i="161" s="1"/>
  <c r="AW376" i="161"/>
  <c r="AX376" i="161" s="1"/>
  <c r="AY376" i="161" s="1"/>
  <c r="AQ376" i="161" s="1"/>
  <c r="AB272" i="161"/>
  <c r="AO272" i="161"/>
  <c r="AP272" i="161" s="1"/>
  <c r="AJ272" i="161" s="1"/>
  <c r="A272" i="161" s="1"/>
  <c r="AW177" i="161"/>
  <c r="AX177" i="161" s="1"/>
  <c r="AY177" i="161" s="1"/>
  <c r="AQ177" i="161" s="1"/>
  <c r="AB132" i="161"/>
  <c r="AO132" i="161"/>
  <c r="AP132" i="161" s="1"/>
  <c r="AJ132" i="161" s="1"/>
  <c r="A132" i="161" s="1"/>
  <c r="T104" i="161"/>
  <c r="U105" i="161"/>
  <c r="V105" i="161" s="1"/>
  <c r="D100" i="189" s="1"/>
  <c r="AG90" i="161"/>
  <c r="AI90" i="161"/>
  <c r="AG341" i="161"/>
  <c r="AI341" i="161"/>
  <c r="AO270" i="161"/>
  <c r="AP270" i="161" s="1"/>
  <c r="AJ270" i="161" s="1"/>
  <c r="A270" i="161" s="1"/>
  <c r="AB270" i="161"/>
  <c r="AO207" i="161"/>
  <c r="AP207" i="161" s="1"/>
  <c r="AJ207" i="161" s="1"/>
  <c r="A207" i="161" s="1"/>
  <c r="AB207" i="161"/>
  <c r="AB378" i="161"/>
  <c r="AO378" i="161"/>
  <c r="AP378" i="161" s="1"/>
  <c r="AJ378" i="161" s="1"/>
  <c r="A378" i="161" s="1"/>
  <c r="AW227" i="161"/>
  <c r="AX227" i="161" s="1"/>
  <c r="AY227" i="161" s="1"/>
  <c r="AQ227" i="161" s="1"/>
  <c r="AW292" i="161"/>
  <c r="AX292" i="161" s="1"/>
  <c r="AY292" i="161" s="1"/>
  <c r="AQ292" i="161" s="1"/>
  <c r="AO292" i="161"/>
  <c r="AP292" i="161" s="1"/>
  <c r="AJ292" i="161" s="1"/>
  <c r="A292" i="161" s="1"/>
  <c r="AB292" i="161"/>
  <c r="AO49" i="161"/>
  <c r="AB49" i="161"/>
  <c r="AB121" i="161"/>
  <c r="AO121" i="161"/>
  <c r="AP121" i="161" s="1"/>
  <c r="AJ121" i="161" s="1"/>
  <c r="A121" i="161" s="1"/>
  <c r="AW338" i="161"/>
  <c r="AX338" i="161" s="1"/>
  <c r="AY338" i="161" s="1"/>
  <c r="AQ338" i="161" s="1"/>
  <c r="AO319" i="161"/>
  <c r="AP319" i="161" s="1"/>
  <c r="AJ319" i="161" s="1"/>
  <c r="A319" i="161" s="1"/>
  <c r="AB319" i="161"/>
  <c r="AO236" i="161"/>
  <c r="AP236" i="161" s="1"/>
  <c r="AJ236" i="161" s="1"/>
  <c r="A236" i="161" s="1"/>
  <c r="AB236" i="161"/>
  <c r="AB296" i="161"/>
  <c r="AO296" i="161"/>
  <c r="AP296" i="161" s="1"/>
  <c r="AJ296" i="161" s="1"/>
  <c r="A296" i="161" s="1"/>
  <c r="AO222" i="161"/>
  <c r="AP222" i="161" s="1"/>
  <c r="AJ222" i="161" s="1"/>
  <c r="A222" i="161" s="1"/>
  <c r="AB222" i="161"/>
  <c r="AW186" i="161"/>
  <c r="AX186" i="161" s="1"/>
  <c r="AY186" i="161" s="1"/>
  <c r="AQ186" i="161" s="1"/>
  <c r="T52" i="161"/>
  <c r="U53" i="161"/>
  <c r="V53" i="161" s="1"/>
  <c r="D48" i="189" s="1"/>
  <c r="F48" i="189" s="1"/>
  <c r="AW156" i="161"/>
  <c r="AX156" i="161" s="1"/>
  <c r="AY156" i="161" s="1"/>
  <c r="AQ156" i="161" s="1"/>
  <c r="AO78" i="161"/>
  <c r="AP78" i="161" s="1"/>
  <c r="AJ78" i="161" s="1"/>
  <c r="A78" i="161" s="1"/>
  <c r="AB78" i="161"/>
  <c r="V251" i="161"/>
  <c r="D246" i="189" s="1"/>
  <c r="T250" i="161"/>
  <c r="AB235" i="161"/>
  <c r="AO235" i="161"/>
  <c r="AP235" i="161" s="1"/>
  <c r="AJ235" i="161" s="1"/>
  <c r="A235" i="161" s="1"/>
  <c r="AO192" i="161"/>
  <c r="AP192" i="161" s="1"/>
  <c r="AJ192" i="161" s="1"/>
  <c r="A192" i="161" s="1"/>
  <c r="AB192" i="161"/>
  <c r="AW284" i="161"/>
  <c r="AX284" i="161" s="1"/>
  <c r="AY284" i="161" s="1"/>
  <c r="AQ284" i="161" s="1"/>
  <c r="AB211" i="161"/>
  <c r="AO211" i="161"/>
  <c r="AP211" i="161" s="1"/>
  <c r="AJ211" i="161" s="1"/>
  <c r="A211" i="161" s="1"/>
  <c r="AW210" i="161"/>
  <c r="AX210" i="161" s="1"/>
  <c r="AY210" i="161" s="1"/>
  <c r="AQ210" i="161" s="1"/>
  <c r="AO43" i="161"/>
  <c r="AP43" i="161" s="1"/>
  <c r="AJ43" i="161" s="1"/>
  <c r="A43" i="161" s="1"/>
  <c r="AB43" i="161"/>
  <c r="AB102" i="161"/>
  <c r="AO102" i="161"/>
  <c r="AP102" i="161" s="1"/>
  <c r="AJ102" i="161" s="1"/>
  <c r="A102" i="161" s="1"/>
  <c r="AB110" i="161"/>
  <c r="AO110" i="161"/>
  <c r="AP110" i="161" s="1"/>
  <c r="AJ110" i="161" s="1"/>
  <c r="A110" i="161" s="1"/>
  <c r="AW377" i="161"/>
  <c r="AX377" i="161" s="1"/>
  <c r="AY377" i="161" s="1"/>
  <c r="AQ377" i="161" s="1"/>
  <c r="AO269" i="161"/>
  <c r="AP269" i="161" s="1"/>
  <c r="AJ269" i="161" s="1"/>
  <c r="A269" i="161" s="1"/>
  <c r="AB269" i="161"/>
  <c r="AW197" i="161"/>
  <c r="AX197" i="161" s="1"/>
  <c r="AY197" i="161" s="1"/>
  <c r="AQ197" i="161" s="1"/>
  <c r="AB124" i="161"/>
  <c r="AO124" i="161"/>
  <c r="AP124" i="161" s="1"/>
  <c r="AJ124" i="161" s="1"/>
  <c r="A124" i="161" s="1"/>
  <c r="AG95" i="161"/>
  <c r="AI95" i="161"/>
  <c r="AO334" i="161"/>
  <c r="AP334" i="161" s="1"/>
  <c r="AJ334" i="161" s="1"/>
  <c r="A334" i="161" s="1"/>
  <c r="AB334" i="161"/>
  <c r="AO320" i="161"/>
  <c r="AP320" i="161" s="1"/>
  <c r="AJ320" i="161" s="1"/>
  <c r="A320" i="161" s="1"/>
  <c r="AB320" i="161"/>
  <c r="AB288" i="161"/>
  <c r="AO288" i="161"/>
  <c r="AP288" i="161" s="1"/>
  <c r="AJ288" i="161" s="1"/>
  <c r="A288" i="161" s="1"/>
  <c r="AO346" i="161"/>
  <c r="AP346" i="161" s="1"/>
  <c r="AJ346" i="161" s="1"/>
  <c r="A346" i="161" s="1"/>
  <c r="AB346" i="161"/>
  <c r="AB248" i="161"/>
  <c r="AO248" i="161"/>
  <c r="AP248" i="161" s="1"/>
  <c r="AJ248" i="161" s="1"/>
  <c r="A248" i="161" s="1"/>
  <c r="AI304" i="161"/>
  <c r="AG304" i="161"/>
  <c r="AB259" i="161"/>
  <c r="AO259" i="161"/>
  <c r="AP259" i="161" s="1"/>
  <c r="AJ259" i="161" s="1"/>
  <c r="A259" i="161" s="1"/>
  <c r="AW40" i="161"/>
  <c r="AB82" i="161"/>
  <c r="AG82" i="161" s="1"/>
  <c r="AO82" i="161"/>
  <c r="AO80" i="161"/>
  <c r="AB80" i="161"/>
  <c r="AI356" i="161"/>
  <c r="AG356" i="161"/>
  <c r="AO369" i="161"/>
  <c r="AP369" i="161" s="1"/>
  <c r="AJ369" i="161" s="1"/>
  <c r="A369" i="161" s="1"/>
  <c r="AB369" i="161"/>
  <c r="AO282" i="161"/>
  <c r="AP282" i="161" s="1"/>
  <c r="AJ282" i="161" s="1"/>
  <c r="A282" i="161" s="1"/>
  <c r="AB282" i="161"/>
  <c r="AO198" i="161"/>
  <c r="AP198" i="161" s="1"/>
  <c r="AJ198" i="161" s="1"/>
  <c r="A198" i="161" s="1"/>
  <c r="AB198" i="161"/>
  <c r="AB37" i="161"/>
  <c r="AO37" i="161"/>
  <c r="AB38" i="161"/>
  <c r="AO38" i="161"/>
  <c r="AO18" i="161"/>
  <c r="AB18" i="161"/>
  <c r="AB244" i="161"/>
  <c r="AO244" i="161"/>
  <c r="AP244" i="161" s="1"/>
  <c r="AJ244" i="161" s="1"/>
  <c r="A244" i="161" s="1"/>
  <c r="V226" i="161"/>
  <c r="D221" i="189" s="1"/>
  <c r="T225" i="161"/>
  <c r="AW368" i="161"/>
  <c r="AX368" i="161" s="1"/>
  <c r="AY368" i="161" s="1"/>
  <c r="AQ368" i="161" s="1"/>
  <c r="AO77" i="161"/>
  <c r="AP77" i="161" s="1"/>
  <c r="AJ77" i="161" s="1"/>
  <c r="A77" i="161" s="1"/>
  <c r="AB77" i="161"/>
  <c r="AB118" i="161"/>
  <c r="AO118" i="161"/>
  <c r="AP118" i="161" s="1"/>
  <c r="AJ118" i="161" s="1"/>
  <c r="A118" i="161" s="1"/>
  <c r="AB133" i="161"/>
  <c r="AO133" i="161"/>
  <c r="AP133" i="161" s="1"/>
  <c r="AJ133" i="161" s="1"/>
  <c r="A133" i="161" s="1"/>
  <c r="AW24" i="161"/>
  <c r="AX24" i="161" s="1"/>
  <c r="AY24" i="161" s="1"/>
  <c r="AQ24" i="161" s="1"/>
  <c r="AG343" i="161"/>
  <c r="AI343" i="161"/>
  <c r="AO223" i="161"/>
  <c r="AP223" i="161" s="1"/>
  <c r="AJ223" i="161" s="1"/>
  <c r="A223" i="161" s="1"/>
  <c r="AB223" i="161"/>
  <c r="AB60" i="161"/>
  <c r="AO60" i="161"/>
  <c r="AP60" i="161" s="1"/>
  <c r="AJ60" i="161" s="1"/>
  <c r="A60" i="161" s="1"/>
  <c r="AW116" i="161"/>
  <c r="AX116" i="161" s="1"/>
  <c r="AY116" i="161" s="1"/>
  <c r="AQ116" i="161" s="1"/>
  <c r="AW137" i="161"/>
  <c r="AX137" i="161" s="1"/>
  <c r="AY137" i="161" s="1"/>
  <c r="AQ137" i="161" s="1"/>
  <c r="AW54" i="161"/>
  <c r="AX54" i="161" s="1"/>
  <c r="AY54" i="161" s="1"/>
  <c r="AQ54" i="161" s="1"/>
  <c r="AB51" i="161"/>
  <c r="AO51" i="161"/>
  <c r="AP51" i="161" s="1"/>
  <c r="AJ51" i="161" s="1"/>
  <c r="A51" i="161" s="1"/>
  <c r="AO261" i="161"/>
  <c r="AP261" i="161" s="1"/>
  <c r="AJ261" i="161" s="1"/>
  <c r="A261" i="161" s="1"/>
  <c r="AB261" i="161"/>
  <c r="AB213" i="161"/>
  <c r="AO213" i="161"/>
  <c r="AP213" i="161" s="1"/>
  <c r="AJ213" i="161" s="1"/>
  <c r="A213" i="161" s="1"/>
  <c r="AB120" i="161"/>
  <c r="AO120" i="161"/>
  <c r="AP120" i="161" s="1"/>
  <c r="AJ120" i="161" s="1"/>
  <c r="A120" i="161" s="1"/>
  <c r="AB171" i="161"/>
  <c r="AO171" i="161"/>
  <c r="AP171" i="161" s="1"/>
  <c r="AJ171" i="161" s="1"/>
  <c r="A171" i="161" s="1"/>
  <c r="AB252" i="161"/>
  <c r="AO252" i="161"/>
  <c r="AP252" i="161" s="1"/>
  <c r="AJ252" i="161" s="1"/>
  <c r="A252" i="161" s="1"/>
  <c r="AB179" i="161"/>
  <c r="AO179" i="161"/>
  <c r="AP179" i="161" s="1"/>
  <c r="AJ179" i="161" s="1"/>
  <c r="A179" i="161" s="1"/>
  <c r="AI129" i="161"/>
  <c r="AG129" i="161"/>
  <c r="AB19" i="161"/>
  <c r="AO19" i="161"/>
  <c r="AO370" i="161"/>
  <c r="AP370" i="161" s="1"/>
  <c r="AJ370" i="161" s="1"/>
  <c r="A370" i="161" s="1"/>
  <c r="AB370" i="161"/>
  <c r="AB327" i="161"/>
  <c r="AO327" i="161"/>
  <c r="AP327" i="161" s="1"/>
  <c r="AJ327" i="161" s="1"/>
  <c r="A327" i="161" s="1"/>
  <c r="T298" i="161"/>
  <c r="U299" i="161"/>
  <c r="V299" i="161" s="1"/>
  <c r="D294" i="189" s="1"/>
  <c r="AO41" i="161"/>
  <c r="AP41" i="161" s="1"/>
  <c r="AJ41" i="161" s="1"/>
  <c r="A41" i="161" s="1"/>
  <c r="AB41" i="161"/>
  <c r="AB130" i="161"/>
  <c r="AO130" i="161"/>
  <c r="AP130" i="161" s="1"/>
  <c r="AJ130" i="161" s="1"/>
  <c r="A130" i="161" s="1"/>
  <c r="AO148" i="161"/>
  <c r="AP148" i="161" s="1"/>
  <c r="AJ148" i="161" s="1"/>
  <c r="A148" i="161" s="1"/>
  <c r="AB148" i="161"/>
  <c r="AI166" i="161"/>
  <c r="AG166" i="161"/>
  <c r="AO74" i="161"/>
  <c r="AB74" i="161"/>
  <c r="AB325" i="161"/>
  <c r="AO325" i="161"/>
  <c r="AP325" i="161" s="1"/>
  <c r="AJ325" i="161" s="1"/>
  <c r="A325" i="161" s="1"/>
  <c r="AO278" i="161"/>
  <c r="AP278" i="161" s="1"/>
  <c r="AJ278" i="161" s="1"/>
  <c r="A278" i="161" s="1"/>
  <c r="AB278" i="161"/>
  <c r="V265" i="161"/>
  <c r="D260" i="189" s="1"/>
  <c r="T264" i="161"/>
  <c r="AO276" i="161"/>
  <c r="AP276" i="161" s="1"/>
  <c r="AJ276" i="161" s="1"/>
  <c r="A276" i="161" s="1"/>
  <c r="AB276" i="161"/>
  <c r="AW205" i="161"/>
  <c r="AX205" i="161" s="1"/>
  <c r="AY205" i="161" s="1"/>
  <c r="AQ205" i="161" s="1"/>
  <c r="AW140" i="161"/>
  <c r="AX140" i="161" s="1"/>
  <c r="AY140" i="161" s="1"/>
  <c r="AQ140" i="161" s="1"/>
  <c r="AO300" i="161"/>
  <c r="AP300" i="161" s="1"/>
  <c r="AJ300" i="161" s="1"/>
  <c r="A300" i="161" s="1"/>
  <c r="AB300" i="161"/>
  <c r="AW317" i="161"/>
  <c r="AX317" i="161" s="1"/>
  <c r="AY317" i="161" s="1"/>
  <c r="AQ317" i="161" s="1"/>
  <c r="AO307" i="161"/>
  <c r="AP307" i="161" s="1"/>
  <c r="AJ307" i="161" s="1"/>
  <c r="A307" i="161" s="1"/>
  <c r="AB307" i="161"/>
  <c r="AI170" i="161"/>
  <c r="AG170" i="161"/>
  <c r="AW346" i="161"/>
  <c r="AX346" i="161" s="1"/>
  <c r="AY346" i="161" s="1"/>
  <c r="AQ346" i="161" s="1"/>
  <c r="AW257" i="161"/>
  <c r="AB123" i="161"/>
  <c r="AO123" i="161"/>
  <c r="AP123" i="161" s="1"/>
  <c r="AJ123" i="161" s="1"/>
  <c r="A123" i="161" s="1"/>
  <c r="AB46" i="161"/>
  <c r="AO46" i="161"/>
  <c r="AP46" i="161" s="1"/>
  <c r="AJ46" i="161" s="1"/>
  <c r="A46" i="161" s="1"/>
  <c r="AO315" i="161"/>
  <c r="AP315" i="161" s="1"/>
  <c r="AJ315" i="161" s="1"/>
  <c r="A315" i="161" s="1"/>
  <c r="AB315" i="161"/>
  <c r="AO268" i="161"/>
  <c r="AP268" i="161" s="1"/>
  <c r="AJ268" i="161" s="1"/>
  <c r="A268" i="161" s="1"/>
  <c r="AB268" i="161"/>
  <c r="AW245" i="161"/>
  <c r="AX245" i="161" s="1"/>
  <c r="AY245" i="161" s="1"/>
  <c r="AQ245" i="161" s="1"/>
  <c r="AW294" i="161"/>
  <c r="AX294" i="161" s="1"/>
  <c r="AY294" i="161" s="1"/>
  <c r="AQ294" i="161" s="1"/>
  <c r="AW182" i="161"/>
  <c r="AX182" i="161" s="1"/>
  <c r="AY182" i="161" s="1"/>
  <c r="AQ182" i="161" s="1"/>
  <c r="AB169" i="161"/>
  <c r="AO169" i="161"/>
  <c r="AP169" i="161" s="1"/>
  <c r="AJ169" i="161" s="1"/>
  <c r="A169" i="161" s="1"/>
  <c r="AB332" i="161"/>
  <c r="AO332" i="161"/>
  <c r="AP332" i="161" s="1"/>
  <c r="AJ332" i="161" s="1"/>
  <c r="A332" i="161" s="1"/>
  <c r="AW241" i="161"/>
  <c r="AX241" i="161" s="1"/>
  <c r="AY241" i="161" s="1"/>
  <c r="AQ241" i="161" s="1"/>
  <c r="AW159" i="161"/>
  <c r="AX159" i="161" s="1"/>
  <c r="AY159" i="161" s="1"/>
  <c r="AQ159" i="161" s="1"/>
  <c r="AB291" i="161"/>
  <c r="AO291" i="161"/>
  <c r="AP291" i="161" s="1"/>
  <c r="AJ291" i="161" s="1"/>
  <c r="A291" i="161" s="1"/>
  <c r="AB246" i="161"/>
  <c r="AO246" i="161"/>
  <c r="AP246" i="161" s="1"/>
  <c r="AJ246" i="161" s="1"/>
  <c r="A246" i="161" s="1"/>
  <c r="AB153" i="161"/>
  <c r="AO153" i="161"/>
  <c r="AP153" i="161" s="1"/>
  <c r="AJ153" i="161" s="1"/>
  <c r="A153" i="161" s="1"/>
  <c r="AW256" i="161"/>
  <c r="AI164" i="161"/>
  <c r="AG164" i="161"/>
  <c r="AW142" i="161"/>
  <c r="AX142" i="161" s="1"/>
  <c r="AY142" i="161" s="1"/>
  <c r="AQ142" i="161" s="1"/>
  <c r="AB98" i="161"/>
  <c r="AO98" i="161"/>
  <c r="AP98" i="161" s="1"/>
  <c r="AJ98" i="161" s="1"/>
  <c r="A98" i="161" s="1"/>
  <c r="AW16" i="161"/>
  <c r="AX16" i="161" s="1"/>
  <c r="AY16" i="161" s="1"/>
  <c r="AQ16" i="161" s="1"/>
  <c r="AW27" i="161"/>
  <c r="AX27" i="161" s="1"/>
  <c r="AY27" i="161" s="1"/>
  <c r="AQ27" i="161" s="1"/>
  <c r="AB22" i="161"/>
  <c r="AO22" i="161"/>
  <c r="Q361" i="161"/>
  <c r="AE361" i="161" s="1"/>
  <c r="Y361" i="161"/>
  <c r="AA361" i="161" s="1"/>
  <c r="R361" i="161"/>
  <c r="Z361" i="161"/>
  <c r="AB361" i="161" s="1"/>
  <c r="V362" i="161"/>
  <c r="D357" i="189" s="1"/>
  <c r="T361" i="161"/>
  <c r="AO281" i="161"/>
  <c r="AP281" i="161" s="1"/>
  <c r="AJ281" i="161" s="1"/>
  <c r="A281" i="161" s="1"/>
  <c r="AB281" i="161"/>
  <c r="AW310" i="161"/>
  <c r="AX310" i="161" s="1"/>
  <c r="AY310" i="161" s="1"/>
  <c r="AQ310" i="161" s="1"/>
  <c r="AO277" i="161"/>
  <c r="AP277" i="161" s="1"/>
  <c r="AJ277" i="161" s="1"/>
  <c r="A277" i="161" s="1"/>
  <c r="AB277" i="161"/>
  <c r="AB168" i="161"/>
  <c r="AO168" i="161"/>
  <c r="AP168" i="161" s="1"/>
  <c r="AJ168" i="161" s="1"/>
  <c r="A168" i="161" s="1"/>
  <c r="AB165" i="161"/>
  <c r="AO165" i="161"/>
  <c r="AP165" i="161" s="1"/>
  <c r="AJ165" i="161" s="1"/>
  <c r="A165" i="161" s="1"/>
  <c r="AB68" i="161"/>
  <c r="AO68" i="161"/>
  <c r="AP68" i="161" s="1"/>
  <c r="AJ68" i="161" s="1"/>
  <c r="A68" i="161" s="1"/>
  <c r="AW26" i="161"/>
  <c r="AX26" i="161" s="1"/>
  <c r="AY26" i="161" s="1"/>
  <c r="AQ26" i="161" s="1"/>
  <c r="T25" i="161"/>
  <c r="U26" i="161"/>
  <c r="V26" i="161" s="1"/>
  <c r="D21" i="189" s="1"/>
  <c r="F21" i="189" s="1"/>
  <c r="AB17" i="161"/>
  <c r="AO17" i="161"/>
  <c r="AP17" i="161" s="1"/>
  <c r="AJ17" i="161" s="1"/>
  <c r="A17" i="161" s="1"/>
  <c r="AG220" i="161"/>
  <c r="AI220" i="161"/>
  <c r="AW290" i="161"/>
  <c r="AX290" i="161" s="1"/>
  <c r="AY290" i="161" s="1"/>
  <c r="AQ290" i="161" s="1"/>
  <c r="AW230" i="161"/>
  <c r="AX230" i="161" s="1"/>
  <c r="AY230" i="161" s="1"/>
  <c r="AQ230" i="161" s="1"/>
  <c r="AO230" i="161"/>
  <c r="AP230" i="161" s="1"/>
  <c r="AJ230" i="161" s="1"/>
  <c r="A230" i="161" s="1"/>
  <c r="AB230" i="161"/>
  <c r="AO240" i="161"/>
  <c r="AP240" i="161" s="1"/>
  <c r="AJ240" i="161" s="1"/>
  <c r="A240" i="161" s="1"/>
  <c r="AB240" i="161"/>
  <c r="AW293" i="161"/>
  <c r="AX293" i="161" s="1"/>
  <c r="AY293" i="161" s="1"/>
  <c r="AQ293" i="161" s="1"/>
  <c r="AO105" i="161"/>
  <c r="AP105" i="161" s="1"/>
  <c r="AJ105" i="161" s="1"/>
  <c r="A105" i="161" s="1"/>
  <c r="AB105" i="161"/>
  <c r="AI122" i="161"/>
  <c r="AG122" i="161"/>
  <c r="AO61" i="161"/>
  <c r="AP61" i="161" s="1"/>
  <c r="AJ61" i="161" s="1"/>
  <c r="A61" i="161" s="1"/>
  <c r="AB61" i="161"/>
  <c r="AI316" i="161"/>
  <c r="AG316" i="161"/>
  <c r="AW342" i="161"/>
  <c r="AX342" i="161" s="1"/>
  <c r="AY342" i="161" s="1"/>
  <c r="AQ342" i="161" s="1"/>
  <c r="AW285" i="161"/>
  <c r="AX285" i="161" s="1"/>
  <c r="AY285" i="161" s="1"/>
  <c r="AQ285" i="161" s="1"/>
  <c r="AO237" i="161"/>
  <c r="AP237" i="161" s="1"/>
  <c r="AJ237" i="161" s="1"/>
  <c r="A237" i="161" s="1"/>
  <c r="AB237" i="161"/>
  <c r="AW224" i="161"/>
  <c r="AX224" i="161" s="1"/>
  <c r="AY224" i="161" s="1"/>
  <c r="AQ224" i="161" s="1"/>
  <c r="AB227" i="161"/>
  <c r="AO227" i="161"/>
  <c r="AP227" i="161" s="1"/>
  <c r="AJ227" i="161" s="1"/>
  <c r="A227" i="161" s="1"/>
  <c r="AW108" i="161"/>
  <c r="AX108" i="161" s="1"/>
  <c r="AY108" i="161" s="1"/>
  <c r="AQ108" i="161" s="1"/>
  <c r="AB58" i="161"/>
  <c r="AO58" i="161"/>
  <c r="AP58" i="161" s="1"/>
  <c r="AJ58" i="161" s="1"/>
  <c r="A58" i="161" s="1"/>
  <c r="AB157" i="161"/>
  <c r="AO157" i="161"/>
  <c r="AP157" i="161" s="1"/>
  <c r="AJ157" i="161" s="1"/>
  <c r="A157" i="161" s="1"/>
  <c r="AW213" i="161"/>
  <c r="AX213" i="161" s="1"/>
  <c r="AY213" i="161" s="1"/>
  <c r="AQ213" i="161" s="1"/>
  <c r="AW319" i="161"/>
  <c r="AX319" i="161" s="1"/>
  <c r="AY319" i="161" s="1"/>
  <c r="AQ319" i="161" s="1"/>
  <c r="AW336" i="161"/>
  <c r="AX336" i="161" s="1"/>
  <c r="AY336" i="161" s="1"/>
  <c r="AQ336" i="161" s="1"/>
  <c r="T329" i="161"/>
  <c r="U330" i="161"/>
  <c r="V330" i="161" s="1"/>
  <c r="D325" i="189" s="1"/>
  <c r="AW236" i="161"/>
  <c r="AX236" i="161" s="1"/>
  <c r="AY236" i="161" s="1"/>
  <c r="AQ236" i="161" s="1"/>
  <c r="AW252" i="161"/>
  <c r="AX252" i="161" s="1"/>
  <c r="AY252" i="161" s="1"/>
  <c r="AQ252" i="161" s="1"/>
  <c r="AG324" i="161"/>
  <c r="AI324" i="161"/>
  <c r="AW287" i="161"/>
  <c r="AX287" i="161" s="1"/>
  <c r="AY287" i="161" s="1"/>
  <c r="AQ287" i="161" s="1"/>
  <c r="AO228" i="161"/>
  <c r="AP228" i="161" s="1"/>
  <c r="AJ228" i="161" s="1"/>
  <c r="A228" i="161" s="1"/>
  <c r="AB228" i="161"/>
  <c r="AW107" i="161"/>
  <c r="AO53" i="161"/>
  <c r="AB53" i="161"/>
  <c r="AG112" i="161"/>
  <c r="AI112" i="161"/>
  <c r="AW50" i="161"/>
  <c r="AX50" i="161" s="1"/>
  <c r="AY50" i="161" s="1"/>
  <c r="AQ50" i="161" s="1"/>
  <c r="AG56" i="161"/>
  <c r="AI56" i="161"/>
  <c r="T33" i="161"/>
  <c r="U34" i="161"/>
  <c r="V34" i="161" s="1"/>
  <c r="D29" i="189" s="1"/>
  <c r="F29" i="189" s="1"/>
  <c r="AB379" i="161"/>
  <c r="AO379" i="161"/>
  <c r="AP379" i="161" s="1"/>
  <c r="AJ379" i="161" s="1"/>
  <c r="A379" i="161" s="1"/>
  <c r="AB349" i="161"/>
  <c r="AO349" i="161"/>
  <c r="AP349" i="161" s="1"/>
  <c r="AJ349" i="161" s="1"/>
  <c r="A349" i="161" s="1"/>
  <c r="AO150" i="161"/>
  <c r="AP150" i="161" s="1"/>
  <c r="AJ150" i="161" s="1"/>
  <c r="A150" i="161" s="1"/>
  <c r="AB150" i="161"/>
  <c r="AO299" i="161"/>
  <c r="AP299" i="161" s="1"/>
  <c r="AJ299" i="161" s="1"/>
  <c r="A299" i="161" s="1"/>
  <c r="AB299" i="161"/>
  <c r="AI181" i="161"/>
  <c r="AG181" i="161"/>
  <c r="AO113" i="161"/>
  <c r="AP113" i="161" s="1"/>
  <c r="AJ113" i="161" s="1"/>
  <c r="A113" i="161" s="1"/>
  <c r="AB113" i="161"/>
  <c r="AO109" i="161"/>
  <c r="AP109" i="161" s="1"/>
  <c r="AJ109" i="161" s="1"/>
  <c r="A109" i="161" s="1"/>
  <c r="AB109" i="161"/>
  <c r="AO35" i="161"/>
  <c r="AB35" i="161"/>
  <c r="AI47" i="161"/>
  <c r="AG47" i="161"/>
  <c r="AB375" i="161"/>
  <c r="AO375" i="161"/>
  <c r="AP375" i="161" s="1"/>
  <c r="AJ375" i="161" s="1"/>
  <c r="A375" i="161" s="1"/>
  <c r="AB91" i="161"/>
  <c r="AO91" i="161"/>
  <c r="AP91" i="161" s="1"/>
  <c r="AJ91" i="161" s="1"/>
  <c r="A91" i="161" s="1"/>
  <c r="AO57" i="161"/>
  <c r="AP57" i="161" s="1"/>
  <c r="AJ57" i="161" s="1"/>
  <c r="A57" i="161" s="1"/>
  <c r="AB57" i="161"/>
  <c r="AO275" i="161"/>
  <c r="AP275" i="161" s="1"/>
  <c r="AJ275" i="161" s="1"/>
  <c r="A275" i="161" s="1"/>
  <c r="AB275" i="161"/>
  <c r="AB190" i="161"/>
  <c r="AO190" i="161"/>
  <c r="AP190" i="161" s="1"/>
  <c r="AJ190" i="161" s="1"/>
  <c r="A190" i="161" s="1"/>
  <c r="AO172" i="161"/>
  <c r="AP172" i="161" s="1"/>
  <c r="AJ172" i="161" s="1"/>
  <c r="A172" i="161" s="1"/>
  <c r="AB172" i="161"/>
  <c r="AO83" i="161"/>
  <c r="AP83" i="161" s="1"/>
  <c r="AJ83" i="161" s="1"/>
  <c r="A83" i="161" s="1"/>
  <c r="AB83" i="161"/>
  <c r="AO167" i="161"/>
  <c r="AP167" i="161" s="1"/>
  <c r="AJ167" i="161" s="1"/>
  <c r="A167" i="161" s="1"/>
  <c r="AB167" i="161"/>
  <c r="AB152" i="161"/>
  <c r="AO152" i="161"/>
  <c r="AP152" i="161" s="1"/>
  <c r="AJ152" i="161" s="1"/>
  <c r="A152" i="161" s="1"/>
  <c r="AB242" i="161"/>
  <c r="AO242" i="161"/>
  <c r="AP242" i="161" s="1"/>
  <c r="AJ242" i="161" s="1"/>
  <c r="A242" i="161" s="1"/>
  <c r="V85" i="161"/>
  <c r="D80" i="189" s="1"/>
  <c r="T84" i="161"/>
  <c r="AO32" i="161"/>
  <c r="AP32" i="161" s="1"/>
  <c r="AJ32" i="161" s="1"/>
  <c r="A32" i="161" s="1"/>
  <c r="AB32" i="161"/>
  <c r="AI155" i="161"/>
  <c r="AG155" i="161"/>
  <c r="AO88" i="161"/>
  <c r="AP88" i="161" s="1"/>
  <c r="AJ88" i="161" s="1"/>
  <c r="A88" i="161" s="1"/>
  <c r="AB88" i="161"/>
  <c r="AB355" i="161"/>
  <c r="AO355" i="161"/>
  <c r="AP355" i="161" s="1"/>
  <c r="AJ355" i="161" s="1"/>
  <c r="A355" i="161" s="1"/>
  <c r="AO309" i="161"/>
  <c r="AP309" i="161" s="1"/>
  <c r="AJ309" i="161" s="1"/>
  <c r="A309" i="161" s="1"/>
  <c r="AB309" i="161"/>
  <c r="AB247" i="161"/>
  <c r="AO247" i="161"/>
  <c r="AP247" i="161" s="1"/>
  <c r="AJ247" i="161" s="1"/>
  <c r="A247" i="161" s="1"/>
  <c r="AB196" i="161"/>
  <c r="AO196" i="161"/>
  <c r="AP196" i="161" s="1"/>
  <c r="AJ196" i="161" s="1"/>
  <c r="A196" i="161" s="1"/>
  <c r="AO144" i="161"/>
  <c r="AP144" i="161" s="1"/>
  <c r="AJ144" i="161" s="1"/>
  <c r="A144" i="161" s="1"/>
  <c r="AB144" i="161"/>
  <c r="AO352" i="161"/>
  <c r="AP352" i="161" s="1"/>
  <c r="AJ352" i="161" s="1"/>
  <c r="A352" i="161" s="1"/>
  <c r="AB352" i="161"/>
  <c r="AB62" i="161"/>
  <c r="AO62" i="161"/>
  <c r="AP62" i="161" s="1"/>
  <c r="AJ62" i="161" s="1"/>
  <c r="A62" i="161" s="1"/>
  <c r="AB149" i="161"/>
  <c r="AO149" i="161"/>
  <c r="AP149" i="161" s="1"/>
  <c r="AJ149" i="161" s="1"/>
  <c r="A149" i="161" s="1"/>
  <c r="AB31" i="161"/>
  <c r="AO31" i="161"/>
  <c r="AP31" i="161" s="1"/>
  <c r="AJ31" i="161" s="1"/>
  <c r="A31" i="161" s="1"/>
  <c r="AG331" i="161"/>
  <c r="AI331" i="161"/>
  <c r="AG333" i="161"/>
  <c r="AI333" i="161"/>
  <c r="AO301" i="161"/>
  <c r="AP301" i="161" s="1"/>
  <c r="AJ301" i="161" s="1"/>
  <c r="A301" i="161" s="1"/>
  <c r="AB301" i="161"/>
  <c r="AO280" i="161"/>
  <c r="AP280" i="161" s="1"/>
  <c r="AJ280" i="161" s="1"/>
  <c r="A280" i="161" s="1"/>
  <c r="AB280" i="161"/>
  <c r="AB348" i="161"/>
  <c r="AO348" i="161"/>
  <c r="AP348" i="161" s="1"/>
  <c r="AJ348" i="161" s="1"/>
  <c r="A348" i="161" s="1"/>
  <c r="AO187" i="161"/>
  <c r="AP187" i="161" s="1"/>
  <c r="AJ187" i="161" s="1"/>
  <c r="A187" i="161" s="1"/>
  <c r="AB187" i="161"/>
  <c r="AO70" i="161"/>
  <c r="AP70" i="161" s="1"/>
  <c r="AJ70" i="161" s="1"/>
  <c r="A70" i="161" s="1"/>
  <c r="AB70" i="161"/>
  <c r="AO260" i="161"/>
  <c r="AP260" i="161" s="1"/>
  <c r="AJ260" i="161" s="1"/>
  <c r="A260" i="161" s="1"/>
  <c r="AB260" i="161"/>
  <c r="AI151" i="161"/>
  <c r="AG151" i="161"/>
  <c r="AW215" i="161"/>
  <c r="AX215" i="161" s="1"/>
  <c r="AY215" i="161" s="1"/>
  <c r="AQ215" i="161" s="1"/>
  <c r="AO186" i="161"/>
  <c r="AP186" i="161" s="1"/>
  <c r="AJ186" i="161" s="1"/>
  <c r="A186" i="161" s="1"/>
  <c r="AB186" i="161"/>
  <c r="AO287" i="161"/>
  <c r="AP287" i="161" s="1"/>
  <c r="AJ287" i="161" s="1"/>
  <c r="A287" i="161" s="1"/>
  <c r="AB287" i="161"/>
  <c r="AB139" i="161"/>
  <c r="AO139" i="161"/>
  <c r="AP139" i="161" s="1"/>
  <c r="AJ139" i="161" s="1"/>
  <c r="A139" i="161" s="1"/>
  <c r="AO67" i="161"/>
  <c r="AP67" i="161" s="1"/>
  <c r="AJ67" i="161" s="1"/>
  <c r="A67" i="161" s="1"/>
  <c r="AB67" i="161"/>
  <c r="AI136" i="161"/>
  <c r="AG136" i="161"/>
  <c r="AW328" i="161"/>
  <c r="AX328" i="161" s="1"/>
  <c r="AY328" i="161" s="1"/>
  <c r="AQ328" i="161" s="1"/>
  <c r="AW235" i="161"/>
  <c r="AX235" i="161" s="1"/>
  <c r="AY235" i="161" s="1"/>
  <c r="AQ235" i="161" s="1"/>
  <c r="AW295" i="161"/>
  <c r="AX295" i="161" s="1"/>
  <c r="AY295" i="161" s="1"/>
  <c r="AQ295" i="161" s="1"/>
  <c r="AW150" i="161"/>
  <c r="AX150" i="161" s="1"/>
  <c r="AY150" i="161" s="1"/>
  <c r="AQ150" i="161" s="1"/>
  <c r="AB217" i="161"/>
  <c r="AO217" i="161"/>
  <c r="AP217" i="161" s="1"/>
  <c r="AJ217" i="161" s="1"/>
  <c r="A217" i="161" s="1"/>
  <c r="AW347" i="161"/>
  <c r="AX347" i="161" s="1"/>
  <c r="AY347" i="161" s="1"/>
  <c r="AQ347" i="161" s="1"/>
  <c r="AO286" i="161"/>
  <c r="AP286" i="161" s="1"/>
  <c r="AJ286" i="161" s="1"/>
  <c r="A286" i="161" s="1"/>
  <c r="AB286" i="161"/>
  <c r="AG308" i="161"/>
  <c r="AI308" i="161"/>
  <c r="AW318" i="161"/>
  <c r="AX318" i="161" s="1"/>
  <c r="AY318" i="161" s="1"/>
  <c r="AQ318" i="161" s="1"/>
  <c r="AW364" i="161"/>
  <c r="AX364" i="161" s="1"/>
  <c r="AY364" i="161" s="1"/>
  <c r="AQ364" i="161" s="1"/>
  <c r="AW325" i="161"/>
  <c r="AX325" i="161" s="1"/>
  <c r="AY325" i="161" s="1"/>
  <c r="AQ325" i="161" s="1"/>
  <c r="AO350" i="161"/>
  <c r="AP350" i="161" s="1"/>
  <c r="AJ350" i="161" s="1"/>
  <c r="A350" i="161" s="1"/>
  <c r="AB350" i="161"/>
  <c r="AB311" i="161"/>
  <c r="AO311" i="161"/>
  <c r="AP311" i="161" s="1"/>
  <c r="AJ311" i="161" s="1"/>
  <c r="A311" i="161" s="1"/>
  <c r="AW258" i="161"/>
  <c r="AX258" i="161" s="1"/>
  <c r="AY258" i="161" s="1"/>
  <c r="AQ258" i="161" s="1"/>
  <c r="AW208" i="161"/>
  <c r="AX208" i="161" s="1"/>
  <c r="AY208" i="161" s="1"/>
  <c r="AQ208" i="161" s="1"/>
  <c r="AB173" i="161"/>
  <c r="AO173" i="161"/>
  <c r="AP173" i="161" s="1"/>
  <c r="AJ173" i="161" s="1"/>
  <c r="A173" i="161" s="1"/>
  <c r="AO197" i="161"/>
  <c r="AP197" i="161" s="1"/>
  <c r="AJ197" i="161" s="1"/>
  <c r="A197" i="161" s="1"/>
  <c r="AB197" i="161"/>
  <c r="AO106" i="161"/>
  <c r="AP106" i="161" s="1"/>
  <c r="AJ106" i="161" s="1"/>
  <c r="A106" i="161" s="1"/>
  <c r="AB106" i="161"/>
  <c r="AW42" i="161"/>
  <c r="AB154" i="161"/>
  <c r="AO154" i="161"/>
  <c r="AP154" i="161" s="1"/>
  <c r="AJ154" i="161" s="1"/>
  <c r="A154" i="161" s="1"/>
  <c r="AB209" i="161"/>
  <c r="AO209" i="161"/>
  <c r="AP209" i="161" s="1"/>
  <c r="AJ209" i="161" s="1"/>
  <c r="A209" i="161" s="1"/>
  <c r="AW204" i="161"/>
  <c r="AX204" i="161" s="1"/>
  <c r="AY204" i="161" s="1"/>
  <c r="AQ204" i="161" s="1"/>
  <c r="AW176" i="161"/>
  <c r="AX176" i="161" s="1"/>
  <c r="AY176" i="161" s="1"/>
  <c r="AQ176" i="161" s="1"/>
  <c r="AW82" i="161"/>
  <c r="AO359" i="161"/>
  <c r="AP359" i="161" s="1"/>
  <c r="AJ359" i="161" s="1"/>
  <c r="A359" i="161" s="1"/>
  <c r="AB359" i="161"/>
  <c r="AO245" i="161"/>
  <c r="AP245" i="161" s="1"/>
  <c r="AJ245" i="161" s="1"/>
  <c r="A245" i="161" s="1"/>
  <c r="AB245" i="161"/>
  <c r="AG191" i="161"/>
  <c r="AI191" i="161"/>
  <c r="AI146" i="161"/>
  <c r="AG146" i="161"/>
  <c r="AI73" i="161"/>
  <c r="AG73" i="161"/>
  <c r="AG85" i="161"/>
  <c r="AI85" i="161"/>
  <c r="AI39" i="161"/>
  <c r="AG39" i="161"/>
  <c r="AW22" i="161"/>
  <c r="AX22" i="161" s="1"/>
  <c r="AY22" i="161" s="1"/>
  <c r="AQ22" i="161" s="1"/>
  <c r="AB131" i="161"/>
  <c r="AO131" i="161"/>
  <c r="AP131" i="161" s="1"/>
  <c r="AJ131" i="161" s="1"/>
  <c r="A131" i="161" s="1"/>
  <c r="AW306" i="161"/>
  <c r="AX306" i="161" s="1"/>
  <c r="AY306" i="161" s="1"/>
  <c r="AQ306" i="161" s="1"/>
  <c r="AB267" i="161"/>
  <c r="AO267" i="161"/>
  <c r="AP267" i="161" s="1"/>
  <c r="AJ267" i="161" s="1"/>
  <c r="A267" i="161" s="1"/>
  <c r="AW255" i="161"/>
  <c r="AX255" i="161" s="1"/>
  <c r="AY255" i="161" s="1"/>
  <c r="AQ255" i="161" s="1"/>
  <c r="AO185" i="161"/>
  <c r="AP185" i="161" s="1"/>
  <c r="AJ185" i="161" s="1"/>
  <c r="A185" i="161" s="1"/>
  <c r="AB185" i="161"/>
  <c r="AW174" i="161"/>
  <c r="AX174" i="161" s="1"/>
  <c r="AY174" i="161" s="1"/>
  <c r="AQ174" i="161" s="1"/>
  <c r="AW28" i="161"/>
  <c r="AX28" i="161" s="1"/>
  <c r="AY28" i="161" s="1"/>
  <c r="AQ28" i="161" s="1"/>
  <c r="AI72" i="161"/>
  <c r="AG72" i="161"/>
  <c r="AB353" i="161"/>
  <c r="AO353" i="161"/>
  <c r="AP353" i="161" s="1"/>
  <c r="AJ353" i="161" s="1"/>
  <c r="A353" i="161" s="1"/>
  <c r="AW344" i="161"/>
  <c r="AX344" i="161" s="1"/>
  <c r="AY344" i="161" s="1"/>
  <c r="AQ344" i="161" s="1"/>
  <c r="AW289" i="161"/>
  <c r="AX289" i="161" s="1"/>
  <c r="AY289" i="161" s="1"/>
  <c r="AQ289" i="161" s="1"/>
  <c r="V220" i="161"/>
  <c r="D215" i="189" s="1"/>
  <c r="T219" i="161"/>
  <c r="AB138" i="161"/>
  <c r="AO138" i="161"/>
  <c r="AP138" i="161" s="1"/>
  <c r="AJ138" i="161" s="1"/>
  <c r="A138" i="161" s="1"/>
  <c r="AW195" i="161"/>
  <c r="AX195" i="161" s="1"/>
  <c r="AY195" i="161" s="1"/>
  <c r="AQ195" i="161" s="1"/>
  <c r="AW44" i="161"/>
  <c r="AO45" i="161"/>
  <c r="AP45" i="161" s="1"/>
  <c r="AJ45" i="161" s="1"/>
  <c r="A45" i="161" s="1"/>
  <c r="AB45" i="161"/>
  <c r="AB374" i="161"/>
  <c r="AO374" i="161"/>
  <c r="AP374" i="161" s="1"/>
  <c r="AJ374" i="161" s="1"/>
  <c r="A374" i="161" s="1"/>
  <c r="AO285" i="161"/>
  <c r="AP285" i="161" s="1"/>
  <c r="AJ285" i="161" s="1"/>
  <c r="A285" i="161" s="1"/>
  <c r="AB285" i="161"/>
  <c r="AW207" i="161"/>
  <c r="AX207" i="161" s="1"/>
  <c r="AY207" i="161" s="1"/>
  <c r="AQ207" i="161" s="1"/>
  <c r="AB160" i="161"/>
  <c r="AO160" i="161"/>
  <c r="AP160" i="161" s="1"/>
  <c r="AJ160" i="161" s="1"/>
  <c r="A160" i="161" s="1"/>
  <c r="U280" i="161"/>
  <c r="V280" i="161" s="1"/>
  <c r="D275" i="189" s="1"/>
  <c r="T279" i="161"/>
  <c r="AO224" i="161"/>
  <c r="AP224" i="161" s="1"/>
  <c r="AJ224" i="161" s="1"/>
  <c r="A224" i="161" s="1"/>
  <c r="AB224" i="161"/>
  <c r="AW221" i="161"/>
  <c r="AX221" i="161" s="1"/>
  <c r="AY221" i="161" s="1"/>
  <c r="AQ221" i="161" s="1"/>
  <c r="AI234" i="161"/>
  <c r="AG234" i="161"/>
  <c r="AO115" i="161"/>
  <c r="AP115" i="161" s="1"/>
  <c r="AJ115" i="161" s="1"/>
  <c r="A115" i="161" s="1"/>
  <c r="AB115" i="161"/>
  <c r="AB75" i="161"/>
  <c r="AO75" i="161"/>
  <c r="AP75" i="161" s="1"/>
  <c r="AJ75" i="161" s="1"/>
  <c r="A75" i="161" s="1"/>
  <c r="AW120" i="161"/>
  <c r="AX120" i="161" s="1"/>
  <c r="AY120" i="161" s="1"/>
  <c r="AQ120" i="161" s="1"/>
  <c r="AO338" i="161"/>
  <c r="AP338" i="161" s="1"/>
  <c r="AJ338" i="161" s="1"/>
  <c r="A338" i="161" s="1"/>
  <c r="AB338" i="161"/>
  <c r="AB330" i="161"/>
  <c r="AO330" i="161"/>
  <c r="AP330" i="161" s="1"/>
  <c r="AJ330" i="161" s="1"/>
  <c r="A330" i="161" s="1"/>
  <c r="AI203" i="161"/>
  <c r="AG203" i="161"/>
  <c r="AW367" i="161"/>
  <c r="AX367" i="161" s="1"/>
  <c r="AY367" i="161" s="1"/>
  <c r="AQ367" i="161" s="1"/>
  <c r="AW48" i="161"/>
  <c r="AX48" i="161" s="1"/>
  <c r="AY48" i="161" s="1"/>
  <c r="AQ48" i="161" s="1"/>
  <c r="AO156" i="161"/>
  <c r="AP156" i="161" s="1"/>
  <c r="AJ156" i="161" s="1"/>
  <c r="A156" i="161" s="1"/>
  <c r="AB156" i="161"/>
  <c r="AO114" i="161"/>
  <c r="AP114" i="161" s="1"/>
  <c r="AJ114" i="161" s="1"/>
  <c r="A114" i="161" s="1"/>
  <c r="AB114" i="161"/>
  <c r="V112" i="161"/>
  <c r="D107" i="189" s="1"/>
  <c r="T111" i="161"/>
  <c r="AB101" i="161"/>
  <c r="AO101" i="161"/>
  <c r="AP101" i="161" s="1"/>
  <c r="AJ101" i="161" s="1"/>
  <c r="A101" i="161" s="1"/>
  <c r="AB50" i="161"/>
  <c r="AO50" i="161"/>
  <c r="AP50" i="161" s="1"/>
  <c r="AJ50" i="161" s="1"/>
  <c r="A50" i="161" s="1"/>
  <c r="AW34" i="161"/>
  <c r="AX34" i="161" s="1"/>
  <c r="AY34" i="161" s="1"/>
  <c r="AQ34" i="161" s="1"/>
  <c r="AB34" i="161"/>
  <c r="AO34" i="161"/>
  <c r="AP34" i="161" s="1"/>
  <c r="AJ34" i="161" s="1"/>
  <c r="A34" i="161" s="1"/>
  <c r="AG326" i="161"/>
  <c r="AI326" i="161"/>
  <c r="AO274" i="161"/>
  <c r="AP274" i="161" s="1"/>
  <c r="AJ274" i="161" s="1"/>
  <c r="A274" i="161" s="1"/>
  <c r="AB274" i="161"/>
  <c r="AG251" i="161"/>
  <c r="AI251" i="161"/>
  <c r="AO322" i="161"/>
  <c r="AP322" i="161" s="1"/>
  <c r="AJ322" i="161" s="1"/>
  <c r="A322" i="161" s="1"/>
  <c r="AB322" i="161"/>
  <c r="AO266" i="161"/>
  <c r="AP266" i="161" s="1"/>
  <c r="AJ266" i="161" s="1"/>
  <c r="A266" i="161" s="1"/>
  <c r="AB266" i="161"/>
  <c r="AO284" i="161"/>
  <c r="AP284" i="161" s="1"/>
  <c r="AJ284" i="161" s="1"/>
  <c r="A284" i="161" s="1"/>
  <c r="AB284" i="161"/>
  <c r="AW299" i="161"/>
  <c r="AX299" i="161" s="1"/>
  <c r="AY299" i="161" s="1"/>
  <c r="AQ299" i="161" s="1"/>
  <c r="V181" i="161"/>
  <c r="D176" i="189" s="1"/>
  <c r="T180" i="161"/>
  <c r="AO210" i="161"/>
  <c r="AP210" i="161" s="1"/>
  <c r="AJ210" i="161" s="1"/>
  <c r="A210" i="161" s="1"/>
  <c r="AB210" i="161"/>
  <c r="AW41" i="161"/>
  <c r="AW66" i="161"/>
  <c r="AX66" i="161" s="1"/>
  <c r="AY66" i="161" s="1"/>
  <c r="AQ66" i="161" s="1"/>
  <c r="AG335" i="161"/>
  <c r="AI335" i="161"/>
  <c r="AB273" i="161"/>
  <c r="AO273" i="161"/>
  <c r="AP273" i="161" s="1"/>
  <c r="AJ273" i="161" s="1"/>
  <c r="A273" i="161" s="1"/>
  <c r="AO305" i="161"/>
  <c r="AP305" i="161" s="1"/>
  <c r="AJ305" i="161" s="1"/>
  <c r="A305" i="161" s="1"/>
  <c r="AB305" i="161"/>
  <c r="AB318" i="161"/>
  <c r="AO318" i="161"/>
  <c r="AP318" i="161" s="1"/>
  <c r="AJ318" i="161" s="1"/>
  <c r="A318" i="161" s="1"/>
  <c r="AI265" i="161"/>
  <c r="AG265" i="161"/>
  <c r="AB205" i="161"/>
  <c r="AO205" i="161"/>
  <c r="AP205" i="161" s="1"/>
  <c r="AJ205" i="161" s="1"/>
  <c r="A205" i="161" s="1"/>
  <c r="AW173" i="161"/>
  <c r="AX173" i="161" s="1"/>
  <c r="AY173" i="161" s="1"/>
  <c r="AQ173" i="161" s="1"/>
  <c r="AB93" i="161"/>
  <c r="AO93" i="161"/>
  <c r="AP93" i="161" s="1"/>
  <c r="AJ93" i="161" s="1"/>
  <c r="A93" i="161" s="1"/>
  <c r="AW57" i="161"/>
  <c r="AW334" i="161"/>
  <c r="AX334" i="161" s="1"/>
  <c r="AY334" i="161" s="1"/>
  <c r="AQ334" i="161" s="1"/>
  <c r="AW363" i="161"/>
  <c r="AX363" i="161" s="1"/>
  <c r="AY363" i="161" s="1"/>
  <c r="AQ363" i="161" s="1"/>
  <c r="AW288" i="161"/>
  <c r="AX288" i="161" s="1"/>
  <c r="AY288" i="161" s="1"/>
  <c r="AQ288" i="161" s="1"/>
  <c r="AG184" i="161"/>
  <c r="AI184" i="161"/>
  <c r="AB199" i="161"/>
  <c r="AO199" i="161"/>
  <c r="AP199" i="161" s="1"/>
  <c r="AJ199" i="161" s="1"/>
  <c r="A199" i="161" s="1"/>
  <c r="AB92" i="161"/>
  <c r="AO92" i="161"/>
  <c r="AP92" i="161" s="1"/>
  <c r="AJ92" i="161" s="1"/>
  <c r="A92" i="161" s="1"/>
  <c r="AW86" i="161"/>
  <c r="AW169" i="161"/>
  <c r="AX169" i="161" s="1"/>
  <c r="AY169" i="161" s="1"/>
  <c r="AQ169" i="161" s="1"/>
  <c r="AB159" i="161"/>
  <c r="AO159" i="161"/>
  <c r="AP159" i="161" s="1"/>
  <c r="AJ159" i="161" s="1"/>
  <c r="A159" i="161" s="1"/>
  <c r="AW291" i="161"/>
  <c r="AX291" i="161" s="1"/>
  <c r="AY291" i="161" s="1"/>
  <c r="AQ291" i="161" s="1"/>
  <c r="AB256" i="161"/>
  <c r="AO256" i="161"/>
  <c r="AP256" i="161" s="1"/>
  <c r="AJ256" i="161" s="1"/>
  <c r="A256" i="161" s="1"/>
  <c r="AW88" i="161"/>
  <c r="AW175" i="161"/>
  <c r="AX175" i="161" s="1"/>
  <c r="AY175" i="161" s="1"/>
  <c r="AQ175" i="161" s="1"/>
  <c r="AO231" i="161"/>
  <c r="AP231" i="161" s="1"/>
  <c r="AJ231" i="161" s="1"/>
  <c r="A231" i="161" s="1"/>
  <c r="AB231" i="161"/>
  <c r="AO368" i="161"/>
  <c r="AP368" i="161" s="1"/>
  <c r="AJ368" i="161" s="1"/>
  <c r="A368" i="161" s="1"/>
  <c r="AB368" i="161"/>
  <c r="AW69" i="161"/>
  <c r="AX69" i="161" s="1"/>
  <c r="AY69" i="161" s="1"/>
  <c r="AQ69" i="161" s="1"/>
  <c r="AG158" i="161"/>
  <c r="AI158" i="161"/>
  <c r="AW133" i="161"/>
  <c r="AX133" i="161" s="1"/>
  <c r="AY133" i="161" s="1"/>
  <c r="AQ133" i="161" s="1"/>
  <c r="AB87" i="161"/>
  <c r="AO87" i="161"/>
  <c r="AP87" i="161" s="1"/>
  <c r="AJ87" i="161" s="1"/>
  <c r="A87" i="161" s="1"/>
  <c r="AB262" i="161"/>
  <c r="AO262" i="161"/>
  <c r="AP262" i="161" s="1"/>
  <c r="AJ262" i="161" s="1"/>
  <c r="A262" i="161" s="1"/>
  <c r="AO344" i="161"/>
  <c r="AP344" i="161" s="1"/>
  <c r="AJ344" i="161" s="1"/>
  <c r="A344" i="161" s="1"/>
  <c r="AB344" i="161"/>
  <c r="AW243" i="161"/>
  <c r="AX243" i="161" s="1"/>
  <c r="AY243" i="161" s="1"/>
  <c r="AQ243" i="161" s="1"/>
  <c r="AO290" i="161"/>
  <c r="AP290" i="161" s="1"/>
  <c r="AJ290" i="161" s="1"/>
  <c r="A290" i="161" s="1"/>
  <c r="AB290" i="161"/>
  <c r="AW138" i="161"/>
  <c r="AX138" i="161" s="1"/>
  <c r="AY138" i="161" s="1"/>
  <c r="AQ138" i="161" s="1"/>
  <c r="AO177" i="161"/>
  <c r="AP177" i="161" s="1"/>
  <c r="AJ177" i="161" s="1"/>
  <c r="A177" i="161" s="1"/>
  <c r="AB177" i="161"/>
  <c r="AB145" i="161"/>
  <c r="AO145" i="161"/>
  <c r="AP145" i="161" s="1"/>
  <c r="AJ145" i="161" s="1"/>
  <c r="A145" i="161" s="1"/>
  <c r="AO163" i="161"/>
  <c r="AP163" i="161" s="1"/>
  <c r="AJ163" i="161" s="1"/>
  <c r="A163" i="161" s="1"/>
  <c r="AB163" i="161"/>
  <c r="AO116" i="161"/>
  <c r="AP116" i="161" s="1"/>
  <c r="AJ116" i="161" s="1"/>
  <c r="A116" i="161" s="1"/>
  <c r="AB116" i="161"/>
  <c r="AO76" i="161"/>
  <c r="AP76" i="161" s="1"/>
  <c r="AJ76" i="161" s="1"/>
  <c r="A76" i="161" s="1"/>
  <c r="AB76" i="161"/>
  <c r="AW105" i="161"/>
  <c r="AX105" i="161" s="1"/>
  <c r="AY105" i="161" s="1"/>
  <c r="AQ105" i="161" s="1"/>
  <c r="AW29" i="161"/>
  <c r="AW31" i="161"/>
  <c r="AX31" i="161" s="1"/>
  <c r="AY31" i="161" s="1"/>
  <c r="AQ31" i="161" s="1"/>
  <c r="AO302" i="161"/>
  <c r="AP302" i="161" s="1"/>
  <c r="AJ302" i="161" s="1"/>
  <c r="A302" i="161" s="1"/>
  <c r="AB302" i="161"/>
  <c r="AB143" i="161"/>
  <c r="AO143" i="161"/>
  <c r="AP143" i="161" s="1"/>
  <c r="AJ143" i="161" s="1"/>
  <c r="A143" i="161" s="1"/>
  <c r="AO340" i="161"/>
  <c r="AP340" i="161" s="1"/>
  <c r="AJ340" i="161" s="1"/>
  <c r="A340" i="161" s="1"/>
  <c r="AB340" i="161"/>
  <c r="AO283" i="161"/>
  <c r="AP283" i="161" s="1"/>
  <c r="AJ283" i="161" s="1"/>
  <c r="A283" i="161" s="1"/>
  <c r="AB283" i="161"/>
  <c r="AG271" i="161"/>
  <c r="AI271" i="161"/>
  <c r="AB218" i="161"/>
  <c r="AO218" i="161"/>
  <c r="AP218" i="161" s="1"/>
  <c r="AJ218" i="161" s="1"/>
  <c r="A218" i="161" s="1"/>
  <c r="AO297" i="161"/>
  <c r="AP297" i="161" s="1"/>
  <c r="AJ297" i="161" s="1"/>
  <c r="A297" i="161" s="1"/>
  <c r="AB297" i="161"/>
  <c r="AB215" i="161"/>
  <c r="AO215" i="161"/>
  <c r="AP215" i="161" s="1"/>
  <c r="AJ215" i="161" s="1"/>
  <c r="A215" i="161" s="1"/>
  <c r="AW222" i="161"/>
  <c r="AX222" i="161" s="1"/>
  <c r="AY222" i="161" s="1"/>
  <c r="AQ222" i="161" s="1"/>
  <c r="AI212" i="161"/>
  <c r="AG212" i="161"/>
  <c r="AB107" i="161"/>
  <c r="AO107" i="161"/>
  <c r="AP107" i="161" s="1"/>
  <c r="AJ107" i="161" s="1"/>
  <c r="A107" i="161" s="1"/>
  <c r="AW101" i="161"/>
  <c r="AX101" i="161" s="1"/>
  <c r="AY101" i="161" s="1"/>
  <c r="AQ101" i="161" s="1"/>
  <c r="V56" i="161"/>
  <c r="D51" i="189" s="1"/>
  <c r="T55" i="161"/>
  <c r="AW19" i="161"/>
  <c r="AW14" i="161"/>
  <c r="U14" i="161"/>
  <c r="AL14" i="161"/>
  <c r="AM14" i="161" s="1"/>
  <c r="AB14" i="161"/>
  <c r="AO14" i="161"/>
  <c r="J52" i="190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  <c r="F47" i="189" l="1"/>
  <c r="L48" i="189"/>
  <c r="Q48" i="189" s="1"/>
  <c r="R48" i="189" s="1"/>
  <c r="M48" i="189"/>
  <c r="P48" i="189" s="1"/>
  <c r="F160" i="189"/>
  <c r="Q160" i="189" s="1"/>
  <c r="R160" i="189" s="1"/>
  <c r="F83" i="189"/>
  <c r="Q83" i="189" s="1"/>
  <c r="R83" i="189" s="1"/>
  <c r="F149" i="189"/>
  <c r="Q149" i="189" s="1"/>
  <c r="R149" i="189" s="1"/>
  <c r="F187" i="189"/>
  <c r="F348" i="189"/>
  <c r="Q348" i="189" s="1"/>
  <c r="R348" i="189" s="1"/>
  <c r="F72" i="189"/>
  <c r="Q72" i="189" s="1"/>
  <c r="R72" i="189" s="1"/>
  <c r="Q150" i="189"/>
  <c r="R150" i="189" s="1"/>
  <c r="F150" i="189"/>
  <c r="F196" i="189"/>
  <c r="Q196" i="189" s="1"/>
  <c r="R196" i="189" s="1"/>
  <c r="L61" i="189"/>
  <c r="Q61" i="189" s="1"/>
  <c r="R61" i="189" s="1"/>
  <c r="M61" i="189"/>
  <c r="P61" i="189" s="1"/>
  <c r="F125" i="189"/>
  <c r="Q125" i="189" s="1"/>
  <c r="R125" i="189" s="1"/>
  <c r="F265" i="189"/>
  <c r="Q265" i="189" s="1"/>
  <c r="R265" i="189" s="1"/>
  <c r="Q85" i="189"/>
  <c r="R85" i="189" s="1"/>
  <c r="F85" i="189"/>
  <c r="Q123" i="189"/>
  <c r="R123" i="189" s="1"/>
  <c r="F123" i="189"/>
  <c r="F226" i="189"/>
  <c r="F302" i="189"/>
  <c r="Q302" i="189" s="1"/>
  <c r="R302" i="189" s="1"/>
  <c r="F91" i="189"/>
  <c r="Q91" i="189" s="1"/>
  <c r="R91" i="189" s="1"/>
  <c r="F335" i="189"/>
  <c r="Q335" i="189" s="1"/>
  <c r="R335" i="189" s="1"/>
  <c r="F132" i="189"/>
  <c r="Q132" i="189" s="1"/>
  <c r="R132" i="189" s="1"/>
  <c r="F169" i="189"/>
  <c r="Q169" i="189" s="1"/>
  <c r="R169" i="189" s="1"/>
  <c r="Q370" i="189"/>
  <c r="R370" i="189" s="1"/>
  <c r="L370" i="189"/>
  <c r="M370" i="189"/>
  <c r="P370" i="189" s="1"/>
  <c r="F73" i="189"/>
  <c r="F181" i="189"/>
  <c r="Q181" i="189" s="1"/>
  <c r="R181" i="189" s="1"/>
  <c r="F190" i="189"/>
  <c r="Q190" i="189" s="1"/>
  <c r="R190" i="189" s="1"/>
  <c r="M25" i="189"/>
  <c r="P25" i="189" s="1"/>
  <c r="L25" i="189"/>
  <c r="Q25" i="189" s="1"/>
  <c r="R25" i="189" s="1"/>
  <c r="Q186" i="189"/>
  <c r="R186" i="189" s="1"/>
  <c r="F186" i="189"/>
  <c r="F18" i="189"/>
  <c r="Q18" i="189" s="1"/>
  <c r="R18" i="189" s="1"/>
  <c r="F315" i="189"/>
  <c r="Q315" i="189" s="1"/>
  <c r="R315" i="189" s="1"/>
  <c r="F231" i="189"/>
  <c r="Q231" i="189" s="1"/>
  <c r="R231" i="189" s="1"/>
  <c r="F337" i="189"/>
  <c r="Q337" i="189" s="1"/>
  <c r="R337" i="189" s="1"/>
  <c r="F363" i="189"/>
  <c r="Q363" i="189" s="1"/>
  <c r="R363" i="189" s="1"/>
  <c r="Q60" i="189"/>
  <c r="R60" i="189" s="1"/>
  <c r="F60" i="189"/>
  <c r="F119" i="189"/>
  <c r="F362" i="189"/>
  <c r="Q362" i="189" s="1"/>
  <c r="R362" i="189" s="1"/>
  <c r="F115" i="189"/>
  <c r="Q115" i="189" s="1"/>
  <c r="R115" i="189" s="1"/>
  <c r="F349" i="189"/>
  <c r="Q349" i="189"/>
  <c r="R349" i="189" s="1"/>
  <c r="F126" i="189"/>
  <c r="F118" i="189"/>
  <c r="F300" i="189"/>
  <c r="Q300" i="189" s="1"/>
  <c r="R300" i="189" s="1"/>
  <c r="F206" i="189"/>
  <c r="F308" i="189"/>
  <c r="Q308" i="189" s="1"/>
  <c r="R308" i="189" s="1"/>
  <c r="Q146" i="189"/>
  <c r="R146" i="189" s="1"/>
  <c r="F146" i="189"/>
  <c r="F182" i="189"/>
  <c r="Q182" i="189" s="1"/>
  <c r="R182" i="189" s="1"/>
  <c r="F157" i="189"/>
  <c r="F113" i="189"/>
  <c r="Q113" i="189" s="1"/>
  <c r="R113" i="189" s="1"/>
  <c r="F114" i="189"/>
  <c r="Q114" i="189" s="1"/>
  <c r="R114" i="189" s="1"/>
  <c r="Q307" i="189"/>
  <c r="R307" i="189" s="1"/>
  <c r="F307" i="189"/>
  <c r="Q179" i="189"/>
  <c r="R179" i="189" s="1"/>
  <c r="F179" i="189"/>
  <c r="F334" i="189"/>
  <c r="Q334" i="189" s="1"/>
  <c r="R334" i="189" s="1"/>
  <c r="F254" i="189"/>
  <c r="Q254" i="189" s="1"/>
  <c r="R254" i="189" s="1"/>
  <c r="F104" i="189"/>
  <c r="F151" i="189"/>
  <c r="F155" i="189"/>
  <c r="F364" i="189"/>
  <c r="Q364" i="189" s="1"/>
  <c r="R364" i="189" s="1"/>
  <c r="F203" i="189"/>
  <c r="Q203" i="189" s="1"/>
  <c r="R203" i="189" s="1"/>
  <c r="Q209" i="189"/>
  <c r="R209" i="189" s="1"/>
  <c r="F209" i="189"/>
  <c r="L62" i="189"/>
  <c r="Q62" i="189" s="1"/>
  <c r="R62" i="189" s="1"/>
  <c r="M62" i="189"/>
  <c r="P62" i="189" s="1"/>
  <c r="F339" i="189"/>
  <c r="Q339" i="189" s="1"/>
  <c r="R339" i="189" s="1"/>
  <c r="F286" i="189"/>
  <c r="Q286" i="189" s="1"/>
  <c r="R286" i="189" s="1"/>
  <c r="F95" i="189"/>
  <c r="F320" i="189"/>
  <c r="Q320" i="189" s="1"/>
  <c r="R320" i="189" s="1"/>
  <c r="Q343" i="189"/>
  <c r="R343" i="189" s="1"/>
  <c r="F343" i="189"/>
  <c r="F301" i="189"/>
  <c r="Q301" i="189" s="1"/>
  <c r="R301" i="189" s="1"/>
  <c r="F76" i="189"/>
  <c r="F77" i="189"/>
  <c r="Q77" i="189" s="1"/>
  <c r="R77" i="189" s="1"/>
  <c r="F101" i="189"/>
  <c r="Q101" i="189" s="1"/>
  <c r="R101" i="189" s="1"/>
  <c r="Q366" i="189"/>
  <c r="R366" i="189" s="1"/>
  <c r="F366" i="189"/>
  <c r="F56" i="189"/>
  <c r="Q56" i="189" s="1"/>
  <c r="R56" i="189" s="1"/>
  <c r="F242" i="189"/>
  <c r="Q242" i="189" s="1"/>
  <c r="R242" i="189" s="1"/>
  <c r="F194" i="189"/>
  <c r="Q194" i="189" s="1"/>
  <c r="R194" i="189" s="1"/>
  <c r="F318" i="189"/>
  <c r="Q318" i="189" s="1"/>
  <c r="R318" i="189" s="1"/>
  <c r="F14" i="189"/>
  <c r="F297" i="189"/>
  <c r="Q297" i="189" s="1"/>
  <c r="R297" i="189" s="1"/>
  <c r="F257" i="189"/>
  <c r="Q257" i="189" s="1"/>
  <c r="R257" i="189" s="1"/>
  <c r="F354" i="189"/>
  <c r="Q354" i="189" s="1"/>
  <c r="R354" i="189" s="1"/>
  <c r="F342" i="189"/>
  <c r="F369" i="189"/>
  <c r="Q369" i="189" s="1"/>
  <c r="R369" i="189" s="1"/>
  <c r="F71" i="189"/>
  <c r="Q71" i="189" s="1"/>
  <c r="R71" i="189" s="1"/>
  <c r="F329" i="189"/>
  <c r="Q329" i="189" s="1"/>
  <c r="R329" i="189" s="1"/>
  <c r="F215" i="189"/>
  <c r="Q215" i="189"/>
  <c r="R215" i="189" s="1"/>
  <c r="Q80" i="189"/>
  <c r="R80" i="189" s="1"/>
  <c r="F80" i="189"/>
  <c r="F325" i="189"/>
  <c r="Q221" i="189"/>
  <c r="R221" i="189" s="1"/>
  <c r="F221" i="189"/>
  <c r="Q319" i="189"/>
  <c r="R319" i="189" s="1"/>
  <c r="F319" i="189"/>
  <c r="Q107" i="189"/>
  <c r="R107" i="189" s="1"/>
  <c r="F107" i="189"/>
  <c r="F174" i="189"/>
  <c r="Q174" i="189" s="1"/>
  <c r="R174" i="189" s="1"/>
  <c r="F222" i="189"/>
  <c r="Q222" i="189" s="1"/>
  <c r="R222" i="189" s="1"/>
  <c r="F238" i="189"/>
  <c r="Q238" i="189" s="1"/>
  <c r="R238" i="189" s="1"/>
  <c r="F137" i="189"/>
  <c r="Q137" i="189" s="1"/>
  <c r="R137" i="189" s="1"/>
  <c r="F86" i="189"/>
  <c r="Q86" i="189" s="1"/>
  <c r="R86" i="189" s="1"/>
  <c r="F108" i="189"/>
  <c r="F309" i="189"/>
  <c r="Q309" i="189"/>
  <c r="R309" i="189" s="1"/>
  <c r="F251" i="189"/>
  <c r="Q251" i="189" s="1"/>
  <c r="R251" i="189" s="1"/>
  <c r="F41" i="189"/>
  <c r="Q41" i="189" s="1"/>
  <c r="R41" i="189" s="1"/>
  <c r="F197" i="189"/>
  <c r="Q197" i="189" s="1"/>
  <c r="R197" i="189" s="1"/>
  <c r="F323" i="189"/>
  <c r="Q323" i="189" s="1"/>
  <c r="R323" i="189" s="1"/>
  <c r="F256" i="189"/>
  <c r="Q256" i="189" s="1"/>
  <c r="R256" i="189" s="1"/>
  <c r="F127" i="189"/>
  <c r="Q127" i="189" s="1"/>
  <c r="R127" i="189" s="1"/>
  <c r="F121" i="189"/>
  <c r="Q121" i="189" s="1"/>
  <c r="R121" i="189" s="1"/>
  <c r="L22" i="189"/>
  <c r="Q22" i="189" s="1"/>
  <c r="R22" i="189" s="1"/>
  <c r="M22" i="189"/>
  <c r="P22" i="189" s="1"/>
  <c r="F283" i="189"/>
  <c r="Q283" i="189" s="1"/>
  <c r="R283" i="189" s="1"/>
  <c r="F98" i="189"/>
  <c r="Q98" i="189" s="1"/>
  <c r="R98" i="189" s="1"/>
  <c r="F373" i="189"/>
  <c r="Q373" i="189" s="1"/>
  <c r="R373" i="189" s="1"/>
  <c r="L64" i="189"/>
  <c r="Q64" i="189" s="1"/>
  <c r="R64" i="189" s="1"/>
  <c r="M64" i="189"/>
  <c r="P64" i="189" s="1"/>
  <c r="F129" i="189"/>
  <c r="Q129" i="189" s="1"/>
  <c r="R129" i="189" s="1"/>
  <c r="F192" i="189"/>
  <c r="Q192" i="189" s="1"/>
  <c r="R192" i="189" s="1"/>
  <c r="Q42" i="189"/>
  <c r="R42" i="189" s="1"/>
  <c r="F42" i="189"/>
  <c r="L45" i="189"/>
  <c r="Q45" i="189" s="1"/>
  <c r="R45" i="189" s="1"/>
  <c r="M45" i="189"/>
  <c r="P45" i="189" s="1"/>
  <c r="F166" i="189"/>
  <c r="Q166" i="189" s="1"/>
  <c r="R166" i="189" s="1"/>
  <c r="F218" i="189"/>
  <c r="Q218" i="189" s="1"/>
  <c r="R218" i="189" s="1"/>
  <c r="L10" i="189"/>
  <c r="Q10" i="189" s="1"/>
  <c r="R10" i="189" s="1"/>
  <c r="M10" i="189"/>
  <c r="P10" i="189" s="1"/>
  <c r="F236" i="189"/>
  <c r="Q236" i="189" s="1"/>
  <c r="R236" i="189" s="1"/>
  <c r="F15" i="189"/>
  <c r="F200" i="189"/>
  <c r="Q200" i="189" s="1"/>
  <c r="R200" i="189" s="1"/>
  <c r="Q124" i="189"/>
  <c r="R124" i="189" s="1"/>
  <c r="F124" i="189"/>
  <c r="F116" i="189"/>
  <c r="Q116" i="189" s="1"/>
  <c r="R116" i="189" s="1"/>
  <c r="L46" i="189"/>
  <c r="Q46" i="189" s="1"/>
  <c r="R46" i="189" s="1"/>
  <c r="M46" i="189"/>
  <c r="P46" i="189" s="1"/>
  <c r="F163" i="189"/>
  <c r="Q163" i="189" s="1"/>
  <c r="R163" i="189" s="1"/>
  <c r="M32" i="189"/>
  <c r="P32" i="189" s="1"/>
  <c r="L32" i="189"/>
  <c r="Q32" i="189" s="1"/>
  <c r="R32" i="189" s="1"/>
  <c r="F168" i="189"/>
  <c r="Q168" i="189" s="1"/>
  <c r="R168" i="189" s="1"/>
  <c r="Q201" i="189"/>
  <c r="R201" i="189" s="1"/>
  <c r="F201" i="189"/>
  <c r="Q328" i="189"/>
  <c r="R328" i="189" s="1"/>
  <c r="F328" i="189"/>
  <c r="Q153" i="189"/>
  <c r="R153" i="189" s="1"/>
  <c r="F153" i="189"/>
  <c r="F268" i="189"/>
  <c r="Q268" i="189" s="1"/>
  <c r="R268" i="189" s="1"/>
  <c r="Q211" i="189"/>
  <c r="R211" i="189" s="1"/>
  <c r="F211" i="189"/>
  <c r="F102" i="189"/>
  <c r="F291" i="189"/>
  <c r="Q291" i="189" s="1"/>
  <c r="R291" i="189" s="1"/>
  <c r="F225" i="189"/>
  <c r="Q225" i="189" s="1"/>
  <c r="R225" i="189" s="1"/>
  <c r="F239" i="189"/>
  <c r="Q239" i="189" s="1"/>
  <c r="R239" i="189" s="1"/>
  <c r="F241" i="189"/>
  <c r="Q241" i="189" s="1"/>
  <c r="R241" i="189" s="1"/>
  <c r="F310" i="189"/>
  <c r="F372" i="189"/>
  <c r="Q372" i="189" s="1"/>
  <c r="R372" i="189" s="1"/>
  <c r="Q303" i="189"/>
  <c r="R303" i="189" s="1"/>
  <c r="F303" i="189"/>
  <c r="M29" i="189"/>
  <c r="P29" i="189" s="1"/>
  <c r="L29" i="189"/>
  <c r="Q29" i="189" s="1"/>
  <c r="R29" i="189" s="1"/>
  <c r="F275" i="189"/>
  <c r="F210" i="189"/>
  <c r="Q210" i="189" s="1"/>
  <c r="R210" i="189" s="1"/>
  <c r="F272" i="189"/>
  <c r="F171" i="189"/>
  <c r="Q171" i="189" s="1"/>
  <c r="R171" i="189" s="1"/>
  <c r="F230" i="189"/>
  <c r="Q230" i="189" s="1"/>
  <c r="R230" i="189" s="1"/>
  <c r="Q332" i="189"/>
  <c r="R332" i="189" s="1"/>
  <c r="F332" i="189"/>
  <c r="F58" i="189"/>
  <c r="Q58" i="189" s="1"/>
  <c r="R58" i="189" s="1"/>
  <c r="F63" i="189"/>
  <c r="F244" i="189"/>
  <c r="Q94" i="189"/>
  <c r="R94" i="189" s="1"/>
  <c r="F94" i="189"/>
  <c r="F205" i="189"/>
  <c r="Q205" i="189" s="1"/>
  <c r="R205" i="189" s="1"/>
  <c r="F223" i="189"/>
  <c r="Q223" i="189" s="1"/>
  <c r="R223" i="189" s="1"/>
  <c r="F347" i="189"/>
  <c r="Q347" i="189" s="1"/>
  <c r="R347" i="189" s="1"/>
  <c r="F154" i="189"/>
  <c r="Q154" i="189" s="1"/>
  <c r="R154" i="189" s="1"/>
  <c r="F35" i="189"/>
  <c r="Q35" i="189" s="1"/>
  <c r="R35" i="189" s="1"/>
  <c r="Q330" i="189"/>
  <c r="R330" i="189" s="1"/>
  <c r="F330" i="189"/>
  <c r="F208" i="189"/>
  <c r="Q120" i="189"/>
  <c r="R120" i="189" s="1"/>
  <c r="F120" i="189"/>
  <c r="F17" i="189"/>
  <c r="F252" i="189"/>
  <c r="Q252" i="189" s="1"/>
  <c r="R252" i="189" s="1"/>
  <c r="Q266" i="189"/>
  <c r="R266" i="189" s="1"/>
  <c r="F266" i="189"/>
  <c r="F144" i="189"/>
  <c r="Q144" i="189" s="1"/>
  <c r="R144" i="189" s="1"/>
  <c r="F304" i="189"/>
  <c r="Q304" i="189" s="1"/>
  <c r="R304" i="189" s="1"/>
  <c r="F243" i="189"/>
  <c r="Q243" i="189" s="1"/>
  <c r="R243" i="189" s="1"/>
  <c r="F122" i="189"/>
  <c r="Q122" i="189" s="1"/>
  <c r="R122" i="189" s="1"/>
  <c r="F296" i="189"/>
  <c r="Q296" i="189" s="1"/>
  <c r="R296" i="189" s="1"/>
  <c r="Q351" i="189"/>
  <c r="R351" i="189" s="1"/>
  <c r="F351" i="189"/>
  <c r="F278" i="189"/>
  <c r="Q278" i="189" s="1"/>
  <c r="R278" i="189" s="1"/>
  <c r="F152" i="189"/>
  <c r="F140" i="189"/>
  <c r="Q140" i="189" s="1"/>
  <c r="R140" i="189" s="1"/>
  <c r="Q141" i="189"/>
  <c r="R141" i="189" s="1"/>
  <c r="F141" i="189"/>
  <c r="F78" i="189"/>
  <c r="Q78" i="189" s="1"/>
  <c r="R78" i="189" s="1"/>
  <c r="Q90" i="189"/>
  <c r="R90" i="189" s="1"/>
  <c r="F90" i="189"/>
  <c r="Q326" i="189"/>
  <c r="R326" i="189" s="1"/>
  <c r="F326" i="189"/>
  <c r="Q299" i="189"/>
  <c r="R299" i="189" s="1"/>
  <c r="F299" i="189"/>
  <c r="L12" i="189"/>
  <c r="M12" i="189"/>
  <c r="P12" i="189" s="1"/>
  <c r="Q260" i="189"/>
  <c r="R260" i="189" s="1"/>
  <c r="F260" i="189"/>
  <c r="Q176" i="189"/>
  <c r="R176" i="189" s="1"/>
  <c r="F176" i="189"/>
  <c r="Q246" i="189"/>
  <c r="R246" i="189" s="1"/>
  <c r="F246" i="189"/>
  <c r="F109" i="189"/>
  <c r="Q109" i="189" s="1"/>
  <c r="R109" i="189" s="1"/>
  <c r="Q234" i="189"/>
  <c r="R234" i="189" s="1"/>
  <c r="F234" i="189"/>
  <c r="F327" i="189"/>
  <c r="Q327" i="189" s="1"/>
  <c r="R327" i="189" s="1"/>
  <c r="F88" i="189"/>
  <c r="Q88" i="189" s="1"/>
  <c r="R88" i="189" s="1"/>
  <c r="F38" i="189"/>
  <c r="Q38" i="189" s="1"/>
  <c r="R38" i="189" s="1"/>
  <c r="F233" i="189"/>
  <c r="Q67" i="189"/>
  <c r="R67" i="189" s="1"/>
  <c r="F67" i="189"/>
  <c r="F237" i="189"/>
  <c r="F84" i="189"/>
  <c r="Q84" i="189" s="1"/>
  <c r="R84" i="189" s="1"/>
  <c r="Q188" i="189"/>
  <c r="R188" i="189" s="1"/>
  <c r="F188" i="189"/>
  <c r="F212" i="189"/>
  <c r="Q212" i="189" s="1"/>
  <c r="R212" i="189" s="1"/>
  <c r="Q207" i="189"/>
  <c r="R207" i="189" s="1"/>
  <c r="F207" i="189"/>
  <c r="F40" i="189"/>
  <c r="Q40" i="189" s="1"/>
  <c r="R40" i="189" s="1"/>
  <c r="F82" i="189"/>
  <c r="Q82" i="189" s="1"/>
  <c r="R82" i="189" s="1"/>
  <c r="F289" i="189"/>
  <c r="Q289" i="189" s="1"/>
  <c r="R289" i="189" s="1"/>
  <c r="F199" i="189"/>
  <c r="F52" i="189"/>
  <c r="Q52" i="189" s="1"/>
  <c r="R52" i="189" s="1"/>
  <c r="F202" i="189"/>
  <c r="Q202" i="189" s="1"/>
  <c r="R202" i="189" s="1"/>
  <c r="F276" i="189"/>
  <c r="Q276" i="189" s="1"/>
  <c r="R276" i="189" s="1"/>
  <c r="Q34" i="189"/>
  <c r="R34" i="189" s="1"/>
  <c r="F34" i="189"/>
  <c r="F258" i="189"/>
  <c r="Q258" i="189" s="1"/>
  <c r="R258" i="189" s="1"/>
  <c r="Q161" i="189"/>
  <c r="R161" i="189" s="1"/>
  <c r="F161" i="189"/>
  <c r="Q198" i="189"/>
  <c r="R198" i="189" s="1"/>
  <c r="F198" i="189"/>
  <c r="F103" i="189"/>
  <c r="Q103" i="189" s="1"/>
  <c r="R103" i="189" s="1"/>
  <c r="F111" i="189"/>
  <c r="Q111" i="189" s="1"/>
  <c r="R111" i="189" s="1"/>
  <c r="F177" i="189"/>
  <c r="Q177" i="189" s="1"/>
  <c r="R177" i="189" s="1"/>
  <c r="F87" i="189"/>
  <c r="Q87" i="189" s="1"/>
  <c r="R87" i="189" s="1"/>
  <c r="F306" i="189"/>
  <c r="Q306" i="189" s="1"/>
  <c r="R306" i="189" s="1"/>
  <c r="F96" i="189"/>
  <c r="Q96" i="189" s="1"/>
  <c r="R96" i="189" s="1"/>
  <c r="F280" i="189"/>
  <c r="F24" i="189"/>
  <c r="Q24" i="189" s="1"/>
  <c r="R24" i="189" s="1"/>
  <c r="L23" i="189"/>
  <c r="Q23" i="189" s="1"/>
  <c r="R23" i="189" s="1"/>
  <c r="M23" i="189"/>
  <c r="P23" i="189" s="1"/>
  <c r="Q159" i="189"/>
  <c r="R159" i="189" s="1"/>
  <c r="F159" i="189"/>
  <c r="F374" i="189"/>
  <c r="Q374" i="189" s="1"/>
  <c r="R374" i="189" s="1"/>
  <c r="F53" i="189"/>
  <c r="Q53" i="189" s="1"/>
  <c r="R53" i="189" s="1"/>
  <c r="F39" i="189"/>
  <c r="F191" i="189"/>
  <c r="Q191" i="189" s="1"/>
  <c r="R191" i="189" s="1"/>
  <c r="F316" i="189"/>
  <c r="Q316" i="189" s="1"/>
  <c r="R316" i="189" s="1"/>
  <c r="F271" i="189"/>
  <c r="Q271" i="189" s="1"/>
  <c r="R271" i="189" s="1"/>
  <c r="F69" i="189"/>
  <c r="F292" i="189"/>
  <c r="Q292" i="189" s="1"/>
  <c r="R292" i="189" s="1"/>
  <c r="F314" i="189"/>
  <c r="L26" i="189"/>
  <c r="Q26" i="189" s="1"/>
  <c r="R26" i="189" s="1"/>
  <c r="M26" i="189"/>
  <c r="P26" i="189" s="1"/>
  <c r="F267" i="189"/>
  <c r="Q267" i="189" s="1"/>
  <c r="R267" i="189" s="1"/>
  <c r="Q340" i="189"/>
  <c r="R340" i="189" s="1"/>
  <c r="F340" i="189"/>
  <c r="F178" i="189"/>
  <c r="Q178" i="189" s="1"/>
  <c r="R178" i="189" s="1"/>
  <c r="L31" i="189"/>
  <c r="Q31" i="189" s="1"/>
  <c r="R31" i="189" s="1"/>
  <c r="M31" i="189"/>
  <c r="P31" i="189" s="1"/>
  <c r="F184" i="189"/>
  <c r="M30" i="189"/>
  <c r="P30" i="189" s="1"/>
  <c r="L30" i="189"/>
  <c r="Q30" i="189" s="1"/>
  <c r="R30" i="189" s="1"/>
  <c r="F287" i="189"/>
  <c r="Q287" i="189" s="1"/>
  <c r="R287" i="189" s="1"/>
  <c r="F357" i="189"/>
  <c r="Q357" i="189"/>
  <c r="R357" i="189" s="1"/>
  <c r="F333" i="189"/>
  <c r="Q333" i="189" s="1"/>
  <c r="R333" i="189" s="1"/>
  <c r="F57" i="189"/>
  <c r="Q57" i="189" s="1"/>
  <c r="R57" i="189" s="1"/>
  <c r="F305" i="189"/>
  <c r="Q305" i="189" s="1"/>
  <c r="R305" i="189" s="1"/>
  <c r="F185" i="189"/>
  <c r="Q185" i="189" s="1"/>
  <c r="R185" i="189" s="1"/>
  <c r="F317" i="189"/>
  <c r="Q317" i="189" s="1"/>
  <c r="R317" i="189" s="1"/>
  <c r="F55" i="189"/>
  <c r="Q55" i="189" s="1"/>
  <c r="R55" i="189" s="1"/>
  <c r="F170" i="189"/>
  <c r="F270" i="189"/>
  <c r="Q270" i="189" s="1"/>
  <c r="R270" i="189" s="1"/>
  <c r="F105" i="189"/>
  <c r="Q321" i="189"/>
  <c r="R321" i="189" s="1"/>
  <c r="F321" i="189"/>
  <c r="F156" i="189"/>
  <c r="Q142" i="189"/>
  <c r="R142" i="189" s="1"/>
  <c r="F142" i="189"/>
  <c r="Q68" i="189"/>
  <c r="R68" i="189" s="1"/>
  <c r="F68" i="189"/>
  <c r="F360" i="189"/>
  <c r="Q360" i="189" s="1"/>
  <c r="R360" i="189" s="1"/>
  <c r="F97" i="189"/>
  <c r="F70" i="189"/>
  <c r="Q70" i="189" s="1"/>
  <c r="R70" i="189" s="1"/>
  <c r="F288" i="189"/>
  <c r="F228" i="189"/>
  <c r="Q228" i="189" s="1"/>
  <c r="R228" i="189" s="1"/>
  <c r="F253" i="189"/>
  <c r="F134" i="189"/>
  <c r="Q134" i="189" s="1"/>
  <c r="R134" i="189" s="1"/>
  <c r="Q367" i="189"/>
  <c r="R367" i="189" s="1"/>
  <c r="L367" i="189"/>
  <c r="M367" i="189"/>
  <c r="P367" i="189" s="1"/>
  <c r="F59" i="189"/>
  <c r="Q59" i="189" s="1"/>
  <c r="R59" i="189" s="1"/>
  <c r="M16" i="189"/>
  <c r="P16" i="189" s="1"/>
  <c r="L16" i="189"/>
  <c r="Q16" i="189" s="1"/>
  <c r="R16" i="189" s="1"/>
  <c r="F165" i="189"/>
  <c r="Q165" i="189"/>
  <c r="R165" i="189" s="1"/>
  <c r="F261" i="189"/>
  <c r="Q261" i="189" s="1"/>
  <c r="R261" i="189" s="1"/>
  <c r="Q136" i="189"/>
  <c r="R136" i="189" s="1"/>
  <c r="F136" i="189"/>
  <c r="F350" i="189"/>
  <c r="F147" i="189"/>
  <c r="Q147" i="189" s="1"/>
  <c r="R147" i="189" s="1"/>
  <c r="F89" i="189"/>
  <c r="Q89" i="189" s="1"/>
  <c r="R89" i="189" s="1"/>
  <c r="F255" i="189"/>
  <c r="Q255" i="189" s="1"/>
  <c r="R255" i="189" s="1"/>
  <c r="F133" i="189"/>
  <c r="F240" i="189"/>
  <c r="F322" i="189"/>
  <c r="Q322" i="189" s="1"/>
  <c r="R322" i="189" s="1"/>
  <c r="M21" i="189"/>
  <c r="P21" i="189" s="1"/>
  <c r="L21" i="189"/>
  <c r="Q21" i="189" s="1"/>
  <c r="R21" i="189" s="1"/>
  <c r="F100" i="189"/>
  <c r="F282" i="189"/>
  <c r="F248" i="189"/>
  <c r="Q248" i="189" s="1"/>
  <c r="R248" i="189" s="1"/>
  <c r="L33" i="189"/>
  <c r="Q33" i="189" s="1"/>
  <c r="R33" i="189" s="1"/>
  <c r="M33" i="189"/>
  <c r="P33" i="189" s="1"/>
  <c r="Q189" i="189"/>
  <c r="R189" i="189" s="1"/>
  <c r="F189" i="189"/>
  <c r="F173" i="189"/>
  <c r="F112" i="189"/>
  <c r="Q112" i="189" s="1"/>
  <c r="R112" i="189" s="1"/>
  <c r="F172" i="189"/>
  <c r="Q172" i="189" s="1"/>
  <c r="R172" i="189" s="1"/>
  <c r="F355" i="189"/>
  <c r="Q355" i="189" s="1"/>
  <c r="R355" i="189" s="1"/>
  <c r="F313" i="189"/>
  <c r="Q313" i="189" s="1"/>
  <c r="R313" i="189" s="1"/>
  <c r="F143" i="189"/>
  <c r="Q143" i="189" s="1"/>
  <c r="R143" i="189" s="1"/>
  <c r="Q131" i="189"/>
  <c r="R131" i="189" s="1"/>
  <c r="F131" i="189"/>
  <c r="F110" i="189"/>
  <c r="Q110" i="189" s="1"/>
  <c r="R110" i="189" s="1"/>
  <c r="L49" i="189"/>
  <c r="Q49" i="189" s="1"/>
  <c r="R49" i="189" s="1"/>
  <c r="M49" i="189"/>
  <c r="P49" i="189" s="1"/>
  <c r="F227" i="189"/>
  <c r="Q227" i="189" s="1"/>
  <c r="R227" i="189" s="1"/>
  <c r="Q361" i="189"/>
  <c r="R361" i="189" s="1"/>
  <c r="F361" i="189"/>
  <c r="F295" i="189"/>
  <c r="F232" i="189"/>
  <c r="Q232" i="189" s="1"/>
  <c r="R232" i="189" s="1"/>
  <c r="F352" i="189"/>
  <c r="Q352" i="189" s="1"/>
  <c r="R352" i="189" s="1"/>
  <c r="F27" i="189"/>
  <c r="Q27" i="189" s="1"/>
  <c r="R27" i="189" s="1"/>
  <c r="F135" i="189"/>
  <c r="F279" i="189"/>
  <c r="Q279" i="189" s="1"/>
  <c r="R279" i="189" s="1"/>
  <c r="F247" i="189"/>
  <c r="Q247" i="189" s="1"/>
  <c r="R247" i="189" s="1"/>
  <c r="Q338" i="189"/>
  <c r="R338" i="189" s="1"/>
  <c r="F338" i="189"/>
  <c r="F263" i="189"/>
  <c r="Q263" i="189" s="1"/>
  <c r="R263" i="189" s="1"/>
  <c r="F162" i="189"/>
  <c r="Q162" i="189" s="1"/>
  <c r="R162" i="189" s="1"/>
  <c r="F345" i="189"/>
  <c r="Q345" i="189" s="1"/>
  <c r="R345" i="189" s="1"/>
  <c r="F217" i="189"/>
  <c r="Q217" i="189" s="1"/>
  <c r="R217" i="189" s="1"/>
  <c r="Q336" i="189"/>
  <c r="R336" i="189" s="1"/>
  <c r="F336" i="189"/>
  <c r="F180" i="189"/>
  <c r="Q180" i="189" s="1"/>
  <c r="R180" i="189" s="1"/>
  <c r="F11" i="189"/>
  <c r="F204" i="189"/>
  <c r="Q204" i="189" s="1"/>
  <c r="R204" i="189" s="1"/>
  <c r="F331" i="189"/>
  <c r="Q331" i="189" s="1"/>
  <c r="R331" i="189" s="1"/>
  <c r="F346" i="189"/>
  <c r="Q346" i="189" s="1"/>
  <c r="R346" i="189" s="1"/>
  <c r="F312" i="189"/>
  <c r="Q312" i="189" s="1"/>
  <c r="R312" i="189" s="1"/>
  <c r="F195" i="189"/>
  <c r="Q195" i="189" s="1"/>
  <c r="R195" i="189" s="1"/>
  <c r="F365" i="189"/>
  <c r="Q365" i="189" s="1"/>
  <c r="R365" i="189" s="1"/>
  <c r="F213" i="189"/>
  <c r="Q213" i="189" s="1"/>
  <c r="R213" i="189" s="1"/>
  <c r="M65" i="189"/>
  <c r="P65" i="189" s="1"/>
  <c r="L65" i="189"/>
  <c r="Q65" i="189" s="1"/>
  <c r="R65" i="189" s="1"/>
  <c r="Q224" i="189"/>
  <c r="R224" i="189" s="1"/>
  <c r="F224" i="189"/>
  <c r="F19" i="189"/>
  <c r="Q19" i="189" s="1"/>
  <c r="R19" i="189" s="1"/>
  <c r="F13" i="189"/>
  <c r="F164" i="189"/>
  <c r="Q164" i="189" s="1"/>
  <c r="R164" i="189" s="1"/>
  <c r="F167" i="189"/>
  <c r="F273" i="189"/>
  <c r="Q273" i="189" s="1"/>
  <c r="R273" i="189" s="1"/>
  <c r="F269" i="189"/>
  <c r="F250" i="189"/>
  <c r="F138" i="189"/>
  <c r="Q183" i="189"/>
  <c r="R183" i="189" s="1"/>
  <c r="F183" i="189"/>
  <c r="Q358" i="189"/>
  <c r="R358" i="189" s="1"/>
  <c r="L358" i="189"/>
  <c r="M358" i="189"/>
  <c r="P358" i="189" s="1"/>
  <c r="F145" i="189"/>
  <c r="Q145" i="189" s="1"/>
  <c r="R145" i="189" s="1"/>
  <c r="Q229" i="189"/>
  <c r="R229" i="189" s="1"/>
  <c r="F229" i="189"/>
  <c r="F128" i="189"/>
  <c r="Q128" i="189" s="1"/>
  <c r="R128" i="189" s="1"/>
  <c r="F353" i="189"/>
  <c r="Q353" i="189" s="1"/>
  <c r="R353" i="189" s="1"/>
  <c r="F130" i="189"/>
  <c r="Q130" i="189" s="1"/>
  <c r="R130" i="189" s="1"/>
  <c r="F37" i="189"/>
  <c r="F290" i="189"/>
  <c r="Q290" i="189" s="1"/>
  <c r="R290" i="189" s="1"/>
  <c r="F284" i="189"/>
  <c r="Q284" i="189" s="1"/>
  <c r="R284" i="189" s="1"/>
  <c r="F92" i="189"/>
  <c r="Q92" i="189" s="1"/>
  <c r="R92" i="189" s="1"/>
  <c r="F148" i="189"/>
  <c r="Q148" i="189" s="1"/>
  <c r="R148" i="189" s="1"/>
  <c r="F341" i="189"/>
  <c r="Q341" i="189" s="1"/>
  <c r="R341" i="189" s="1"/>
  <c r="F264" i="189"/>
  <c r="Q264" i="189" s="1"/>
  <c r="R264" i="189" s="1"/>
  <c r="F36" i="189"/>
  <c r="Q36" i="189" s="1"/>
  <c r="R36" i="189" s="1"/>
  <c r="M44" i="189"/>
  <c r="P44" i="189" s="1"/>
  <c r="L44" i="189"/>
  <c r="Q44" i="189" s="1"/>
  <c r="R44" i="189" s="1"/>
  <c r="F235" i="189"/>
  <c r="Q235" i="189" s="1"/>
  <c r="R235" i="189" s="1"/>
  <c r="F277" i="189"/>
  <c r="Q277" i="189" s="1"/>
  <c r="R277" i="189" s="1"/>
  <c r="F359" i="189"/>
  <c r="Q359" i="189" s="1"/>
  <c r="R359" i="189" s="1"/>
  <c r="M43" i="189"/>
  <c r="P43" i="189" s="1"/>
  <c r="L43" i="189"/>
  <c r="Q43" i="189" s="1"/>
  <c r="R43" i="189" s="1"/>
  <c r="Q311" i="189"/>
  <c r="R311" i="189" s="1"/>
  <c r="F311" i="189"/>
  <c r="F158" i="189"/>
  <c r="Q158" i="189" s="1"/>
  <c r="R158" i="189" s="1"/>
  <c r="F139" i="189"/>
  <c r="Q139" i="189" s="1"/>
  <c r="R139" i="189" s="1"/>
  <c r="F93" i="189"/>
  <c r="Q93" i="189" s="1"/>
  <c r="R93" i="189" s="1"/>
  <c r="F368" i="189"/>
  <c r="Q368" i="189" s="1"/>
  <c r="R368" i="189" s="1"/>
  <c r="F344" i="189"/>
  <c r="Q344" i="189" s="1"/>
  <c r="R344" i="189" s="1"/>
  <c r="F216" i="189"/>
  <c r="Q216" i="189" s="1"/>
  <c r="R216" i="189" s="1"/>
  <c r="F371" i="189"/>
  <c r="Q371" i="189" s="1"/>
  <c r="R371" i="189" s="1"/>
  <c r="F193" i="189"/>
  <c r="Q193" i="189" s="1"/>
  <c r="R193" i="189" s="1"/>
  <c r="F281" i="189"/>
  <c r="Q281" i="189" s="1"/>
  <c r="R281" i="189" s="1"/>
  <c r="L66" i="189"/>
  <c r="Q66" i="189" s="1"/>
  <c r="R66" i="189" s="1"/>
  <c r="M66" i="189"/>
  <c r="P66" i="189" s="1"/>
  <c r="F219" i="189"/>
  <c r="Q219" i="189" s="1"/>
  <c r="R219" i="189" s="1"/>
  <c r="Q117" i="189"/>
  <c r="R117" i="189" s="1"/>
  <c r="F117" i="189"/>
  <c r="F262" i="189"/>
  <c r="Q262" i="189" s="1"/>
  <c r="R262" i="189" s="1"/>
  <c r="F81" i="189"/>
  <c r="Q81" i="189" s="1"/>
  <c r="R81" i="189" s="1"/>
  <c r="F54" i="189"/>
  <c r="Q54" i="189" s="1"/>
  <c r="R54" i="189" s="1"/>
  <c r="Q51" i="189"/>
  <c r="R51" i="189" s="1"/>
  <c r="F51" i="189"/>
  <c r="F294" i="189"/>
  <c r="F75" i="189"/>
  <c r="D173" i="161"/>
  <c r="BL172" i="161"/>
  <c r="C172" i="161"/>
  <c r="AI82" i="161"/>
  <c r="AG297" i="161"/>
  <c r="AI297" i="161"/>
  <c r="AI340" i="161"/>
  <c r="AG340" i="161"/>
  <c r="AG87" i="161"/>
  <c r="AI87" i="161"/>
  <c r="AG231" i="161"/>
  <c r="AI231" i="161"/>
  <c r="AI199" i="161"/>
  <c r="AG199" i="161"/>
  <c r="AG93" i="161"/>
  <c r="AI93" i="161"/>
  <c r="AG305" i="161"/>
  <c r="AI305" i="161"/>
  <c r="AG210" i="161"/>
  <c r="AI210" i="161"/>
  <c r="AG185" i="161"/>
  <c r="AI185" i="161"/>
  <c r="AI131" i="161"/>
  <c r="AG131" i="161"/>
  <c r="AG217" i="161"/>
  <c r="AI217" i="161"/>
  <c r="AI187" i="161"/>
  <c r="AG187" i="161"/>
  <c r="AI196" i="161"/>
  <c r="AG196" i="161"/>
  <c r="AI242" i="161"/>
  <c r="AG242" i="161"/>
  <c r="AG91" i="161"/>
  <c r="AI91" i="161"/>
  <c r="V329" i="161"/>
  <c r="W330" i="161"/>
  <c r="W329" i="161" s="1"/>
  <c r="AI58" i="161"/>
  <c r="AG58" i="161"/>
  <c r="AI277" i="161"/>
  <c r="AG277" i="161"/>
  <c r="BM361" i="161"/>
  <c r="BT361" i="161"/>
  <c r="BU361" i="161" s="1"/>
  <c r="BR361" i="161" s="1"/>
  <c r="BS361" i="161" s="1"/>
  <c r="BP361" i="161"/>
  <c r="BQ361" i="161" s="1"/>
  <c r="BN361" i="161" s="1"/>
  <c r="BO361" i="161" s="1"/>
  <c r="AI98" i="161"/>
  <c r="AG98" i="161"/>
  <c r="AI246" i="161"/>
  <c r="AG246" i="161"/>
  <c r="AG169" i="161"/>
  <c r="AI169" i="161"/>
  <c r="AG276" i="161"/>
  <c r="AI276" i="161"/>
  <c r="AI130" i="161"/>
  <c r="AG130" i="161"/>
  <c r="AI327" i="161"/>
  <c r="AG327" i="161"/>
  <c r="AI38" i="161"/>
  <c r="AG38" i="161"/>
  <c r="AI346" i="161"/>
  <c r="AG346" i="161"/>
  <c r="AI222" i="161"/>
  <c r="AG222" i="161"/>
  <c r="V104" i="161"/>
  <c r="W105" i="161"/>
  <c r="W104" i="161" s="1"/>
  <c r="W255" i="161"/>
  <c r="W254" i="161" s="1"/>
  <c r="V254" i="161"/>
  <c r="AI178" i="161"/>
  <c r="AG178" i="161"/>
  <c r="AG71" i="161"/>
  <c r="AI71" i="161"/>
  <c r="AI54" i="161"/>
  <c r="AG54" i="161"/>
  <c r="AI142" i="161"/>
  <c r="AG142" i="161"/>
  <c r="W304" i="161"/>
  <c r="W303" i="161" s="1"/>
  <c r="V303" i="161"/>
  <c r="AI174" i="161"/>
  <c r="AG174" i="161"/>
  <c r="AG182" i="161"/>
  <c r="AI182" i="161"/>
  <c r="AI313" i="161"/>
  <c r="AG313" i="161"/>
  <c r="AI107" i="161"/>
  <c r="AG107" i="161"/>
  <c r="AG159" i="161"/>
  <c r="AI159" i="161"/>
  <c r="AI322" i="161"/>
  <c r="AG322" i="161"/>
  <c r="W112" i="161"/>
  <c r="W111" i="161" s="1"/>
  <c r="V111" i="161"/>
  <c r="AI75" i="161"/>
  <c r="AG75" i="161"/>
  <c r="AI285" i="161"/>
  <c r="AG285" i="161"/>
  <c r="AG67" i="161"/>
  <c r="AI67" i="161"/>
  <c r="AI62" i="161"/>
  <c r="AG62" i="161"/>
  <c r="AG113" i="161"/>
  <c r="AI113" i="161"/>
  <c r="AG228" i="161"/>
  <c r="AI228" i="161"/>
  <c r="AI105" i="161"/>
  <c r="AG105" i="161"/>
  <c r="AI46" i="161"/>
  <c r="AG46" i="161"/>
  <c r="AI307" i="161"/>
  <c r="AG307" i="161"/>
  <c r="AI74" i="161"/>
  <c r="AG74" i="161"/>
  <c r="AG41" i="161"/>
  <c r="AI41" i="161"/>
  <c r="AI370" i="161"/>
  <c r="AG370" i="161"/>
  <c r="AG179" i="161"/>
  <c r="AI179" i="161"/>
  <c r="AG213" i="161"/>
  <c r="AI213" i="161"/>
  <c r="W251" i="161"/>
  <c r="W250" i="161" s="1"/>
  <c r="V250" i="161"/>
  <c r="AI357" i="161"/>
  <c r="AG357" i="161"/>
  <c r="AG20" i="161"/>
  <c r="AI20" i="161"/>
  <c r="AI339" i="161"/>
  <c r="AG339" i="161"/>
  <c r="AG243" i="161"/>
  <c r="AI243" i="161"/>
  <c r="AG306" i="161"/>
  <c r="AI306" i="161"/>
  <c r="AG263" i="161"/>
  <c r="AI263" i="161"/>
  <c r="AI367" i="161"/>
  <c r="AG367" i="161"/>
  <c r="AG27" i="161"/>
  <c r="AI27" i="161"/>
  <c r="AI134" i="161"/>
  <c r="AG134" i="161"/>
  <c r="AI294" i="161"/>
  <c r="AG294" i="161"/>
  <c r="AI40" i="161"/>
  <c r="AG40" i="161"/>
  <c r="AI249" i="161"/>
  <c r="AG249" i="161"/>
  <c r="AI373" i="161"/>
  <c r="AG373" i="161"/>
  <c r="AG258" i="161"/>
  <c r="AI258" i="161"/>
  <c r="AG323" i="161"/>
  <c r="AI323" i="161"/>
  <c r="AI59" i="161"/>
  <c r="AG59" i="161"/>
  <c r="AG145" i="161"/>
  <c r="AI145" i="161"/>
  <c r="AI344" i="161"/>
  <c r="AG344" i="161"/>
  <c r="AI34" i="161"/>
  <c r="AG34" i="161"/>
  <c r="AI114" i="161"/>
  <c r="AG114" i="161"/>
  <c r="AG115" i="161"/>
  <c r="AI115" i="161"/>
  <c r="AG224" i="161"/>
  <c r="AI224" i="161"/>
  <c r="AI106" i="161"/>
  <c r="AG106" i="161"/>
  <c r="AI352" i="161"/>
  <c r="AG352" i="161"/>
  <c r="AG247" i="161"/>
  <c r="AI247" i="161"/>
  <c r="AI152" i="161"/>
  <c r="AG152" i="161"/>
  <c r="AI190" i="161"/>
  <c r="AG190" i="161"/>
  <c r="AI375" i="161"/>
  <c r="AG375" i="161"/>
  <c r="AI349" i="161"/>
  <c r="AG349" i="161"/>
  <c r="AI291" i="161"/>
  <c r="AG291" i="161"/>
  <c r="AG261" i="161"/>
  <c r="AI261" i="161"/>
  <c r="W226" i="161"/>
  <c r="W225" i="161" s="1"/>
  <c r="V225" i="161"/>
  <c r="AI37" i="161"/>
  <c r="AG37" i="161"/>
  <c r="AG211" i="161"/>
  <c r="AI211" i="161"/>
  <c r="AG78" i="161"/>
  <c r="AI78" i="161"/>
  <c r="AI372" i="161"/>
  <c r="AG372" i="161"/>
  <c r="AG24" i="161"/>
  <c r="AI24" i="161"/>
  <c r="AG86" i="161"/>
  <c r="AI86" i="161"/>
  <c r="AI289" i="161"/>
  <c r="AG289" i="161"/>
  <c r="AI64" i="161"/>
  <c r="AG64" i="161"/>
  <c r="AG255" i="161"/>
  <c r="AI255" i="161"/>
  <c r="AI135" i="161"/>
  <c r="AG135" i="161"/>
  <c r="AI342" i="161"/>
  <c r="AG342" i="161"/>
  <c r="AG321" i="161"/>
  <c r="AI321" i="161"/>
  <c r="AI218" i="161"/>
  <c r="AG218" i="161"/>
  <c r="AI76" i="161"/>
  <c r="AG76" i="161"/>
  <c r="AI205" i="161"/>
  <c r="AG205" i="161"/>
  <c r="AI273" i="161"/>
  <c r="AG273" i="161"/>
  <c r="V180" i="161"/>
  <c r="W181" i="161"/>
  <c r="W180" i="161" s="1"/>
  <c r="AI353" i="161"/>
  <c r="AG353" i="161"/>
  <c r="AI311" i="161"/>
  <c r="AG311" i="161"/>
  <c r="AI348" i="161"/>
  <c r="AG348" i="161"/>
  <c r="AI309" i="161"/>
  <c r="AG309" i="161"/>
  <c r="AI32" i="161"/>
  <c r="AG32" i="161"/>
  <c r="AG167" i="161"/>
  <c r="AI167" i="161"/>
  <c r="AI275" i="161"/>
  <c r="AG275" i="161"/>
  <c r="AI227" i="161"/>
  <c r="AG227" i="161"/>
  <c r="AG68" i="161"/>
  <c r="AI68" i="161"/>
  <c r="AG281" i="161"/>
  <c r="AI281" i="161"/>
  <c r="AI123" i="161"/>
  <c r="AG123" i="161"/>
  <c r="W265" i="161"/>
  <c r="W264" i="161" s="1"/>
  <c r="V264" i="161"/>
  <c r="V298" i="161"/>
  <c r="W299" i="161"/>
  <c r="W298" i="161" s="1"/>
  <c r="AG252" i="161"/>
  <c r="AI252" i="161"/>
  <c r="AI60" i="161"/>
  <c r="AG60" i="161"/>
  <c r="AI133" i="161"/>
  <c r="AG133" i="161"/>
  <c r="AI198" i="161"/>
  <c r="AG198" i="161"/>
  <c r="AI80" i="161"/>
  <c r="AG80" i="161"/>
  <c r="AG259" i="161"/>
  <c r="AI259" i="161"/>
  <c r="AG110" i="161"/>
  <c r="AI110" i="161"/>
  <c r="AI132" i="161"/>
  <c r="AG132" i="161"/>
  <c r="AI30" i="161"/>
  <c r="AG30" i="161"/>
  <c r="AI208" i="161"/>
  <c r="AG208" i="161"/>
  <c r="AI364" i="161"/>
  <c r="AG364" i="161"/>
  <c r="AI117" i="161"/>
  <c r="AG117" i="161"/>
  <c r="AI183" i="161"/>
  <c r="AG183" i="161"/>
  <c r="AG89" i="161"/>
  <c r="AI89" i="161"/>
  <c r="AI176" i="161"/>
  <c r="AG176" i="161"/>
  <c r="AI253" i="161"/>
  <c r="AG253" i="161"/>
  <c r="AI63" i="161"/>
  <c r="AG63" i="161"/>
  <c r="AI26" i="161"/>
  <c r="AG26" i="161"/>
  <c r="AG241" i="161"/>
  <c r="AI241" i="161"/>
  <c r="AI358" i="161"/>
  <c r="AG358" i="161"/>
  <c r="AI204" i="161"/>
  <c r="AG204" i="161"/>
  <c r="AI202" i="161"/>
  <c r="AG202" i="161"/>
  <c r="Y303" i="161"/>
  <c r="AA303" i="161" s="1"/>
  <c r="R303" i="161"/>
  <c r="Q303" i="161"/>
  <c r="AE303" i="161" s="1"/>
  <c r="Z303" i="161"/>
  <c r="AB303" i="161" s="1"/>
  <c r="P298" i="161" a="1"/>
  <c r="P298" i="161" s="1"/>
  <c r="AI143" i="161"/>
  <c r="AG143" i="161"/>
  <c r="AG177" i="161"/>
  <c r="AI177" i="161"/>
  <c r="AI156" i="161"/>
  <c r="AG156" i="161"/>
  <c r="AG330" i="161"/>
  <c r="AI330" i="161"/>
  <c r="AI374" i="161"/>
  <c r="AG374" i="161"/>
  <c r="AG197" i="161"/>
  <c r="AI197" i="161"/>
  <c r="AI350" i="161"/>
  <c r="AG350" i="161"/>
  <c r="AI286" i="161"/>
  <c r="AG286" i="161"/>
  <c r="AI139" i="161"/>
  <c r="AG139" i="161"/>
  <c r="AG260" i="161"/>
  <c r="AI260" i="161"/>
  <c r="AI280" i="161"/>
  <c r="AG280" i="161"/>
  <c r="AG379" i="161"/>
  <c r="AI379" i="161"/>
  <c r="AG61" i="161"/>
  <c r="AI61" i="161"/>
  <c r="AI22" i="161"/>
  <c r="AG22" i="161"/>
  <c r="AI268" i="161"/>
  <c r="AG268" i="161"/>
  <c r="AI300" i="161"/>
  <c r="AG300" i="161"/>
  <c r="AI278" i="161"/>
  <c r="AG278" i="161"/>
  <c r="AG19" i="161"/>
  <c r="AI19" i="161"/>
  <c r="AI223" i="161"/>
  <c r="AG223" i="161"/>
  <c r="AI244" i="161"/>
  <c r="AG244" i="161"/>
  <c r="AI288" i="161"/>
  <c r="AG288" i="161"/>
  <c r="AI124" i="161"/>
  <c r="AG124" i="161"/>
  <c r="AI192" i="161"/>
  <c r="AG192" i="161"/>
  <c r="AG296" i="161"/>
  <c r="AI296" i="161"/>
  <c r="AI121" i="161"/>
  <c r="AG121" i="161"/>
  <c r="AI378" i="161"/>
  <c r="AG378" i="161"/>
  <c r="AG175" i="161"/>
  <c r="AI175" i="161"/>
  <c r="V79" i="161"/>
  <c r="W80" i="161"/>
  <c r="W79" i="161" s="1"/>
  <c r="AG363" i="161"/>
  <c r="AI363" i="161"/>
  <c r="AI162" i="161"/>
  <c r="AG162" i="161"/>
  <c r="AI347" i="161"/>
  <c r="AG347" i="161"/>
  <c r="AG336" i="161"/>
  <c r="AI336" i="161"/>
  <c r="AG221" i="161"/>
  <c r="AI221" i="161"/>
  <c r="AG317" i="161"/>
  <c r="AI317" i="161"/>
  <c r="AI200" i="161"/>
  <c r="AG200" i="161"/>
  <c r="AI94" i="161"/>
  <c r="AG94" i="161"/>
  <c r="W56" i="161"/>
  <c r="W55" i="161" s="1"/>
  <c r="V55" i="161"/>
  <c r="AI302" i="161"/>
  <c r="AG302" i="161"/>
  <c r="AG116" i="161"/>
  <c r="AI116" i="161"/>
  <c r="AI262" i="161"/>
  <c r="AG262" i="161"/>
  <c r="AI368" i="161"/>
  <c r="AG368" i="161"/>
  <c r="AI284" i="161"/>
  <c r="AG284" i="161"/>
  <c r="AI274" i="161"/>
  <c r="AG274" i="161"/>
  <c r="AI50" i="161"/>
  <c r="AG50" i="161"/>
  <c r="AI338" i="161"/>
  <c r="AG338" i="161"/>
  <c r="W280" i="161"/>
  <c r="W279" i="161" s="1"/>
  <c r="V279" i="161"/>
  <c r="AI138" i="161"/>
  <c r="AG138" i="161"/>
  <c r="AI267" i="161"/>
  <c r="AG267" i="161"/>
  <c r="AG245" i="161"/>
  <c r="AI245" i="161"/>
  <c r="AG209" i="161"/>
  <c r="AI209" i="161"/>
  <c r="AG287" i="161"/>
  <c r="AI287" i="161"/>
  <c r="AI31" i="161"/>
  <c r="AG31" i="161"/>
  <c r="AI144" i="161"/>
  <c r="AG144" i="161"/>
  <c r="AG83" i="161"/>
  <c r="AI83" i="161"/>
  <c r="AG57" i="161"/>
  <c r="AI57" i="161"/>
  <c r="AI35" i="161"/>
  <c r="AG35" i="161"/>
  <c r="AI299" i="161"/>
  <c r="AG299" i="161"/>
  <c r="AI237" i="161"/>
  <c r="AG237" i="161"/>
  <c r="AI240" i="161"/>
  <c r="AG240" i="161"/>
  <c r="AG165" i="161"/>
  <c r="AI165" i="161"/>
  <c r="AI148" i="161"/>
  <c r="AG148" i="161"/>
  <c r="AG171" i="161"/>
  <c r="AI171" i="161"/>
  <c r="AI51" i="161"/>
  <c r="AG51" i="161"/>
  <c r="AI118" i="161"/>
  <c r="AG118" i="161"/>
  <c r="AI18" i="161"/>
  <c r="AG18" i="161"/>
  <c r="AG282" i="161"/>
  <c r="AI282" i="161"/>
  <c r="AG320" i="161"/>
  <c r="AI320" i="161"/>
  <c r="AI102" i="161"/>
  <c r="AG102" i="161"/>
  <c r="V52" i="161"/>
  <c r="W53" i="161"/>
  <c r="W52" i="161" s="1"/>
  <c r="AI236" i="161"/>
  <c r="AG236" i="161"/>
  <c r="AG49" i="161"/>
  <c r="AI49" i="161"/>
  <c r="AI207" i="161"/>
  <c r="AG207" i="161"/>
  <c r="AG69" i="161"/>
  <c r="AI69" i="161"/>
  <c r="AI310" i="161"/>
  <c r="AG310" i="161"/>
  <c r="AI21" i="161"/>
  <c r="AG21" i="161"/>
  <c r="AI377" i="161"/>
  <c r="AG377" i="161"/>
  <c r="AG328" i="161"/>
  <c r="AI328" i="161"/>
  <c r="AI108" i="161"/>
  <c r="AG108" i="161"/>
  <c r="AI376" i="161"/>
  <c r="AG376" i="161"/>
  <c r="AI16" i="161"/>
  <c r="AG16" i="161"/>
  <c r="AI96" i="161"/>
  <c r="AG96" i="161"/>
  <c r="AG44" i="161"/>
  <c r="AI44" i="161"/>
  <c r="AI293" i="161"/>
  <c r="AG293" i="161"/>
  <c r="AG97" i="161"/>
  <c r="AI97" i="161"/>
  <c r="AI119" i="161"/>
  <c r="AG119" i="161"/>
  <c r="AG233" i="161"/>
  <c r="AI233" i="161"/>
  <c r="AI201" i="161"/>
  <c r="AG201" i="161"/>
  <c r="AI140" i="161"/>
  <c r="AG140" i="161"/>
  <c r="AI66" i="161"/>
  <c r="AG66" i="161"/>
  <c r="AG283" i="161"/>
  <c r="AI283" i="161"/>
  <c r="AG256" i="161"/>
  <c r="AI256" i="161"/>
  <c r="AI92" i="161"/>
  <c r="AG92" i="161"/>
  <c r="AI45" i="161"/>
  <c r="AG45" i="161"/>
  <c r="AI70" i="161"/>
  <c r="AG70" i="161"/>
  <c r="AI301" i="161"/>
  <c r="AG301" i="161"/>
  <c r="AG355" i="161"/>
  <c r="AI355" i="161"/>
  <c r="W85" i="161"/>
  <c r="W84" i="161" s="1"/>
  <c r="V84" i="161"/>
  <c r="V33" i="161"/>
  <c r="W34" i="161"/>
  <c r="W33" i="161" s="1"/>
  <c r="AG53" i="161"/>
  <c r="AI53" i="161"/>
  <c r="AG157" i="161"/>
  <c r="AI157" i="161"/>
  <c r="AI17" i="161"/>
  <c r="AG17" i="161"/>
  <c r="V361" i="161"/>
  <c r="W362" i="161"/>
  <c r="W361" i="161" s="1"/>
  <c r="AG153" i="161"/>
  <c r="AI153" i="161"/>
  <c r="AG332" i="161"/>
  <c r="AI332" i="161"/>
  <c r="AG315" i="161"/>
  <c r="AI315" i="161"/>
  <c r="AG77" i="161"/>
  <c r="AI77" i="161"/>
  <c r="AI269" i="161"/>
  <c r="AG269" i="161"/>
  <c r="AG43" i="161"/>
  <c r="AI43" i="161"/>
  <c r="AI272" i="161"/>
  <c r="AG272" i="161"/>
  <c r="AI23" i="161"/>
  <c r="AG23" i="161"/>
  <c r="AG36" i="161"/>
  <c r="AI36" i="161"/>
  <c r="AI48" i="161"/>
  <c r="AG48" i="161"/>
  <c r="AI238" i="161"/>
  <c r="AG238" i="161"/>
  <c r="AG257" i="161"/>
  <c r="AI257" i="161"/>
  <c r="AI127" i="161"/>
  <c r="AG127" i="161"/>
  <c r="AG295" i="161"/>
  <c r="AI295" i="161"/>
  <c r="AG15" i="161"/>
  <c r="AI15" i="161"/>
  <c r="AI360" i="161"/>
  <c r="AG360" i="161"/>
  <c r="AI81" i="161"/>
  <c r="AG81" i="161"/>
  <c r="AG100" i="161"/>
  <c r="AI100" i="161"/>
  <c r="AI215" i="161"/>
  <c r="AG215" i="161"/>
  <c r="AI163" i="161"/>
  <c r="AG163" i="161"/>
  <c r="AI290" i="161"/>
  <c r="AG290" i="161"/>
  <c r="AG318" i="161"/>
  <c r="AI318" i="161"/>
  <c r="AI266" i="161"/>
  <c r="AG266" i="161"/>
  <c r="AG101" i="161"/>
  <c r="AI101" i="161"/>
  <c r="AI160" i="161"/>
  <c r="AG160" i="161"/>
  <c r="V219" i="161"/>
  <c r="W220" i="161"/>
  <c r="W219" i="161" s="1"/>
  <c r="AI359" i="161"/>
  <c r="AG359" i="161"/>
  <c r="AI154" i="161"/>
  <c r="AG154" i="161"/>
  <c r="AG173" i="161"/>
  <c r="AI173" i="161"/>
  <c r="AI186" i="161"/>
  <c r="AG186" i="161"/>
  <c r="AI149" i="161"/>
  <c r="AG149" i="161"/>
  <c r="AI88" i="161"/>
  <c r="AG88" i="161"/>
  <c r="AI172" i="161"/>
  <c r="AG172" i="161"/>
  <c r="AG109" i="161"/>
  <c r="AI109" i="161"/>
  <c r="AI150" i="161"/>
  <c r="AG150" i="161"/>
  <c r="AI230" i="161"/>
  <c r="AG230" i="161"/>
  <c r="V25" i="161"/>
  <c r="W26" i="161"/>
  <c r="W25" i="161" s="1"/>
  <c r="AI168" i="161"/>
  <c r="AG168" i="161"/>
  <c r="AG325" i="161"/>
  <c r="AI325" i="161"/>
  <c r="AI120" i="161"/>
  <c r="AG120" i="161"/>
  <c r="AG369" i="161"/>
  <c r="AI369" i="161"/>
  <c r="AG248" i="161"/>
  <c r="AI248" i="161"/>
  <c r="AI334" i="161"/>
  <c r="AG334" i="161"/>
  <c r="AI235" i="161"/>
  <c r="AG235" i="161"/>
  <c r="AI319" i="161"/>
  <c r="AG319" i="161"/>
  <c r="AI292" i="161"/>
  <c r="AG292" i="161"/>
  <c r="AG270" i="161"/>
  <c r="AI270" i="161"/>
  <c r="AI28" i="161"/>
  <c r="AG28" i="161"/>
  <c r="AI189" i="161"/>
  <c r="AG189" i="161"/>
  <c r="AI29" i="161"/>
  <c r="AG29" i="161"/>
  <c r="AG195" i="161"/>
  <c r="AI195" i="161"/>
  <c r="AG161" i="161"/>
  <c r="AI161" i="161"/>
  <c r="AI126" i="161"/>
  <c r="AG126" i="161"/>
  <c r="AI103" i="161"/>
  <c r="AG103" i="161"/>
  <c r="AI137" i="161"/>
  <c r="AG137" i="161"/>
  <c r="AI351" i="161"/>
  <c r="AG351" i="161"/>
  <c r="AG232" i="161"/>
  <c r="AI232" i="161"/>
  <c r="AI365" i="161"/>
  <c r="AG365" i="161"/>
  <c r="AG42" i="161"/>
  <c r="AI42" i="161"/>
  <c r="BM329" i="161"/>
  <c r="BT329" i="161"/>
  <c r="BU329" i="161" s="1"/>
  <c r="BR329" i="161" s="1"/>
  <c r="BS329" i="161" s="1"/>
  <c r="BP329" i="161"/>
  <c r="BQ329" i="161" s="1"/>
  <c r="BN329" i="161" s="1"/>
  <c r="BO329" i="161" s="1"/>
  <c r="V14" i="161"/>
  <c r="D9" i="189" s="1"/>
  <c r="F9" i="189" s="1"/>
  <c r="U380" i="161"/>
  <c r="U481" i="161" s="1"/>
  <c r="AG14" i="161"/>
  <c r="AI14" i="161"/>
  <c r="D356" i="189" l="1"/>
  <c r="D37" i="180"/>
  <c r="D28" i="189"/>
  <c r="D20" i="180"/>
  <c r="D220" i="189"/>
  <c r="D29" i="180"/>
  <c r="D245" i="189"/>
  <c r="D30" i="180"/>
  <c r="D79" i="189"/>
  <c r="D24" i="180"/>
  <c r="D50" i="189"/>
  <c r="D22" i="180"/>
  <c r="D99" i="189"/>
  <c r="D25" i="180"/>
  <c r="D214" i="189"/>
  <c r="D28" i="180"/>
  <c r="D74" i="189"/>
  <c r="D23" i="180"/>
  <c r="D298" i="189"/>
  <c r="D35" i="180"/>
  <c r="D324" i="189"/>
  <c r="D36" i="180"/>
  <c r="D293" i="189"/>
  <c r="D34" i="180"/>
  <c r="D20" i="189"/>
  <c r="D19" i="180"/>
  <c r="D259" i="189"/>
  <c r="D32" i="180"/>
  <c r="D106" i="189"/>
  <c r="D26" i="180"/>
  <c r="D249" i="189"/>
  <c r="D31" i="180"/>
  <c r="D47" i="189"/>
  <c r="D21" i="180"/>
  <c r="D274" i="189"/>
  <c r="D33" i="180"/>
  <c r="D175" i="189"/>
  <c r="Q175" i="189" s="1"/>
  <c r="R175" i="189" s="1"/>
  <c r="D27" i="180"/>
  <c r="F293" i="189"/>
  <c r="Q294" i="189"/>
  <c r="R294" i="189" s="1"/>
  <c r="F50" i="189"/>
  <c r="F28" i="189"/>
  <c r="F214" i="189"/>
  <c r="F356" i="189"/>
  <c r="F259" i="189"/>
  <c r="Q259" i="189" s="1"/>
  <c r="R259" i="189" s="1"/>
  <c r="F220" i="189"/>
  <c r="F8" i="189"/>
  <c r="Q250" i="189"/>
  <c r="R250" i="189" s="1"/>
  <c r="F249" i="189"/>
  <c r="F99" i="189"/>
  <c r="F245" i="189"/>
  <c r="F298" i="189"/>
  <c r="Q298" i="189" s="1"/>
  <c r="R298" i="189" s="1"/>
  <c r="Q325" i="189"/>
  <c r="R325" i="189" s="1"/>
  <c r="F324" i="189"/>
  <c r="Q75" i="189"/>
  <c r="R75" i="189" s="1"/>
  <c r="F74" i="189"/>
  <c r="F79" i="189"/>
  <c r="F175" i="189"/>
  <c r="F274" i="189"/>
  <c r="F106" i="189"/>
  <c r="F20" i="189"/>
  <c r="L294" i="189"/>
  <c r="M294" i="189"/>
  <c r="P294" i="189" s="1"/>
  <c r="L281" i="189"/>
  <c r="M281" i="189"/>
  <c r="P281" i="189" s="1"/>
  <c r="L277" i="189"/>
  <c r="M277" i="189"/>
  <c r="P277" i="189" s="1"/>
  <c r="L264" i="189"/>
  <c r="M264" i="189"/>
  <c r="P264" i="189" s="1"/>
  <c r="L284" i="189"/>
  <c r="M284" i="189"/>
  <c r="P284" i="189" s="1"/>
  <c r="L164" i="189"/>
  <c r="M164" i="189"/>
  <c r="P164" i="189" s="1"/>
  <c r="L247" i="189"/>
  <c r="M247" i="189"/>
  <c r="P247" i="189" s="1"/>
  <c r="L227" i="189"/>
  <c r="M227" i="189"/>
  <c r="P227" i="189" s="1"/>
  <c r="L143" i="189"/>
  <c r="M143" i="189"/>
  <c r="P143" i="189" s="1"/>
  <c r="L248" i="189"/>
  <c r="M248" i="189"/>
  <c r="P248" i="189" s="1"/>
  <c r="L360" i="189"/>
  <c r="M360" i="189"/>
  <c r="P360" i="189" s="1"/>
  <c r="L55" i="189"/>
  <c r="M55" i="189"/>
  <c r="P55" i="189" s="1"/>
  <c r="M57" i="189"/>
  <c r="P57" i="189" s="1"/>
  <c r="L57" i="189"/>
  <c r="L191" i="189"/>
  <c r="M191" i="189"/>
  <c r="P191" i="189" s="1"/>
  <c r="L111" i="189"/>
  <c r="M111" i="189"/>
  <c r="P111" i="189" s="1"/>
  <c r="L40" i="189"/>
  <c r="M40" i="189"/>
  <c r="P40" i="189" s="1"/>
  <c r="M84" i="189"/>
  <c r="P84" i="189" s="1"/>
  <c r="L84" i="189"/>
  <c r="M78" i="189"/>
  <c r="P78" i="189" s="1"/>
  <c r="L78" i="189"/>
  <c r="M278" i="189"/>
  <c r="P278" i="189" s="1"/>
  <c r="L278" i="189"/>
  <c r="L243" i="189"/>
  <c r="M243" i="189"/>
  <c r="P243" i="189" s="1"/>
  <c r="L223" i="189"/>
  <c r="M223" i="189"/>
  <c r="P223" i="189" s="1"/>
  <c r="M102" i="189"/>
  <c r="P102" i="189" s="1"/>
  <c r="L102" i="189"/>
  <c r="L218" i="189"/>
  <c r="M218" i="189"/>
  <c r="P218" i="189" s="1"/>
  <c r="L98" i="189"/>
  <c r="M98" i="189"/>
  <c r="P98" i="189" s="1"/>
  <c r="L127" i="189"/>
  <c r="M127" i="189"/>
  <c r="P127" i="189" s="1"/>
  <c r="L86" i="189"/>
  <c r="M86" i="189"/>
  <c r="P86" i="189" s="1"/>
  <c r="L257" i="189"/>
  <c r="M257" i="189"/>
  <c r="P257" i="189" s="1"/>
  <c r="L101" i="189"/>
  <c r="M101" i="189"/>
  <c r="P101" i="189" s="1"/>
  <c r="L343" i="189"/>
  <c r="M343" i="189"/>
  <c r="P343" i="189" s="1"/>
  <c r="L364" i="189"/>
  <c r="M364" i="189"/>
  <c r="P364" i="189" s="1"/>
  <c r="L307" i="189"/>
  <c r="M307" i="189"/>
  <c r="P307" i="189" s="1"/>
  <c r="L182" i="189"/>
  <c r="M182" i="189"/>
  <c r="P182" i="189" s="1"/>
  <c r="L300" i="189"/>
  <c r="M300" i="189"/>
  <c r="P300" i="189" s="1"/>
  <c r="L18" i="189"/>
  <c r="M18" i="189"/>
  <c r="P18" i="189" s="1"/>
  <c r="M262" i="189"/>
  <c r="P262" i="189" s="1"/>
  <c r="L262" i="189"/>
  <c r="L344" i="189"/>
  <c r="M344" i="189"/>
  <c r="P344" i="189" s="1"/>
  <c r="L158" i="189"/>
  <c r="M158" i="189"/>
  <c r="P158" i="189" s="1"/>
  <c r="M353" i="189"/>
  <c r="P353" i="189" s="1"/>
  <c r="L353" i="189"/>
  <c r="L269" i="189"/>
  <c r="M269" i="189"/>
  <c r="P269" i="189" s="1"/>
  <c r="L13" i="189"/>
  <c r="Q13" i="189" s="1"/>
  <c r="R13" i="189" s="1"/>
  <c r="M13" i="189"/>
  <c r="P13" i="189" s="1"/>
  <c r="M312" i="189"/>
  <c r="P312" i="189" s="1"/>
  <c r="L312" i="189"/>
  <c r="L11" i="189"/>
  <c r="Q11" i="189" s="1"/>
  <c r="R11" i="189" s="1"/>
  <c r="M11" i="189"/>
  <c r="P11" i="189" s="1"/>
  <c r="L345" i="189"/>
  <c r="M345" i="189"/>
  <c r="P345" i="189" s="1"/>
  <c r="M352" i="189"/>
  <c r="P352" i="189" s="1"/>
  <c r="L352" i="189"/>
  <c r="M112" i="189"/>
  <c r="P112" i="189" s="1"/>
  <c r="L112" i="189"/>
  <c r="L322" i="189"/>
  <c r="M322" i="189"/>
  <c r="P322" i="189" s="1"/>
  <c r="M89" i="189"/>
  <c r="P89" i="189" s="1"/>
  <c r="L89" i="189"/>
  <c r="L261" i="189"/>
  <c r="M261" i="189"/>
  <c r="P261" i="189" s="1"/>
  <c r="L288" i="189"/>
  <c r="M288" i="189"/>
  <c r="P288" i="189" s="1"/>
  <c r="L68" i="189"/>
  <c r="M68" i="189"/>
  <c r="P68" i="189" s="1"/>
  <c r="L105" i="189"/>
  <c r="M105" i="189"/>
  <c r="P105" i="189" s="1"/>
  <c r="L184" i="189"/>
  <c r="M184" i="189"/>
  <c r="P184" i="189" s="1"/>
  <c r="L69" i="189"/>
  <c r="Q69" i="189" s="1"/>
  <c r="R69" i="189" s="1"/>
  <c r="M69" i="189"/>
  <c r="P69" i="189" s="1"/>
  <c r="L39" i="189"/>
  <c r="M39" i="189"/>
  <c r="P39" i="189" s="1"/>
  <c r="L34" i="189"/>
  <c r="M34" i="189"/>
  <c r="P34" i="189" s="1"/>
  <c r="L199" i="189"/>
  <c r="M199" i="189"/>
  <c r="P199" i="189" s="1"/>
  <c r="L207" i="189"/>
  <c r="M207" i="189"/>
  <c r="P207" i="189" s="1"/>
  <c r="L237" i="189"/>
  <c r="M237" i="189"/>
  <c r="P237" i="189" s="1"/>
  <c r="L246" i="189"/>
  <c r="M246" i="189"/>
  <c r="P246" i="189" s="1"/>
  <c r="M299" i="189"/>
  <c r="P299" i="189" s="1"/>
  <c r="L299" i="189"/>
  <c r="L141" i="189"/>
  <c r="M141" i="189"/>
  <c r="P141" i="189" s="1"/>
  <c r="L351" i="189"/>
  <c r="M351" i="189"/>
  <c r="P351" i="189" s="1"/>
  <c r="L272" i="189"/>
  <c r="M272" i="189"/>
  <c r="P272" i="189" s="1"/>
  <c r="L303" i="189"/>
  <c r="M303" i="189"/>
  <c r="P303" i="189" s="1"/>
  <c r="L211" i="189"/>
  <c r="M211" i="189"/>
  <c r="P211" i="189" s="1"/>
  <c r="L201" i="189"/>
  <c r="M201" i="189"/>
  <c r="P201" i="189" s="1"/>
  <c r="M163" i="189"/>
  <c r="P163" i="189" s="1"/>
  <c r="L163" i="189"/>
  <c r="L200" i="189"/>
  <c r="M200" i="189"/>
  <c r="P200" i="189" s="1"/>
  <c r="M192" i="189"/>
  <c r="P192" i="189" s="1"/>
  <c r="L192" i="189"/>
  <c r="L41" i="189"/>
  <c r="M41" i="189"/>
  <c r="P41" i="189" s="1"/>
  <c r="M174" i="189"/>
  <c r="P174" i="189" s="1"/>
  <c r="L174" i="189"/>
  <c r="L325" i="189"/>
  <c r="M325" i="189"/>
  <c r="P325" i="189" s="1"/>
  <c r="L71" i="189"/>
  <c r="M71" i="189"/>
  <c r="P71" i="189" s="1"/>
  <c r="M194" i="189"/>
  <c r="P194" i="189" s="1"/>
  <c r="L194" i="189"/>
  <c r="L339" i="189"/>
  <c r="M339" i="189"/>
  <c r="P339" i="189" s="1"/>
  <c r="L254" i="189"/>
  <c r="M254" i="189"/>
  <c r="P254" i="189" s="1"/>
  <c r="M115" i="189"/>
  <c r="P115" i="189" s="1"/>
  <c r="L115" i="189"/>
  <c r="L363" i="189"/>
  <c r="M363" i="189"/>
  <c r="P363" i="189" s="1"/>
  <c r="L181" i="189"/>
  <c r="M181" i="189"/>
  <c r="P181" i="189" s="1"/>
  <c r="L226" i="189"/>
  <c r="M226" i="189"/>
  <c r="P226" i="189" s="1"/>
  <c r="L51" i="189"/>
  <c r="M51" i="189"/>
  <c r="P51" i="189" s="1"/>
  <c r="L117" i="189"/>
  <c r="M117" i="189"/>
  <c r="P117" i="189" s="1"/>
  <c r="L368" i="189"/>
  <c r="M368" i="189"/>
  <c r="P368" i="189" s="1"/>
  <c r="L311" i="189"/>
  <c r="M311" i="189"/>
  <c r="P311" i="189" s="1"/>
  <c r="L290" i="189"/>
  <c r="M290" i="189"/>
  <c r="P290" i="189" s="1"/>
  <c r="Q269" i="189"/>
  <c r="R269" i="189" s="1"/>
  <c r="L213" i="189"/>
  <c r="M213" i="189"/>
  <c r="P213" i="189" s="1"/>
  <c r="L232" i="189"/>
  <c r="M232" i="189"/>
  <c r="P232" i="189" s="1"/>
  <c r="L173" i="189"/>
  <c r="M173" i="189"/>
  <c r="P173" i="189" s="1"/>
  <c r="L282" i="189"/>
  <c r="M282" i="189"/>
  <c r="P282" i="189" s="1"/>
  <c r="L240" i="189"/>
  <c r="M240" i="189"/>
  <c r="P240" i="189" s="1"/>
  <c r="Q288" i="189"/>
  <c r="R288" i="189" s="1"/>
  <c r="Q105" i="189"/>
  <c r="R105" i="189" s="1"/>
  <c r="L317" i="189"/>
  <c r="M317" i="189"/>
  <c r="P317" i="189" s="1"/>
  <c r="L333" i="189"/>
  <c r="M333" i="189"/>
  <c r="P333" i="189" s="1"/>
  <c r="Q184" i="189"/>
  <c r="R184" i="189" s="1"/>
  <c r="M267" i="189"/>
  <c r="P267" i="189" s="1"/>
  <c r="L267" i="189"/>
  <c r="Q39" i="189"/>
  <c r="R39" i="189" s="1"/>
  <c r="L306" i="189"/>
  <c r="M306" i="189"/>
  <c r="P306" i="189" s="1"/>
  <c r="L103" i="189"/>
  <c r="M103" i="189"/>
  <c r="P103" i="189" s="1"/>
  <c r="Q199" i="189"/>
  <c r="R199" i="189" s="1"/>
  <c r="Q237" i="189"/>
  <c r="R237" i="189" s="1"/>
  <c r="M88" i="189"/>
  <c r="P88" i="189" s="1"/>
  <c r="L88" i="189"/>
  <c r="L304" i="189"/>
  <c r="M304" i="189"/>
  <c r="P304" i="189" s="1"/>
  <c r="M17" i="189"/>
  <c r="P17" i="189" s="1"/>
  <c r="L17" i="189"/>
  <c r="Q17" i="189" s="1"/>
  <c r="R17" i="189" s="1"/>
  <c r="L35" i="189"/>
  <c r="M35" i="189"/>
  <c r="P35" i="189" s="1"/>
  <c r="L205" i="189"/>
  <c r="M205" i="189"/>
  <c r="P205" i="189" s="1"/>
  <c r="L58" i="189"/>
  <c r="M58" i="189"/>
  <c r="P58" i="189" s="1"/>
  <c r="Q272" i="189"/>
  <c r="R272" i="189" s="1"/>
  <c r="L239" i="189"/>
  <c r="M239" i="189"/>
  <c r="P239" i="189" s="1"/>
  <c r="L15" i="189"/>
  <c r="Q15" i="189" s="1"/>
  <c r="R15" i="189" s="1"/>
  <c r="M15" i="189"/>
  <c r="P15" i="189" s="1"/>
  <c r="L166" i="189"/>
  <c r="M166" i="189"/>
  <c r="P166" i="189" s="1"/>
  <c r="L283" i="189"/>
  <c r="M283" i="189"/>
  <c r="P283" i="189" s="1"/>
  <c r="L256" i="189"/>
  <c r="M256" i="189"/>
  <c r="P256" i="189" s="1"/>
  <c r="L251" i="189"/>
  <c r="M251" i="189"/>
  <c r="P251" i="189" s="1"/>
  <c r="M107" i="189"/>
  <c r="P107" i="189" s="1"/>
  <c r="L107" i="189"/>
  <c r="M80" i="189"/>
  <c r="P80" i="189" s="1"/>
  <c r="L80" i="189"/>
  <c r="L242" i="189"/>
  <c r="M242" i="189"/>
  <c r="P242" i="189" s="1"/>
  <c r="L77" i="189"/>
  <c r="M77" i="189"/>
  <c r="P77" i="189" s="1"/>
  <c r="L320" i="189"/>
  <c r="M320" i="189"/>
  <c r="P320" i="189" s="1"/>
  <c r="L155" i="189"/>
  <c r="M155" i="189"/>
  <c r="P155" i="189" s="1"/>
  <c r="L285" i="189"/>
  <c r="M285" i="189"/>
  <c r="P285" i="189" s="1"/>
  <c r="L146" i="189"/>
  <c r="M146" i="189"/>
  <c r="P146" i="189" s="1"/>
  <c r="L118" i="189"/>
  <c r="M118" i="189"/>
  <c r="P118" i="189" s="1"/>
  <c r="L186" i="189"/>
  <c r="M186" i="189"/>
  <c r="P186" i="189" s="1"/>
  <c r="L73" i="189"/>
  <c r="M73" i="189"/>
  <c r="P73" i="189" s="1"/>
  <c r="L132" i="189"/>
  <c r="M132" i="189"/>
  <c r="P132" i="189" s="1"/>
  <c r="Q226" i="189"/>
  <c r="R226" i="189" s="1"/>
  <c r="L125" i="189"/>
  <c r="M125" i="189"/>
  <c r="P125" i="189" s="1"/>
  <c r="L72" i="189"/>
  <c r="M72" i="189"/>
  <c r="P72" i="189" s="1"/>
  <c r="M83" i="189"/>
  <c r="P83" i="189" s="1"/>
  <c r="L83" i="189"/>
  <c r="M193" i="189"/>
  <c r="P193" i="189" s="1"/>
  <c r="L193" i="189"/>
  <c r="M235" i="189"/>
  <c r="P235" i="189" s="1"/>
  <c r="L235" i="189"/>
  <c r="L341" i="189"/>
  <c r="M341" i="189"/>
  <c r="P341" i="189" s="1"/>
  <c r="L128" i="189"/>
  <c r="M128" i="189"/>
  <c r="P128" i="189" s="1"/>
  <c r="L183" i="189"/>
  <c r="M183" i="189"/>
  <c r="P183" i="189" s="1"/>
  <c r="L273" i="189"/>
  <c r="M273" i="189"/>
  <c r="P273" i="189" s="1"/>
  <c r="L19" i="189"/>
  <c r="M19" i="189"/>
  <c r="P19" i="189" s="1"/>
  <c r="M346" i="189"/>
  <c r="P346" i="189" s="1"/>
  <c r="L346" i="189"/>
  <c r="M180" i="189"/>
  <c r="P180" i="189" s="1"/>
  <c r="L180" i="189"/>
  <c r="M162" i="189"/>
  <c r="P162" i="189" s="1"/>
  <c r="L162" i="189"/>
  <c r="L279" i="189"/>
  <c r="M279" i="189"/>
  <c r="P279" i="189" s="1"/>
  <c r="L313" i="189"/>
  <c r="M313" i="189"/>
  <c r="P313" i="189" s="1"/>
  <c r="Q173" i="189"/>
  <c r="R173" i="189" s="1"/>
  <c r="Q282" i="189"/>
  <c r="R282" i="189" s="1"/>
  <c r="Q240" i="189"/>
  <c r="R240" i="189" s="1"/>
  <c r="L147" i="189"/>
  <c r="M147" i="189"/>
  <c r="P147" i="189" s="1"/>
  <c r="L165" i="189"/>
  <c r="M165" i="189"/>
  <c r="P165" i="189" s="1"/>
  <c r="L142" i="189"/>
  <c r="M142" i="189"/>
  <c r="P142" i="189" s="1"/>
  <c r="L185" i="189"/>
  <c r="M185" i="189"/>
  <c r="P185" i="189" s="1"/>
  <c r="L53" i="189"/>
  <c r="M53" i="189"/>
  <c r="P53" i="189" s="1"/>
  <c r="L87" i="189"/>
  <c r="M87" i="189"/>
  <c r="P87" i="189" s="1"/>
  <c r="L198" i="189"/>
  <c r="M198" i="189"/>
  <c r="P198" i="189" s="1"/>
  <c r="L276" i="189"/>
  <c r="M276" i="189"/>
  <c r="P276" i="189" s="1"/>
  <c r="L289" i="189"/>
  <c r="M289" i="189"/>
  <c r="P289" i="189" s="1"/>
  <c r="L212" i="189"/>
  <c r="M212" i="189"/>
  <c r="P212" i="189" s="1"/>
  <c r="L67" i="189"/>
  <c r="M67" i="189"/>
  <c r="P67" i="189" s="1"/>
  <c r="M176" i="189"/>
  <c r="P176" i="189" s="1"/>
  <c r="L176" i="189"/>
  <c r="L326" i="189"/>
  <c r="M326" i="189"/>
  <c r="P326" i="189" s="1"/>
  <c r="L120" i="189"/>
  <c r="M120" i="189"/>
  <c r="P120" i="189" s="1"/>
  <c r="L154" i="189"/>
  <c r="M154" i="189"/>
  <c r="P154" i="189" s="1"/>
  <c r="L94" i="189"/>
  <c r="M94" i="189"/>
  <c r="P94" i="189" s="1"/>
  <c r="L332" i="189"/>
  <c r="M332" i="189"/>
  <c r="P332" i="189" s="1"/>
  <c r="L210" i="189"/>
  <c r="M210" i="189"/>
  <c r="P210" i="189" s="1"/>
  <c r="L372" i="189"/>
  <c r="M372" i="189"/>
  <c r="P372" i="189" s="1"/>
  <c r="L225" i="189"/>
  <c r="M225" i="189"/>
  <c r="P225" i="189" s="1"/>
  <c r="L268" i="189"/>
  <c r="M268" i="189"/>
  <c r="P268" i="189" s="1"/>
  <c r="L168" i="189"/>
  <c r="M168" i="189"/>
  <c r="P168" i="189" s="1"/>
  <c r="M129" i="189"/>
  <c r="P129" i="189" s="1"/>
  <c r="L129" i="189"/>
  <c r="M137" i="189"/>
  <c r="P137" i="189" s="1"/>
  <c r="L137" i="189"/>
  <c r="L369" i="189"/>
  <c r="M369" i="189"/>
  <c r="P369" i="189" s="1"/>
  <c r="L297" i="189"/>
  <c r="M297" i="189"/>
  <c r="P297" i="189" s="1"/>
  <c r="Q155" i="189"/>
  <c r="R155" i="189" s="1"/>
  <c r="Q285" i="189"/>
  <c r="R285" i="189" s="1"/>
  <c r="M114" i="189"/>
  <c r="P114" i="189" s="1"/>
  <c r="L114" i="189"/>
  <c r="Q118" i="189"/>
  <c r="R118" i="189" s="1"/>
  <c r="L362" i="189"/>
  <c r="M362" i="189"/>
  <c r="P362" i="189" s="1"/>
  <c r="L337" i="189"/>
  <c r="M337" i="189"/>
  <c r="P337" i="189" s="1"/>
  <c r="Q73" i="189"/>
  <c r="R73" i="189" s="1"/>
  <c r="L335" i="189"/>
  <c r="M335" i="189"/>
  <c r="P335" i="189" s="1"/>
  <c r="L123" i="189"/>
  <c r="M123" i="189"/>
  <c r="P123" i="189" s="1"/>
  <c r="L37" i="189"/>
  <c r="M37" i="189"/>
  <c r="P37" i="189" s="1"/>
  <c r="L229" i="189"/>
  <c r="M229" i="189"/>
  <c r="P229" i="189" s="1"/>
  <c r="L336" i="189"/>
  <c r="M336" i="189"/>
  <c r="P336" i="189" s="1"/>
  <c r="L135" i="189"/>
  <c r="M135" i="189"/>
  <c r="P135" i="189" s="1"/>
  <c r="L295" i="189"/>
  <c r="M295" i="189"/>
  <c r="P295" i="189" s="1"/>
  <c r="L189" i="189"/>
  <c r="M189" i="189"/>
  <c r="P189" i="189" s="1"/>
  <c r="L100" i="189"/>
  <c r="M100" i="189"/>
  <c r="P100" i="189" s="1"/>
  <c r="L133" i="189"/>
  <c r="M133" i="189"/>
  <c r="P133" i="189" s="1"/>
  <c r="L350" i="189"/>
  <c r="M350" i="189"/>
  <c r="P350" i="189" s="1"/>
  <c r="M134" i="189"/>
  <c r="P134" i="189" s="1"/>
  <c r="L134" i="189"/>
  <c r="M70" i="189"/>
  <c r="P70" i="189" s="1"/>
  <c r="L70" i="189"/>
  <c r="L270" i="189"/>
  <c r="M270" i="189"/>
  <c r="P270" i="189" s="1"/>
  <c r="L357" i="189"/>
  <c r="M357" i="189"/>
  <c r="P357" i="189" s="1"/>
  <c r="L271" i="189"/>
  <c r="M271" i="189"/>
  <c r="P271" i="189" s="1"/>
  <c r="L24" i="189"/>
  <c r="M24" i="189"/>
  <c r="P24" i="189" s="1"/>
  <c r="L327" i="189"/>
  <c r="M327" i="189"/>
  <c r="P327" i="189" s="1"/>
  <c r="M140" i="189"/>
  <c r="P140" i="189" s="1"/>
  <c r="L140" i="189"/>
  <c r="L296" i="189"/>
  <c r="M296" i="189"/>
  <c r="P296" i="189" s="1"/>
  <c r="L144" i="189"/>
  <c r="M144" i="189"/>
  <c r="P144" i="189" s="1"/>
  <c r="L236" i="189"/>
  <c r="M236" i="189"/>
  <c r="P236" i="189" s="1"/>
  <c r="L319" i="189"/>
  <c r="M319" i="189"/>
  <c r="P319" i="189" s="1"/>
  <c r="L342" i="189"/>
  <c r="M342" i="189"/>
  <c r="P342" i="189" s="1"/>
  <c r="L14" i="189"/>
  <c r="Q14" i="189" s="1"/>
  <c r="R14" i="189" s="1"/>
  <c r="M14" i="189"/>
  <c r="P14" i="189" s="1"/>
  <c r="L76" i="189"/>
  <c r="M76" i="189"/>
  <c r="P76" i="189" s="1"/>
  <c r="L95" i="189"/>
  <c r="M95" i="189"/>
  <c r="P95" i="189" s="1"/>
  <c r="L209" i="189"/>
  <c r="M209" i="189"/>
  <c r="P209" i="189" s="1"/>
  <c r="L151" i="189"/>
  <c r="M151" i="189"/>
  <c r="P151" i="189" s="1"/>
  <c r="L126" i="189"/>
  <c r="M126" i="189"/>
  <c r="P126" i="189" s="1"/>
  <c r="L119" i="189"/>
  <c r="M119" i="189"/>
  <c r="P119" i="189" s="1"/>
  <c r="L348" i="189"/>
  <c r="M348" i="189"/>
  <c r="P348" i="189" s="1"/>
  <c r="M160" i="189"/>
  <c r="P160" i="189" s="1"/>
  <c r="L160" i="189"/>
  <c r="M54" i="189"/>
  <c r="P54" i="189" s="1"/>
  <c r="L54" i="189"/>
  <c r="M219" i="189"/>
  <c r="P219" i="189" s="1"/>
  <c r="L219" i="189"/>
  <c r="L371" i="189"/>
  <c r="M371" i="189"/>
  <c r="P371" i="189" s="1"/>
  <c r="L93" i="189"/>
  <c r="M93" i="189"/>
  <c r="P93" i="189" s="1"/>
  <c r="L148" i="189"/>
  <c r="M148" i="189"/>
  <c r="P148" i="189" s="1"/>
  <c r="Q37" i="189"/>
  <c r="R37" i="189" s="1"/>
  <c r="L138" i="189"/>
  <c r="M138" i="189"/>
  <c r="P138" i="189" s="1"/>
  <c r="L167" i="189"/>
  <c r="M167" i="189"/>
  <c r="P167" i="189" s="1"/>
  <c r="L224" i="189"/>
  <c r="M224" i="189"/>
  <c r="P224" i="189" s="1"/>
  <c r="L365" i="189"/>
  <c r="M365" i="189"/>
  <c r="P365" i="189" s="1"/>
  <c r="L331" i="189"/>
  <c r="M331" i="189"/>
  <c r="P331" i="189" s="1"/>
  <c r="L263" i="189"/>
  <c r="M263" i="189"/>
  <c r="P263" i="189" s="1"/>
  <c r="Q135" i="189"/>
  <c r="R135" i="189" s="1"/>
  <c r="Q295" i="189"/>
  <c r="R295" i="189" s="1"/>
  <c r="M110" i="189"/>
  <c r="P110" i="189" s="1"/>
  <c r="L110" i="189"/>
  <c r="L355" i="189"/>
  <c r="M355" i="189"/>
  <c r="P355" i="189" s="1"/>
  <c r="Q100" i="189"/>
  <c r="R100" i="189" s="1"/>
  <c r="Q133" i="189"/>
  <c r="R133" i="189" s="1"/>
  <c r="Q350" i="189"/>
  <c r="R350" i="189" s="1"/>
  <c r="L253" i="189"/>
  <c r="M253" i="189"/>
  <c r="P253" i="189" s="1"/>
  <c r="L97" i="189"/>
  <c r="M97" i="189"/>
  <c r="P97" i="189" s="1"/>
  <c r="L156" i="189"/>
  <c r="M156" i="189"/>
  <c r="P156" i="189" s="1"/>
  <c r="L170" i="189"/>
  <c r="M170" i="189"/>
  <c r="P170" i="189" s="1"/>
  <c r="L314" i="189"/>
  <c r="M314" i="189"/>
  <c r="P314" i="189" s="1"/>
  <c r="L280" i="189"/>
  <c r="M280" i="189"/>
  <c r="P280" i="189" s="1"/>
  <c r="L161" i="189"/>
  <c r="M161" i="189"/>
  <c r="P161" i="189" s="1"/>
  <c r="L188" i="189"/>
  <c r="M188" i="189"/>
  <c r="P188" i="189" s="1"/>
  <c r="L233" i="189"/>
  <c r="M233" i="189"/>
  <c r="P233" i="189" s="1"/>
  <c r="L234" i="189"/>
  <c r="M234" i="189"/>
  <c r="P234" i="189" s="1"/>
  <c r="L260" i="189"/>
  <c r="M260" i="189"/>
  <c r="P260" i="189" s="1"/>
  <c r="L90" i="189"/>
  <c r="M90" i="189"/>
  <c r="P90" i="189" s="1"/>
  <c r="L152" i="189"/>
  <c r="M152" i="189"/>
  <c r="P152" i="189" s="1"/>
  <c r="L266" i="189"/>
  <c r="M266" i="189"/>
  <c r="P266" i="189" s="1"/>
  <c r="L208" i="189"/>
  <c r="M208" i="189"/>
  <c r="P208" i="189" s="1"/>
  <c r="L244" i="189"/>
  <c r="M244" i="189"/>
  <c r="P244" i="189" s="1"/>
  <c r="L275" i="189"/>
  <c r="M275" i="189"/>
  <c r="P275" i="189" s="1"/>
  <c r="L310" i="189"/>
  <c r="M310" i="189"/>
  <c r="P310" i="189" s="1"/>
  <c r="L153" i="189"/>
  <c r="M153" i="189"/>
  <c r="P153" i="189" s="1"/>
  <c r="M116" i="189"/>
  <c r="P116" i="189" s="1"/>
  <c r="L116" i="189"/>
  <c r="M323" i="189"/>
  <c r="P323" i="189" s="1"/>
  <c r="L323" i="189"/>
  <c r="L309" i="189"/>
  <c r="M309" i="189"/>
  <c r="P309" i="189" s="1"/>
  <c r="L238" i="189"/>
  <c r="M238" i="189"/>
  <c r="P238" i="189" s="1"/>
  <c r="L215" i="189"/>
  <c r="M215" i="189"/>
  <c r="P215" i="189" s="1"/>
  <c r="Q342" i="189"/>
  <c r="R342" i="189" s="1"/>
  <c r="M56" i="189"/>
  <c r="P56" i="189" s="1"/>
  <c r="L56" i="189"/>
  <c r="Q76" i="189"/>
  <c r="R76" i="189" s="1"/>
  <c r="Q95" i="189"/>
  <c r="R95" i="189" s="1"/>
  <c r="Q151" i="189"/>
  <c r="R151" i="189" s="1"/>
  <c r="L334" i="189"/>
  <c r="M334" i="189"/>
  <c r="P334" i="189" s="1"/>
  <c r="L113" i="189"/>
  <c r="M113" i="189"/>
  <c r="P113" i="189" s="1"/>
  <c r="M308" i="189"/>
  <c r="P308" i="189" s="1"/>
  <c r="L308" i="189"/>
  <c r="Q126" i="189"/>
  <c r="R126" i="189" s="1"/>
  <c r="Q119" i="189"/>
  <c r="R119" i="189" s="1"/>
  <c r="L231" i="189"/>
  <c r="M231" i="189"/>
  <c r="P231" i="189" s="1"/>
  <c r="L85" i="189"/>
  <c r="M85" i="189"/>
  <c r="P85" i="189" s="1"/>
  <c r="L187" i="189"/>
  <c r="M187" i="189"/>
  <c r="P187" i="189" s="1"/>
  <c r="Q274" i="189"/>
  <c r="R274" i="189" s="1"/>
  <c r="L216" i="189"/>
  <c r="M216" i="189"/>
  <c r="P216" i="189" s="1"/>
  <c r="Q138" i="189"/>
  <c r="R138" i="189" s="1"/>
  <c r="Q167" i="189"/>
  <c r="R167" i="189" s="1"/>
  <c r="L217" i="189"/>
  <c r="M217" i="189"/>
  <c r="P217" i="189" s="1"/>
  <c r="L338" i="189"/>
  <c r="M338" i="189"/>
  <c r="P338" i="189" s="1"/>
  <c r="L361" i="189"/>
  <c r="M361" i="189"/>
  <c r="P361" i="189" s="1"/>
  <c r="L131" i="189"/>
  <c r="M131" i="189"/>
  <c r="P131" i="189" s="1"/>
  <c r="L172" i="189"/>
  <c r="M172" i="189"/>
  <c r="P172" i="189" s="1"/>
  <c r="L136" i="189"/>
  <c r="M136" i="189"/>
  <c r="P136" i="189" s="1"/>
  <c r="Q253" i="189"/>
  <c r="R253" i="189" s="1"/>
  <c r="Q97" i="189"/>
  <c r="R97" i="189" s="1"/>
  <c r="Q156" i="189"/>
  <c r="R156" i="189" s="1"/>
  <c r="Q170" i="189"/>
  <c r="R170" i="189" s="1"/>
  <c r="L305" i="189"/>
  <c r="M305" i="189"/>
  <c r="P305" i="189" s="1"/>
  <c r="L287" i="189"/>
  <c r="M287" i="189"/>
  <c r="P287" i="189" s="1"/>
  <c r="M178" i="189"/>
  <c r="P178" i="189" s="1"/>
  <c r="L178" i="189"/>
  <c r="Q314" i="189"/>
  <c r="R314" i="189" s="1"/>
  <c r="L316" i="189"/>
  <c r="M316" i="189"/>
  <c r="P316" i="189" s="1"/>
  <c r="M374" i="189"/>
  <c r="P374" i="189" s="1"/>
  <c r="L374" i="189"/>
  <c r="Q280" i="189"/>
  <c r="R280" i="189" s="1"/>
  <c r="L177" i="189"/>
  <c r="M177" i="189"/>
  <c r="P177" i="189" s="1"/>
  <c r="M202" i="189"/>
  <c r="P202" i="189" s="1"/>
  <c r="L202" i="189"/>
  <c r="L82" i="189"/>
  <c r="M82" i="189"/>
  <c r="P82" i="189" s="1"/>
  <c r="Q233" i="189"/>
  <c r="R233" i="189" s="1"/>
  <c r="Q152" i="189"/>
  <c r="R152" i="189" s="1"/>
  <c r="M122" i="189"/>
  <c r="P122" i="189" s="1"/>
  <c r="L122" i="189"/>
  <c r="Q208" i="189"/>
  <c r="R208" i="189" s="1"/>
  <c r="L347" i="189"/>
  <c r="M347" i="189"/>
  <c r="P347" i="189" s="1"/>
  <c r="Q244" i="189"/>
  <c r="R244" i="189" s="1"/>
  <c r="M230" i="189"/>
  <c r="P230" i="189" s="1"/>
  <c r="L230" i="189"/>
  <c r="Q275" i="189"/>
  <c r="R275" i="189" s="1"/>
  <c r="Q310" i="189"/>
  <c r="R310" i="189" s="1"/>
  <c r="M291" i="189"/>
  <c r="P291" i="189" s="1"/>
  <c r="L291" i="189"/>
  <c r="L124" i="189"/>
  <c r="M124" i="189"/>
  <c r="P124" i="189" s="1"/>
  <c r="L42" i="189"/>
  <c r="M42" i="189"/>
  <c r="P42" i="189" s="1"/>
  <c r="L108" i="189"/>
  <c r="M108" i="189"/>
  <c r="P108" i="189" s="1"/>
  <c r="L221" i="189"/>
  <c r="M221" i="189"/>
  <c r="P221" i="189" s="1"/>
  <c r="L366" i="189"/>
  <c r="M366" i="189"/>
  <c r="P366" i="189" s="1"/>
  <c r="L104" i="189"/>
  <c r="M104" i="189"/>
  <c r="P104" i="189" s="1"/>
  <c r="L179" i="189"/>
  <c r="M179" i="189"/>
  <c r="P179" i="189" s="1"/>
  <c r="L157" i="189"/>
  <c r="M157" i="189"/>
  <c r="P157" i="189" s="1"/>
  <c r="L206" i="189"/>
  <c r="M206" i="189"/>
  <c r="P206" i="189" s="1"/>
  <c r="L60" i="189"/>
  <c r="M60" i="189"/>
  <c r="P60" i="189" s="1"/>
  <c r="M91" i="189"/>
  <c r="P91" i="189" s="1"/>
  <c r="L91" i="189"/>
  <c r="M196" i="189"/>
  <c r="P196" i="189" s="1"/>
  <c r="L196" i="189"/>
  <c r="Q187" i="189"/>
  <c r="R187" i="189" s="1"/>
  <c r="M75" i="189"/>
  <c r="P75" i="189" s="1"/>
  <c r="L75" i="189"/>
  <c r="M81" i="189"/>
  <c r="P81" i="189" s="1"/>
  <c r="L81" i="189"/>
  <c r="M139" i="189"/>
  <c r="P139" i="189" s="1"/>
  <c r="L139" i="189"/>
  <c r="L359" i="189"/>
  <c r="M359" i="189"/>
  <c r="P359" i="189" s="1"/>
  <c r="L36" i="189"/>
  <c r="M36" i="189"/>
  <c r="P36" i="189" s="1"/>
  <c r="L92" i="189"/>
  <c r="M92" i="189"/>
  <c r="P92" i="189" s="1"/>
  <c r="M130" i="189"/>
  <c r="P130" i="189" s="1"/>
  <c r="L130" i="189"/>
  <c r="M145" i="189"/>
  <c r="P145" i="189" s="1"/>
  <c r="L145" i="189"/>
  <c r="L250" i="189"/>
  <c r="M250" i="189"/>
  <c r="P250" i="189" s="1"/>
  <c r="M195" i="189"/>
  <c r="P195" i="189" s="1"/>
  <c r="L195" i="189"/>
  <c r="L204" i="189"/>
  <c r="M204" i="189"/>
  <c r="P204" i="189" s="1"/>
  <c r="L27" i="189"/>
  <c r="M27" i="189"/>
  <c r="P27" i="189" s="1"/>
  <c r="L255" i="189"/>
  <c r="M255" i="189"/>
  <c r="P255" i="189" s="1"/>
  <c r="M59" i="189"/>
  <c r="P59" i="189" s="1"/>
  <c r="L59" i="189"/>
  <c r="L228" i="189"/>
  <c r="M228" i="189"/>
  <c r="P228" i="189" s="1"/>
  <c r="L321" i="189"/>
  <c r="M321" i="189"/>
  <c r="P321" i="189" s="1"/>
  <c r="L340" i="189"/>
  <c r="M340" i="189"/>
  <c r="P340" i="189" s="1"/>
  <c r="L292" i="189"/>
  <c r="M292" i="189"/>
  <c r="P292" i="189" s="1"/>
  <c r="L159" i="189"/>
  <c r="M159" i="189"/>
  <c r="P159" i="189" s="1"/>
  <c r="L96" i="189"/>
  <c r="M96" i="189"/>
  <c r="P96" i="189" s="1"/>
  <c r="L258" i="189"/>
  <c r="M258" i="189"/>
  <c r="P258" i="189" s="1"/>
  <c r="L52" i="189"/>
  <c r="M52" i="189"/>
  <c r="P52" i="189" s="1"/>
  <c r="L38" i="189"/>
  <c r="M38" i="189"/>
  <c r="P38" i="189" s="1"/>
  <c r="L109" i="189"/>
  <c r="M109" i="189"/>
  <c r="P109" i="189" s="1"/>
  <c r="L252" i="189"/>
  <c r="M252" i="189"/>
  <c r="P252" i="189" s="1"/>
  <c r="L330" i="189"/>
  <c r="M330" i="189"/>
  <c r="P330" i="189" s="1"/>
  <c r="M63" i="189"/>
  <c r="P63" i="189" s="1"/>
  <c r="L63" i="189"/>
  <c r="Q63" i="189" s="1"/>
  <c r="R63" i="189" s="1"/>
  <c r="L171" i="189"/>
  <c r="M171" i="189"/>
  <c r="P171" i="189" s="1"/>
  <c r="L241" i="189"/>
  <c r="M241" i="189"/>
  <c r="P241" i="189" s="1"/>
  <c r="Q102" i="189"/>
  <c r="R102" i="189" s="1"/>
  <c r="L328" i="189"/>
  <c r="M328" i="189"/>
  <c r="P328" i="189" s="1"/>
  <c r="L373" i="189"/>
  <c r="M373" i="189"/>
  <c r="P373" i="189" s="1"/>
  <c r="L121" i="189"/>
  <c r="M121" i="189"/>
  <c r="P121" i="189" s="1"/>
  <c r="L197" i="189"/>
  <c r="M197" i="189"/>
  <c r="P197" i="189" s="1"/>
  <c r="Q108" i="189"/>
  <c r="R108" i="189" s="1"/>
  <c r="L222" i="189"/>
  <c r="M222" i="189"/>
  <c r="P222" i="189" s="1"/>
  <c r="L329" i="189"/>
  <c r="M329" i="189"/>
  <c r="P329" i="189" s="1"/>
  <c r="L354" i="189"/>
  <c r="M354" i="189"/>
  <c r="P354" i="189" s="1"/>
  <c r="L318" i="189"/>
  <c r="M318" i="189"/>
  <c r="P318" i="189" s="1"/>
  <c r="L301" i="189"/>
  <c r="M301" i="189"/>
  <c r="P301" i="189" s="1"/>
  <c r="M286" i="189"/>
  <c r="P286" i="189" s="1"/>
  <c r="L286" i="189"/>
  <c r="L203" i="189"/>
  <c r="M203" i="189"/>
  <c r="P203" i="189" s="1"/>
  <c r="Q104" i="189"/>
  <c r="R104" i="189" s="1"/>
  <c r="Q157" i="189"/>
  <c r="R157" i="189" s="1"/>
  <c r="Q206" i="189"/>
  <c r="R206" i="189" s="1"/>
  <c r="L349" i="189"/>
  <c r="M349" i="189"/>
  <c r="P349" i="189" s="1"/>
  <c r="L315" i="189"/>
  <c r="M315" i="189"/>
  <c r="P315" i="189" s="1"/>
  <c r="L190" i="189"/>
  <c r="M190" i="189"/>
  <c r="P190" i="189" s="1"/>
  <c r="L169" i="189"/>
  <c r="M169" i="189"/>
  <c r="P169" i="189" s="1"/>
  <c r="L302" i="189"/>
  <c r="M302" i="189"/>
  <c r="P302" i="189" s="1"/>
  <c r="L265" i="189"/>
  <c r="M265" i="189"/>
  <c r="P265" i="189" s="1"/>
  <c r="L150" i="189"/>
  <c r="M150" i="189"/>
  <c r="P150" i="189" s="1"/>
  <c r="L149" i="189"/>
  <c r="M149" i="189"/>
  <c r="P149" i="189" s="1"/>
  <c r="D174" i="161"/>
  <c r="BL173" i="161"/>
  <c r="C173" i="161"/>
  <c r="R298" i="161"/>
  <c r="Z298" i="161"/>
  <c r="AB298" i="161" s="1"/>
  <c r="Y298" i="161"/>
  <c r="AA298" i="161" s="1"/>
  <c r="Q298" i="161"/>
  <c r="AE298" i="161" s="1"/>
  <c r="P279" i="161" a="1"/>
  <c r="P279" i="161" s="1"/>
  <c r="BM303" i="161"/>
  <c r="BP303" i="161"/>
  <c r="BQ303" i="161" s="1"/>
  <c r="BN303" i="161" s="1"/>
  <c r="BO303" i="161" s="1"/>
  <c r="BT303" i="161"/>
  <c r="BU303" i="161" s="1"/>
  <c r="BR303" i="161" s="1"/>
  <c r="BS303" i="161" s="1"/>
  <c r="W14" i="161"/>
  <c r="W13" i="161" s="1"/>
  <c r="V13" i="161"/>
  <c r="D18" i="180" s="1"/>
  <c r="Q324" i="189" l="1"/>
  <c r="R324" i="189" s="1"/>
  <c r="Q106" i="189"/>
  <c r="R106" i="189" s="1"/>
  <c r="D8" i="189"/>
  <c r="D38" i="180"/>
  <c r="E214" i="189"/>
  <c r="E28" i="180" s="1"/>
  <c r="F28" i="180" s="1"/>
  <c r="L28" i="180" s="1"/>
  <c r="M28" i="180" s="1"/>
  <c r="P28" i="180" s="1"/>
  <c r="L214" i="189"/>
  <c r="M214" i="189" s="1"/>
  <c r="P214" i="189" s="1"/>
  <c r="Q214" i="189"/>
  <c r="R214" i="189" s="1"/>
  <c r="L293" i="189"/>
  <c r="M293" i="189" s="1"/>
  <c r="P293" i="189" s="1"/>
  <c r="E293" i="189"/>
  <c r="E34" i="180" s="1"/>
  <c r="F34" i="180" s="1"/>
  <c r="L34" i="180" s="1"/>
  <c r="M34" i="180" s="1"/>
  <c r="P34" i="180" s="1"/>
  <c r="Q293" i="189"/>
  <c r="R293" i="189" s="1"/>
  <c r="E259" i="189"/>
  <c r="E32" i="180" s="1"/>
  <c r="F32" i="180" s="1"/>
  <c r="L32" i="180" s="1"/>
  <c r="M32" i="180" s="1"/>
  <c r="P32" i="180" s="1"/>
  <c r="L259" i="189"/>
  <c r="M259" i="189" s="1"/>
  <c r="P259" i="189" s="1"/>
  <c r="E249" i="189"/>
  <c r="E31" i="180" s="1"/>
  <c r="F31" i="180" s="1"/>
  <c r="L31" i="180" s="1"/>
  <c r="M31" i="180" s="1"/>
  <c r="P31" i="180" s="1"/>
  <c r="L249" i="189"/>
  <c r="M249" i="189" s="1"/>
  <c r="P249" i="189" s="1"/>
  <c r="L74" i="189"/>
  <c r="M74" i="189" s="1"/>
  <c r="P74" i="189" s="1"/>
  <c r="E74" i="189"/>
  <c r="E23" i="180" s="1"/>
  <c r="F23" i="180" s="1"/>
  <c r="L23" i="180" s="1"/>
  <c r="M23" i="180" s="1"/>
  <c r="P23" i="180" s="1"/>
  <c r="E175" i="189"/>
  <c r="E27" i="180" s="1"/>
  <c r="F27" i="180" s="1"/>
  <c r="L27" i="180" s="1"/>
  <c r="M27" i="180" s="1"/>
  <c r="P27" i="180" s="1"/>
  <c r="L175" i="189"/>
  <c r="M175" i="189" s="1"/>
  <c r="P175" i="189" s="1"/>
  <c r="E324" i="189"/>
  <c r="E36" i="180" s="1"/>
  <c r="F36" i="180" s="1"/>
  <c r="L36" i="180" s="1"/>
  <c r="M36" i="180" s="1"/>
  <c r="P36" i="180" s="1"/>
  <c r="L324" i="189"/>
  <c r="M324" i="189" s="1"/>
  <c r="P324" i="189" s="1"/>
  <c r="E79" i="189"/>
  <c r="E24" i="180" s="1"/>
  <c r="F24" i="180" s="1"/>
  <c r="L24" i="180" s="1"/>
  <c r="M24" i="180" s="1"/>
  <c r="P24" i="180" s="1"/>
  <c r="L79" i="189"/>
  <c r="M79" i="189" s="1"/>
  <c r="P79" i="189" s="1"/>
  <c r="L220" i="189"/>
  <c r="M220" i="189" s="1"/>
  <c r="P220" i="189" s="1"/>
  <c r="E220" i="189"/>
  <c r="E29" i="180" s="1"/>
  <c r="F29" i="180" s="1"/>
  <c r="L29" i="180" s="1"/>
  <c r="M29" i="180" s="1"/>
  <c r="P29" i="180" s="1"/>
  <c r="E28" i="189"/>
  <c r="E20" i="180" s="1"/>
  <c r="F20" i="180" s="1"/>
  <c r="L20" i="180" s="1"/>
  <c r="M20" i="180" s="1"/>
  <c r="P20" i="180" s="1"/>
  <c r="L28" i="189"/>
  <c r="M28" i="189" s="1"/>
  <c r="P28" i="189" s="1"/>
  <c r="Q249" i="189"/>
  <c r="R249" i="189" s="1"/>
  <c r="L298" i="189"/>
  <c r="M298" i="189" s="1"/>
  <c r="P298" i="189" s="1"/>
  <c r="E298" i="189"/>
  <c r="E35" i="180" s="1"/>
  <c r="F35" i="180" s="1"/>
  <c r="L35" i="180" s="1"/>
  <c r="M35" i="180" s="1"/>
  <c r="P35" i="180" s="1"/>
  <c r="L274" i="189"/>
  <c r="M274" i="189" s="1"/>
  <c r="P274" i="189" s="1"/>
  <c r="E274" i="189"/>
  <c r="E33" i="180" s="1"/>
  <c r="F33" i="180" s="1"/>
  <c r="L33" i="180" s="1"/>
  <c r="M33" i="180" s="1"/>
  <c r="P33" i="180" s="1"/>
  <c r="Q220" i="189"/>
  <c r="R220" i="189" s="1"/>
  <c r="Q74" i="189"/>
  <c r="R74" i="189" s="1"/>
  <c r="L50" i="189"/>
  <c r="E50" i="189"/>
  <c r="E22" i="180" s="1"/>
  <c r="F22" i="180" s="1"/>
  <c r="L22" i="180" s="1"/>
  <c r="M22" i="180" s="1"/>
  <c r="P22" i="180" s="1"/>
  <c r="E356" i="189"/>
  <c r="E37" i="180" s="1"/>
  <c r="F37" i="180" s="1"/>
  <c r="L37" i="180" s="1"/>
  <c r="M37" i="180" s="1"/>
  <c r="P37" i="180" s="1"/>
  <c r="L356" i="189"/>
  <c r="M356" i="189" s="1"/>
  <c r="P356" i="189" s="1"/>
  <c r="Q79" i="189"/>
  <c r="R79" i="189" s="1"/>
  <c r="E106" i="189"/>
  <c r="E26" i="180" s="1"/>
  <c r="F26" i="180" s="1"/>
  <c r="L26" i="180" s="1"/>
  <c r="M26" i="180" s="1"/>
  <c r="P26" i="180" s="1"/>
  <c r="L106" i="189"/>
  <c r="M106" i="189" s="1"/>
  <c r="P106" i="189" s="1"/>
  <c r="Q356" i="189"/>
  <c r="R356" i="189" s="1"/>
  <c r="C174" i="161"/>
  <c r="D175" i="161"/>
  <c r="BL174" i="161"/>
  <c r="R279" i="161"/>
  <c r="Q279" i="161"/>
  <c r="AE279" i="161" s="1"/>
  <c r="Y279" i="161"/>
  <c r="AA279" i="161" s="1"/>
  <c r="Z279" i="161"/>
  <c r="AB279" i="161" s="1"/>
  <c r="P264" i="161" a="1"/>
  <c r="P264" i="161" s="1"/>
  <c r="BM298" i="161"/>
  <c r="BT298" i="161"/>
  <c r="BU298" i="161" s="1"/>
  <c r="BR298" i="161" s="1"/>
  <c r="BS298" i="161" s="1"/>
  <c r="BP298" i="161"/>
  <c r="BQ298" i="161" s="1"/>
  <c r="BN298" i="161" s="1"/>
  <c r="BO298" i="161" s="1"/>
  <c r="A13" i="161"/>
  <c r="M50" i="189" l="1"/>
  <c r="P50" i="189" s="1"/>
  <c r="Q50" i="189"/>
  <c r="R50" i="189" s="1"/>
  <c r="Q29" i="180"/>
  <c r="R29" i="180" s="1"/>
  <c r="Q23" i="180"/>
  <c r="R23" i="180" s="1"/>
  <c r="Q32" i="180"/>
  <c r="R32" i="180" s="1"/>
  <c r="Q33" i="180"/>
  <c r="R33" i="180" s="1"/>
  <c r="Q26" i="180"/>
  <c r="R26" i="180" s="1"/>
  <c r="D48" i="180"/>
  <c r="R9" i="180" s="1"/>
  <c r="Q36" i="180"/>
  <c r="R36" i="180" s="1"/>
  <c r="Q27" i="180"/>
  <c r="R27" i="180" s="1"/>
  <c r="Q20" i="180"/>
  <c r="R20" i="180" s="1"/>
  <c r="Q28" i="180"/>
  <c r="R28" i="180" s="1"/>
  <c r="Q37" i="180"/>
  <c r="R37" i="180" s="1"/>
  <c r="Q22" i="180"/>
  <c r="R22" i="180" s="1"/>
  <c r="Q34" i="180"/>
  <c r="R34" i="180" s="1"/>
  <c r="Q24" i="180"/>
  <c r="R24" i="180" s="1"/>
  <c r="Q35" i="180"/>
  <c r="R35" i="180" s="1"/>
  <c r="Q31" i="180"/>
  <c r="R31" i="180" s="1"/>
  <c r="E99" i="189"/>
  <c r="E25" i="180" s="1"/>
  <c r="F25" i="180" s="1"/>
  <c r="L99" i="189"/>
  <c r="M99" i="189" s="1"/>
  <c r="P99" i="189" s="1"/>
  <c r="Q99" i="189"/>
  <c r="R99" i="189" s="1"/>
  <c r="E245" i="189"/>
  <c r="E30" i="180" s="1"/>
  <c r="F30" i="180" s="1"/>
  <c r="L245" i="189"/>
  <c r="M245" i="189" s="1"/>
  <c r="P245" i="189" s="1"/>
  <c r="Q245" i="189"/>
  <c r="R245" i="189" s="1"/>
  <c r="L20" i="189"/>
  <c r="M20" i="189" s="1"/>
  <c r="P20" i="189" s="1"/>
  <c r="E20" i="189"/>
  <c r="E19" i="180" s="1"/>
  <c r="F19" i="180" s="1"/>
  <c r="L47" i="189"/>
  <c r="M47" i="189" s="1"/>
  <c r="P47" i="189" s="1"/>
  <c r="E47" i="189"/>
  <c r="E21" i="180" s="1"/>
  <c r="F21" i="180" s="1"/>
  <c r="Q28" i="189"/>
  <c r="R28" i="189" s="1"/>
  <c r="BL175" i="161"/>
  <c r="C175" i="161"/>
  <c r="D176" i="161"/>
  <c r="R264" i="161"/>
  <c r="Q264" i="161"/>
  <c r="AE264" i="161" s="1"/>
  <c r="Y264" i="161"/>
  <c r="AA264" i="161" s="1"/>
  <c r="Z264" i="161"/>
  <c r="AB264" i="161" s="1"/>
  <c r="P254" i="161" a="1"/>
  <c r="P254" i="161" s="1"/>
  <c r="BM279" i="161"/>
  <c r="BT279" i="161"/>
  <c r="BU279" i="161" s="1"/>
  <c r="BR279" i="161" s="1"/>
  <c r="BS279" i="161" s="1"/>
  <c r="BP279" i="161"/>
  <c r="L19" i="180" l="1"/>
  <c r="M19" i="180" s="1"/>
  <c r="P19" i="180" s="1"/>
  <c r="L30" i="180"/>
  <c r="M30" i="180" s="1"/>
  <c r="P30" i="180" s="1"/>
  <c r="Q30" i="180"/>
  <c r="R30" i="180" s="1"/>
  <c r="L21" i="180"/>
  <c r="M21" i="180" s="1"/>
  <c r="P21" i="180" s="1"/>
  <c r="L25" i="180"/>
  <c r="M25" i="180" s="1"/>
  <c r="P25" i="180" s="1"/>
  <c r="Q25" i="180"/>
  <c r="R25" i="180" s="1"/>
  <c r="Q47" i="189"/>
  <c r="R47" i="189" s="1"/>
  <c r="Q20" i="189"/>
  <c r="R20" i="189" s="1"/>
  <c r="C176" i="161"/>
  <c r="D177" i="161"/>
  <c r="BL176" i="161"/>
  <c r="BM264" i="161"/>
  <c r="BP264" i="161"/>
  <c r="BQ264" i="161" s="1"/>
  <c r="BN264" i="161" s="1"/>
  <c r="BO264" i="161" s="1"/>
  <c r="BT264" i="161"/>
  <c r="BU264" i="161" s="1"/>
  <c r="BR264" i="161" s="1"/>
  <c r="BS264" i="161" s="1"/>
  <c r="R254" i="161"/>
  <c r="Q254" i="161"/>
  <c r="AE254" i="161" s="1"/>
  <c r="Z254" i="161"/>
  <c r="AB254" i="161" s="1"/>
  <c r="Y254" i="161"/>
  <c r="AA254" i="161" s="1"/>
  <c r="P250" i="161" a="1"/>
  <c r="P250" i="161" s="1"/>
  <c r="Q21" i="180" l="1"/>
  <c r="R21" i="180" s="1"/>
  <c r="Q19" i="180"/>
  <c r="R19" i="180" s="1"/>
  <c r="C177" i="161"/>
  <c r="D178" i="161"/>
  <c r="BL177" i="161"/>
  <c r="BM254" i="161"/>
  <c r="BT254" i="161"/>
  <c r="BU254" i="161" s="1"/>
  <c r="BR254" i="161" s="1"/>
  <c r="BS254" i="161" s="1"/>
  <c r="BP254" i="161"/>
  <c r="BQ254" i="161" s="1"/>
  <c r="BN254" i="161" s="1"/>
  <c r="BO254" i="161" s="1"/>
  <c r="R250" i="161"/>
  <c r="Q250" i="161"/>
  <c r="AE250" i="161" s="1"/>
  <c r="Y250" i="161"/>
  <c r="AA250" i="161" s="1"/>
  <c r="Z250" i="161"/>
  <c r="AB250" i="161" s="1"/>
  <c r="P225" i="161" a="1"/>
  <c r="P225" i="161" s="1"/>
  <c r="C178" i="161" l="1"/>
  <c r="D179" i="161"/>
  <c r="BL178" i="161"/>
  <c r="Z225" i="161"/>
  <c r="AB225" i="161" s="1"/>
  <c r="Q225" i="161"/>
  <c r="AE225" i="161" s="1"/>
  <c r="R225" i="161"/>
  <c r="Y225" i="161"/>
  <c r="AA225" i="161" s="1"/>
  <c r="P219" i="161" a="1"/>
  <c r="P219" i="161" s="1"/>
  <c r="BM250" i="161"/>
  <c r="BT250" i="161"/>
  <c r="BU250" i="161" s="1"/>
  <c r="BR250" i="161" s="1"/>
  <c r="BS250" i="161" s="1"/>
  <c r="BP250" i="161"/>
  <c r="BQ250" i="161" s="1"/>
  <c r="BN250" i="161" s="1"/>
  <c r="BO250" i="161" s="1"/>
  <c r="BL180" i="161" l="1"/>
  <c r="BL179" i="161"/>
  <c r="C180" i="161"/>
  <c r="C179" i="161"/>
  <c r="L111" i="161" a="1"/>
  <c r="L111" i="161" s="1"/>
  <c r="R219" i="161"/>
  <c r="Q219" i="161"/>
  <c r="AE219" i="161" s="1"/>
  <c r="Z219" i="161"/>
  <c r="AB219" i="161" s="1"/>
  <c r="Y219" i="161"/>
  <c r="AA219" i="161" s="1"/>
  <c r="P180" i="161" a="1"/>
  <c r="P180" i="161" s="1"/>
  <c r="BM225" i="161"/>
  <c r="BP225" i="161"/>
  <c r="BQ225" i="161" s="1"/>
  <c r="BN225" i="161" s="1"/>
  <c r="BO225" i="161" s="1"/>
  <c r="BT225" i="161"/>
  <c r="BU225" i="161" s="1"/>
  <c r="BR225" i="161" s="1"/>
  <c r="BS225" i="161" s="1"/>
  <c r="Z381" i="161"/>
  <c r="N111" i="161" l="1"/>
  <c r="X111" i="161"/>
  <c r="L104" i="161" a="1"/>
  <c r="L104" i="161" s="1"/>
  <c r="R180" i="161"/>
  <c r="Q180" i="161"/>
  <c r="AE180" i="161" s="1"/>
  <c r="Z180" i="161"/>
  <c r="AB180" i="161" s="1"/>
  <c r="Y180" i="161"/>
  <c r="AA180" i="161" s="1"/>
  <c r="P111" i="161" a="1"/>
  <c r="P111" i="161" s="1"/>
  <c r="BM219" i="161"/>
  <c r="BT219" i="161"/>
  <c r="BU219" i="161" s="1"/>
  <c r="BR219" i="161" s="1"/>
  <c r="BS219" i="161" s="1"/>
  <c r="BP219" i="161"/>
  <c r="BQ219" i="161" s="1"/>
  <c r="BN219" i="161" s="1"/>
  <c r="BO219" i="161" s="1"/>
  <c r="L84" i="161" l="1" a="1"/>
  <c r="L84" i="161" s="1"/>
  <c r="X104" i="161"/>
  <c r="N104" i="161"/>
  <c r="BM180" i="161"/>
  <c r="BP180" i="161"/>
  <c r="BQ180" i="161" s="1"/>
  <c r="BN180" i="161" s="1"/>
  <c r="BO180" i="161" s="1"/>
  <c r="BT180" i="161"/>
  <c r="BU180" i="161" s="1"/>
  <c r="BR180" i="161" s="1"/>
  <c r="BS180" i="161" s="1"/>
  <c r="R111" i="161"/>
  <c r="Q111" i="161"/>
  <c r="AE111" i="161" s="1"/>
  <c r="Y111" i="161"/>
  <c r="AA111" i="161" s="1"/>
  <c r="Z111" i="161"/>
  <c r="AB111" i="161" s="1"/>
  <c r="P104" i="161" a="1"/>
  <c r="P104" i="161" s="1"/>
  <c r="X84" i="161" l="1"/>
  <c r="N84" i="161"/>
  <c r="L79" i="161" a="1"/>
  <c r="L79" i="161" s="1"/>
  <c r="P84" i="161" a="1"/>
  <c r="P84" i="161" s="1"/>
  <c r="Z104" i="161"/>
  <c r="AB104" i="161" s="1"/>
  <c r="Q104" i="161"/>
  <c r="AE104" i="161" s="1"/>
  <c r="Y104" i="161"/>
  <c r="AA104" i="161" s="1"/>
  <c r="R104" i="161"/>
  <c r="BM111" i="161"/>
  <c r="BT111" i="161"/>
  <c r="BU111" i="161" s="1"/>
  <c r="BR111" i="161" s="1"/>
  <c r="BS111" i="161" s="1"/>
  <c r="BP111" i="161"/>
  <c r="BQ111" i="161" s="1"/>
  <c r="BN111" i="161" s="1"/>
  <c r="BO111" i="161" s="1"/>
  <c r="AO380" i="161"/>
  <c r="AP74" i="161" s="1"/>
  <c r="F28" i="201"/>
  <c r="F29" i="201"/>
  <c r="AW380" i="161"/>
  <c r="AP20" i="161" l="1"/>
  <c r="AP22" i="161"/>
  <c r="AP18" i="161"/>
  <c r="AP19" i="161"/>
  <c r="L55" i="161" a="1"/>
  <c r="L55" i="161" s="1"/>
  <c r="X79" i="161"/>
  <c r="N79" i="161"/>
  <c r="AX64" i="161"/>
  <c r="AX19" i="161"/>
  <c r="AX57" i="161"/>
  <c r="AX59" i="161"/>
  <c r="AX61" i="161"/>
  <c r="AX29" i="161"/>
  <c r="AX62" i="161"/>
  <c r="AX58" i="161"/>
  <c r="AX63" i="161"/>
  <c r="AX60" i="161"/>
  <c r="AX14" i="161"/>
  <c r="AP35" i="161"/>
  <c r="AP16" i="161"/>
  <c r="AP15" i="161"/>
  <c r="AX76" i="161"/>
  <c r="AX75" i="161"/>
  <c r="AX40" i="161"/>
  <c r="AX89" i="161"/>
  <c r="AX256" i="161"/>
  <c r="AX41" i="161"/>
  <c r="AX257" i="161"/>
  <c r="AX87" i="161"/>
  <c r="AX44" i="161"/>
  <c r="AX98" i="161"/>
  <c r="AX78" i="161"/>
  <c r="AX88" i="161"/>
  <c r="AX43" i="161"/>
  <c r="AX77" i="161"/>
  <c r="AX42" i="161"/>
  <c r="AX74" i="161"/>
  <c r="AX45" i="161"/>
  <c r="AX107" i="161"/>
  <c r="AX86" i="161"/>
  <c r="AX46" i="161"/>
  <c r="AX17" i="161"/>
  <c r="Q84" i="161"/>
  <c r="AE84" i="161" s="1"/>
  <c r="Z84" i="161"/>
  <c r="AB84" i="161" s="1"/>
  <c r="Y84" i="161"/>
  <c r="AA84" i="161" s="1"/>
  <c r="R84" i="161"/>
  <c r="P79" i="161" a="1"/>
  <c r="P79" i="161" s="1"/>
  <c r="BM104" i="161"/>
  <c r="BP104" i="161"/>
  <c r="BQ104" i="161" s="1"/>
  <c r="BN104" i="161" s="1"/>
  <c r="BO104" i="161" s="1"/>
  <c r="BT104" i="161"/>
  <c r="BU104" i="161" s="1"/>
  <c r="BR104" i="161" s="1"/>
  <c r="BS104" i="161" s="1"/>
  <c r="AP21" i="161"/>
  <c r="AJ21" i="161" s="1"/>
  <c r="A21" i="161" s="1"/>
  <c r="AP53" i="161"/>
  <c r="AJ53" i="161" s="1"/>
  <c r="A53" i="161" s="1"/>
  <c r="AP37" i="161"/>
  <c r="AJ37" i="161" s="1"/>
  <c r="A37" i="161" s="1"/>
  <c r="AP36" i="161"/>
  <c r="AP54" i="161"/>
  <c r="AJ54" i="161" s="1"/>
  <c r="A54" i="161" s="1"/>
  <c r="AP38" i="161"/>
  <c r="AJ38" i="161" s="1"/>
  <c r="A38" i="161" s="1"/>
  <c r="AP49" i="161"/>
  <c r="AX80" i="161"/>
  <c r="AX82" i="161"/>
  <c r="AX81" i="161"/>
  <c r="AP80" i="161"/>
  <c r="AJ80" i="161" s="1"/>
  <c r="A80" i="161" s="1"/>
  <c r="AP82" i="161"/>
  <c r="AJ82" i="161" s="1"/>
  <c r="A82" i="161" s="1"/>
  <c r="AP29" i="161"/>
  <c r="AJ29" i="161" s="1"/>
  <c r="A29" i="161" s="1"/>
  <c r="AP81" i="161"/>
  <c r="AJ81" i="161" s="1"/>
  <c r="A81" i="161" s="1"/>
  <c r="AX83" i="161"/>
  <c r="AX18" i="161"/>
  <c r="AY18" i="161" s="1"/>
  <c r="AQ18" i="161" s="1"/>
  <c r="AX21" i="161"/>
  <c r="AY21" i="161" s="1"/>
  <c r="AQ21" i="161" s="1"/>
  <c r="AX281" i="161"/>
  <c r="AX280" i="161"/>
  <c r="AP14" i="161"/>
  <c r="AJ74" i="161" s="1"/>
  <c r="A74" i="161" s="1"/>
  <c r="AX380" i="161"/>
  <c r="AJ22" i="161" l="1"/>
  <c r="A22" i="161" s="1"/>
  <c r="AJ20" i="161"/>
  <c r="A20" i="161" s="1"/>
  <c r="AJ18" i="161"/>
  <c r="A18" i="161" s="1"/>
  <c r="AJ19" i="161"/>
  <c r="A19" i="161" s="1"/>
  <c r="AY57" i="161"/>
  <c r="AQ57" i="161" s="1"/>
  <c r="AJ36" i="161"/>
  <c r="A36" i="161" s="1"/>
  <c r="X55" i="161"/>
  <c r="N55" i="161"/>
  <c r="L52" i="161" a="1"/>
  <c r="L52" i="161" s="1"/>
  <c r="AY60" i="161"/>
  <c r="AQ60" i="161" s="1"/>
  <c r="AY19" i="161"/>
  <c r="AQ19" i="161" s="1"/>
  <c r="AY81" i="161"/>
  <c r="AQ81" i="161" s="1"/>
  <c r="AY63" i="161"/>
  <c r="AQ63" i="161" s="1"/>
  <c r="AY64" i="161"/>
  <c r="AQ64" i="161" s="1"/>
  <c r="AJ35" i="161"/>
  <c r="A35" i="161" s="1"/>
  <c r="AY82" i="161"/>
  <c r="AQ82" i="161" s="1"/>
  <c r="AY58" i="161"/>
  <c r="AQ58" i="161" s="1"/>
  <c r="AY14" i="161"/>
  <c r="AQ14" i="161" s="1"/>
  <c r="AY83" i="161"/>
  <c r="AQ83" i="161" s="1"/>
  <c r="AY80" i="161"/>
  <c r="AQ80" i="161" s="1"/>
  <c r="AY62" i="161"/>
  <c r="AQ62" i="161" s="1"/>
  <c r="AY280" i="161"/>
  <c r="AQ280" i="161" s="1"/>
  <c r="AJ15" i="161"/>
  <c r="A15" i="161" s="1"/>
  <c r="AY29" i="161"/>
  <c r="AQ29" i="161" s="1"/>
  <c r="AY281" i="161"/>
  <c r="AQ281" i="161" s="1"/>
  <c r="AJ16" i="161"/>
  <c r="A16" i="161" s="1"/>
  <c r="AY61" i="161"/>
  <c r="AQ61" i="161" s="1"/>
  <c r="AY59" i="161"/>
  <c r="AQ59" i="161" s="1"/>
  <c r="AY107" i="161"/>
  <c r="AQ107" i="161" s="1"/>
  <c r="AY45" i="161"/>
  <c r="AQ45" i="161" s="1"/>
  <c r="AY42" i="161"/>
  <c r="AQ42" i="161" s="1"/>
  <c r="AY87" i="161"/>
  <c r="AQ87" i="161" s="1"/>
  <c r="AY17" i="161"/>
  <c r="AQ17" i="161" s="1"/>
  <c r="AY77" i="161"/>
  <c r="AQ77" i="161" s="1"/>
  <c r="AY257" i="161"/>
  <c r="AQ257" i="161" s="1"/>
  <c r="AY76" i="161"/>
  <c r="AQ76" i="161" s="1"/>
  <c r="AJ49" i="161"/>
  <c r="A49" i="161" s="1"/>
  <c r="AY46" i="161"/>
  <c r="AQ46" i="161" s="1"/>
  <c r="AY43" i="161"/>
  <c r="AQ43" i="161" s="1"/>
  <c r="AY41" i="161"/>
  <c r="AQ41" i="161" s="1"/>
  <c r="AY86" i="161"/>
  <c r="AQ86" i="161" s="1"/>
  <c r="AY88" i="161"/>
  <c r="AQ88" i="161" s="1"/>
  <c r="AY78" i="161"/>
  <c r="AQ78" i="161" s="1"/>
  <c r="AY256" i="161"/>
  <c r="AQ256" i="161" s="1"/>
  <c r="AY89" i="161"/>
  <c r="AQ89" i="161" s="1"/>
  <c r="AY98" i="161"/>
  <c r="AQ98" i="161" s="1"/>
  <c r="AY40" i="161"/>
  <c r="AQ40" i="161" s="1"/>
  <c r="AY74" i="161"/>
  <c r="AQ74" i="161" s="1"/>
  <c r="AY44" i="161"/>
  <c r="AQ44" i="161" s="1"/>
  <c r="AY75" i="161"/>
  <c r="AQ75" i="161" s="1"/>
  <c r="P55" i="161" a="1"/>
  <c r="P55" i="161" s="1"/>
  <c r="Q79" i="161"/>
  <c r="AE79" i="161" s="1"/>
  <c r="Z79" i="161"/>
  <c r="AB79" i="161" s="1"/>
  <c r="Y79" i="161"/>
  <c r="AA79" i="161" s="1"/>
  <c r="R79" i="161"/>
  <c r="BM84" i="161"/>
  <c r="BT84" i="161"/>
  <c r="BU84" i="161" s="1"/>
  <c r="BR84" i="161" s="1"/>
  <c r="BS84" i="161" s="1"/>
  <c r="BP84" i="161"/>
  <c r="BQ84" i="161" s="1"/>
  <c r="BN84" i="161" s="1"/>
  <c r="BO84" i="161" s="1"/>
  <c r="AJ14" i="161"/>
  <c r="A14" i="161" s="1"/>
  <c r="AP380" i="161"/>
  <c r="F27" i="201"/>
  <c r="G29" i="201"/>
  <c r="F26" i="201"/>
  <c r="B13" i="161"/>
  <c r="N52" i="161" l="1"/>
  <c r="X52" i="161"/>
  <c r="L33" i="161" a="1"/>
  <c r="L33" i="161" s="1"/>
  <c r="BM79" i="161"/>
  <c r="BP79" i="161"/>
  <c r="BT79" i="161"/>
  <c r="Q55" i="161"/>
  <c r="AE55" i="161" s="1"/>
  <c r="Y55" i="161"/>
  <c r="AA55" i="161" s="1"/>
  <c r="R55" i="161"/>
  <c r="Z55" i="161"/>
  <c r="AB55" i="161" s="1"/>
  <c r="P52" i="161" a="1"/>
  <c r="P52" i="161" s="1"/>
  <c r="B67" i="164"/>
  <c r="AJ380" i="161"/>
  <c r="B53" i="164" s="1"/>
  <c r="I29" i="201"/>
  <c r="L29" i="201"/>
  <c r="G27" i="201"/>
  <c r="K27" i="201" s="1"/>
  <c r="G28" i="201"/>
  <c r="K28" i="201" s="1"/>
  <c r="N382" i="161"/>
  <c r="AY380" i="161"/>
  <c r="I25" i="201"/>
  <c r="N33" i="161" l="1"/>
  <c r="X33" i="161"/>
  <c r="L25" i="161" a="1"/>
  <c r="L25" i="161" s="1"/>
  <c r="Q52" i="161"/>
  <c r="AE52" i="161" s="1"/>
  <c r="R52" i="161"/>
  <c r="Z52" i="161"/>
  <c r="AB52" i="161" s="1"/>
  <c r="Y52" i="161"/>
  <c r="AA52" i="161" s="1"/>
  <c r="P33" i="161" a="1"/>
  <c r="P33" i="161" s="1"/>
  <c r="BM55" i="161"/>
  <c r="BT55" i="161"/>
  <c r="BU55" i="161" s="1"/>
  <c r="BR55" i="161" s="1"/>
  <c r="BS55" i="161" s="1"/>
  <c r="BP55" i="161"/>
  <c r="I67" i="164"/>
  <c r="K67" i="164"/>
  <c r="J67" i="164"/>
  <c r="L67" i="164"/>
  <c r="L53" i="164"/>
  <c r="K53" i="164"/>
  <c r="J53" i="164"/>
  <c r="I53" i="164"/>
  <c r="N53" i="164"/>
  <c r="M53" i="164"/>
  <c r="C53" i="164"/>
  <c r="B54" i="164"/>
  <c r="B59" i="164"/>
  <c r="B52" i="164"/>
  <c r="B40" i="164"/>
  <c r="B47" i="164"/>
  <c r="B50" i="164"/>
  <c r="B60" i="164"/>
  <c r="B63" i="164"/>
  <c r="B41" i="164"/>
  <c r="B62" i="164"/>
  <c r="B56" i="164"/>
  <c r="B42" i="164"/>
  <c r="B57" i="164"/>
  <c r="B45" i="164"/>
  <c r="B49" i="164"/>
  <c r="B61" i="164"/>
  <c r="B58" i="164"/>
  <c r="B44" i="164"/>
  <c r="B39" i="164"/>
  <c r="B46" i="164"/>
  <c r="B43" i="164"/>
  <c r="B51" i="164"/>
  <c r="B48" i="164"/>
  <c r="B55" i="164"/>
  <c r="I28" i="201"/>
  <c r="G26" i="201"/>
  <c r="I27" i="201"/>
  <c r="B75" i="164"/>
  <c r="B79" i="164"/>
  <c r="B91" i="164"/>
  <c r="B78" i="164"/>
  <c r="B74" i="164"/>
  <c r="B69" i="164"/>
  <c r="B73" i="164"/>
  <c r="B81" i="164"/>
  <c r="B88" i="164"/>
  <c r="B72" i="164"/>
  <c r="B76" i="164"/>
  <c r="B85" i="164"/>
  <c r="B89" i="164"/>
  <c r="B83" i="164"/>
  <c r="B77" i="164"/>
  <c r="B86" i="164"/>
  <c r="B68" i="164"/>
  <c r="B82" i="164"/>
  <c r="B90" i="164"/>
  <c r="B87" i="164"/>
  <c r="B70" i="164"/>
  <c r="B84" i="164"/>
  <c r="B80" i="164"/>
  <c r="B71" i="164"/>
  <c r="X382" i="161"/>
  <c r="M382" i="161"/>
  <c r="N25" i="161" l="1"/>
  <c r="X25" i="161"/>
  <c r="Y33" i="161"/>
  <c r="AA33" i="161" s="1"/>
  <c r="P25" i="161" a="1"/>
  <c r="P25" i="161" s="1"/>
  <c r="R33" i="161"/>
  <c r="Q33" i="161"/>
  <c r="AE33" i="161" s="1"/>
  <c r="Z33" i="161"/>
  <c r="AB33" i="161" s="1"/>
  <c r="BM52" i="161"/>
  <c r="BT52" i="161"/>
  <c r="BP52" i="161"/>
  <c r="BQ52" i="161" s="1"/>
  <c r="BN52" i="161" s="1"/>
  <c r="BO52" i="161" s="1"/>
  <c r="L70" i="164"/>
  <c r="K70" i="164"/>
  <c r="J70" i="164"/>
  <c r="I70" i="164"/>
  <c r="I87" i="164"/>
  <c r="L87" i="164"/>
  <c r="K87" i="164"/>
  <c r="J87" i="164"/>
  <c r="L78" i="164"/>
  <c r="K78" i="164"/>
  <c r="J78" i="164"/>
  <c r="I78" i="164"/>
  <c r="L90" i="164"/>
  <c r="K90" i="164"/>
  <c r="J90" i="164"/>
  <c r="I90" i="164"/>
  <c r="L76" i="164"/>
  <c r="K76" i="164"/>
  <c r="J76" i="164"/>
  <c r="I76" i="164"/>
  <c r="J91" i="164"/>
  <c r="I91" i="164"/>
  <c r="K91" i="164"/>
  <c r="L91" i="164"/>
  <c r="L82" i="164"/>
  <c r="K82" i="164"/>
  <c r="J82" i="164"/>
  <c r="I82" i="164"/>
  <c r="L72" i="164"/>
  <c r="K72" i="164"/>
  <c r="J72" i="164"/>
  <c r="I72" i="164"/>
  <c r="I79" i="164"/>
  <c r="L79" i="164"/>
  <c r="K79" i="164"/>
  <c r="J79" i="164"/>
  <c r="L68" i="164"/>
  <c r="K68" i="164"/>
  <c r="J68" i="164"/>
  <c r="I68" i="164"/>
  <c r="L88" i="164"/>
  <c r="K88" i="164"/>
  <c r="J88" i="164"/>
  <c r="I88" i="164"/>
  <c r="I75" i="164"/>
  <c r="J75" i="164"/>
  <c r="K75" i="164"/>
  <c r="L75" i="164"/>
  <c r="I71" i="164"/>
  <c r="L71" i="164"/>
  <c r="K71" i="164"/>
  <c r="J71" i="164"/>
  <c r="I81" i="164"/>
  <c r="J81" i="164"/>
  <c r="K81" i="164"/>
  <c r="L81" i="164"/>
  <c r="L86" i="164"/>
  <c r="K86" i="164"/>
  <c r="J86" i="164"/>
  <c r="I86" i="164"/>
  <c r="L80" i="164"/>
  <c r="K80" i="164"/>
  <c r="J80" i="164"/>
  <c r="I80" i="164"/>
  <c r="I77" i="164"/>
  <c r="J77" i="164"/>
  <c r="K77" i="164"/>
  <c r="L77" i="164"/>
  <c r="I73" i="164"/>
  <c r="J73" i="164"/>
  <c r="L73" i="164"/>
  <c r="K73" i="164"/>
  <c r="I83" i="164"/>
  <c r="K83" i="164"/>
  <c r="J83" i="164"/>
  <c r="L83" i="164"/>
  <c r="I69" i="164"/>
  <c r="K69" i="164"/>
  <c r="L69" i="164"/>
  <c r="J69" i="164"/>
  <c r="I89" i="164"/>
  <c r="J89" i="164"/>
  <c r="K89" i="164"/>
  <c r="L89" i="164"/>
  <c r="L74" i="164"/>
  <c r="K74" i="164"/>
  <c r="J74" i="164"/>
  <c r="I74" i="164"/>
  <c r="L84" i="164"/>
  <c r="K84" i="164"/>
  <c r="J84" i="164"/>
  <c r="I84" i="164"/>
  <c r="I85" i="164"/>
  <c r="J85" i="164"/>
  <c r="L85" i="164"/>
  <c r="K85" i="164"/>
  <c r="N46" i="164"/>
  <c r="M46" i="164"/>
  <c r="L46" i="164"/>
  <c r="K46" i="164"/>
  <c r="J46" i="164"/>
  <c r="I46" i="164"/>
  <c r="N42" i="164"/>
  <c r="M42" i="164"/>
  <c r="L42" i="164"/>
  <c r="K42" i="164"/>
  <c r="J42" i="164"/>
  <c r="I42" i="164"/>
  <c r="J40" i="164"/>
  <c r="I40" i="164"/>
  <c r="N40" i="164"/>
  <c r="K40" i="164"/>
  <c r="M40" i="164"/>
  <c r="L40" i="164"/>
  <c r="J52" i="164"/>
  <c r="I52" i="164"/>
  <c r="N52" i="164"/>
  <c r="M52" i="164"/>
  <c r="K52" i="164"/>
  <c r="L52" i="164"/>
  <c r="J44" i="164"/>
  <c r="I44" i="164"/>
  <c r="K44" i="164"/>
  <c r="N44" i="164"/>
  <c r="M44" i="164"/>
  <c r="L44" i="164"/>
  <c r="N62" i="164"/>
  <c r="M62" i="164"/>
  <c r="L62" i="164"/>
  <c r="K62" i="164"/>
  <c r="J62" i="164"/>
  <c r="I62" i="164"/>
  <c r="N59" i="164"/>
  <c r="M59" i="164"/>
  <c r="L59" i="164"/>
  <c r="K59" i="164"/>
  <c r="I59" i="164"/>
  <c r="J59" i="164"/>
  <c r="J56" i="164"/>
  <c r="I56" i="164"/>
  <c r="N56" i="164"/>
  <c r="K56" i="164"/>
  <c r="M56" i="164"/>
  <c r="L56" i="164"/>
  <c r="N58" i="164"/>
  <c r="M58" i="164"/>
  <c r="L58" i="164"/>
  <c r="K58" i="164"/>
  <c r="J58" i="164"/>
  <c r="I58" i="164"/>
  <c r="L41" i="164"/>
  <c r="K41" i="164"/>
  <c r="J41" i="164"/>
  <c r="I41" i="164"/>
  <c r="N41" i="164"/>
  <c r="M41" i="164"/>
  <c r="N54" i="164"/>
  <c r="M54" i="164"/>
  <c r="L54" i="164"/>
  <c r="K54" i="164"/>
  <c r="J54" i="164"/>
  <c r="I54" i="164"/>
  <c r="N39" i="164"/>
  <c r="I39" i="164"/>
  <c r="M39" i="164"/>
  <c r="L39" i="164"/>
  <c r="K39" i="164"/>
  <c r="J39" i="164"/>
  <c r="L61" i="164"/>
  <c r="K61" i="164"/>
  <c r="J61" i="164"/>
  <c r="I61" i="164"/>
  <c r="N61" i="164"/>
  <c r="M61" i="164"/>
  <c r="J48" i="164"/>
  <c r="I48" i="164"/>
  <c r="N48" i="164"/>
  <c r="M48" i="164"/>
  <c r="L48" i="164"/>
  <c r="K48" i="164"/>
  <c r="L49" i="164"/>
  <c r="K49" i="164"/>
  <c r="J49" i="164"/>
  <c r="I49" i="164"/>
  <c r="M49" i="164"/>
  <c r="N49" i="164"/>
  <c r="J60" i="164"/>
  <c r="I60" i="164"/>
  <c r="N60" i="164"/>
  <c r="K60" i="164"/>
  <c r="M60" i="164"/>
  <c r="L60" i="164"/>
  <c r="N55" i="164"/>
  <c r="I55" i="164"/>
  <c r="M55" i="164"/>
  <c r="L55" i="164"/>
  <c r="K55" i="164"/>
  <c r="J55" i="164"/>
  <c r="N63" i="164"/>
  <c r="M63" i="164"/>
  <c r="L63" i="164"/>
  <c r="K63" i="164"/>
  <c r="I63" i="164"/>
  <c r="J63" i="164"/>
  <c r="N51" i="164"/>
  <c r="M51" i="164"/>
  <c r="L51" i="164"/>
  <c r="I51" i="164"/>
  <c r="K51" i="164"/>
  <c r="J51" i="164"/>
  <c r="L45" i="164"/>
  <c r="K45" i="164"/>
  <c r="J45" i="164"/>
  <c r="M45" i="164"/>
  <c r="I45" i="164"/>
  <c r="N45" i="164"/>
  <c r="N50" i="164"/>
  <c r="M50" i="164"/>
  <c r="L50" i="164"/>
  <c r="K50" i="164"/>
  <c r="J50" i="164"/>
  <c r="I50" i="164"/>
  <c r="N43" i="164"/>
  <c r="M43" i="164"/>
  <c r="L43" i="164"/>
  <c r="K43" i="164"/>
  <c r="I43" i="164"/>
  <c r="J43" i="164"/>
  <c r="L57" i="164"/>
  <c r="K57" i="164"/>
  <c r="J57" i="164"/>
  <c r="I57" i="164"/>
  <c r="N57" i="164"/>
  <c r="M57" i="164"/>
  <c r="N47" i="164"/>
  <c r="M47" i="164"/>
  <c r="L47" i="164"/>
  <c r="I47" i="164"/>
  <c r="K47" i="164"/>
  <c r="J47" i="164"/>
  <c r="C55" i="164"/>
  <c r="C61" i="164"/>
  <c r="C63" i="164"/>
  <c r="C48" i="164"/>
  <c r="C49" i="164"/>
  <c r="C60" i="164"/>
  <c r="C41" i="164"/>
  <c r="C51" i="164"/>
  <c r="C45" i="164"/>
  <c r="C50" i="164"/>
  <c r="C54" i="164"/>
  <c r="C43" i="164"/>
  <c r="C57" i="164"/>
  <c r="C47" i="164"/>
  <c r="C46" i="164"/>
  <c r="C42" i="164"/>
  <c r="C40" i="164"/>
  <c r="C39" i="164"/>
  <c r="C56" i="164"/>
  <c r="C52" i="164"/>
  <c r="C58" i="164"/>
  <c r="C44" i="164"/>
  <c r="C62" i="164"/>
  <c r="C59" i="164"/>
  <c r="G25" i="201"/>
  <c r="I26" i="201"/>
  <c r="F23" i="201"/>
  <c r="C87" i="164"/>
  <c r="C85" i="164"/>
  <c r="C67" i="164"/>
  <c r="C90" i="164"/>
  <c r="C76" i="164"/>
  <c r="C78" i="164"/>
  <c r="N480" i="161" a="1"/>
  <c r="N480" i="161" s="1"/>
  <c r="L480" i="161" s="1"/>
  <c r="C82" i="164"/>
  <c r="C72" i="164"/>
  <c r="C91" i="164"/>
  <c r="C68" i="164"/>
  <c r="C88" i="164"/>
  <c r="C79" i="164"/>
  <c r="C71" i="164"/>
  <c r="C86" i="164"/>
  <c r="C81" i="164"/>
  <c r="C75" i="164"/>
  <c r="C80" i="164"/>
  <c r="C77" i="164"/>
  <c r="C73" i="164"/>
  <c r="C84" i="164"/>
  <c r="C83" i="164"/>
  <c r="C69" i="164"/>
  <c r="C70" i="164"/>
  <c r="C89" i="164"/>
  <c r="C74" i="164"/>
  <c r="BM33" i="161" l="1"/>
  <c r="BP33" i="161"/>
  <c r="BQ33" i="161" s="1"/>
  <c r="BN33" i="161" s="1"/>
  <c r="BO33" i="161" s="1"/>
  <c r="BT33" i="161"/>
  <c r="Q25" i="161"/>
  <c r="AE25" i="161" s="1"/>
  <c r="Z25" i="161"/>
  <c r="AB25" i="161" s="1"/>
  <c r="Y25" i="161"/>
  <c r="AA25" i="161" s="1"/>
  <c r="R25" i="161"/>
  <c r="F25" i="201"/>
  <c r="G24" i="201"/>
  <c r="K24" i="201" s="1"/>
  <c r="F22" i="201"/>
  <c r="BM25" i="161" l="1"/>
  <c r="BP25" i="161"/>
  <c r="BT25" i="161"/>
  <c r="I24" i="201"/>
  <c r="G23" i="201"/>
  <c r="E8" i="189" l="1"/>
  <c r="E18" i="180" s="1"/>
  <c r="F18" i="180" s="1"/>
  <c r="L24" i="201"/>
  <c r="G22" i="201"/>
  <c r="I23" i="201"/>
  <c r="F20" i="201"/>
  <c r="L18" i="180" l="1"/>
  <c r="M18" i="180" s="1"/>
  <c r="P18" i="180" s="1"/>
  <c r="F38" i="180"/>
  <c r="F24" i="201"/>
  <c r="AL380" i="161"/>
  <c r="I22" i="201"/>
  <c r="G21" i="201"/>
  <c r="F19" i="201"/>
  <c r="Q18" i="180" l="1"/>
  <c r="R18" i="180" s="1"/>
  <c r="R38" i="180" s="1"/>
  <c r="L38" i="180"/>
  <c r="G8" i="195" s="1"/>
  <c r="E38" i="180"/>
  <c r="Q38" i="180"/>
  <c r="AM380" i="161"/>
  <c r="AN16" i="161" s="1"/>
  <c r="G20" i="201"/>
  <c r="K20" i="201" s="1"/>
  <c r="M38" i="180" l="1"/>
  <c r="P38" i="180" s="1"/>
  <c r="AN64" i="161"/>
  <c r="AN63" i="161"/>
  <c r="AN280" i="161"/>
  <c r="AN80" i="161"/>
  <c r="AN82" i="161"/>
  <c r="AN281" i="161"/>
  <c r="AN83" i="161"/>
  <c r="AN81" i="161"/>
  <c r="AN67" i="161"/>
  <c r="AN20" i="161"/>
  <c r="AH20" i="161" s="1"/>
  <c r="B20" i="161" s="1"/>
  <c r="AN29" i="161"/>
  <c r="AN24" i="161"/>
  <c r="AH24" i="161" s="1"/>
  <c r="B24" i="161" s="1"/>
  <c r="AN23" i="161"/>
  <c r="AH23" i="161" s="1"/>
  <c r="B23" i="161" s="1"/>
  <c r="AN71" i="161"/>
  <c r="AN19" i="161"/>
  <c r="AN61" i="161"/>
  <c r="AN62" i="161"/>
  <c r="AN22" i="161"/>
  <c r="AH22" i="161" s="1"/>
  <c r="B22" i="161" s="1"/>
  <c r="AN68" i="161"/>
  <c r="AN58" i="161"/>
  <c r="AN293" i="161"/>
  <c r="AH293" i="161" s="1"/>
  <c r="B293" i="161" s="1"/>
  <c r="AN59" i="161"/>
  <c r="AN69" i="161"/>
  <c r="AN60" i="161"/>
  <c r="AN70" i="161"/>
  <c r="AN66" i="161"/>
  <c r="AN57" i="161"/>
  <c r="AN14" i="161"/>
  <c r="I20" i="201"/>
  <c r="G19" i="201"/>
  <c r="F17" i="201"/>
  <c r="AH60" i="161" l="1"/>
  <c r="B60" i="161" s="1"/>
  <c r="AH16" i="161"/>
  <c r="B16" i="161" s="1"/>
  <c r="AH81" i="161"/>
  <c r="B81" i="161" s="1"/>
  <c r="AH19" i="161"/>
  <c r="B19" i="161" s="1"/>
  <c r="AH71" i="161"/>
  <c r="B71" i="161" s="1"/>
  <c r="AH281" i="161"/>
  <c r="B281" i="161" s="1"/>
  <c r="AH82" i="161"/>
  <c r="B82" i="161" s="1"/>
  <c r="AH61" i="161"/>
  <c r="B61" i="161" s="1"/>
  <c r="AH58" i="161"/>
  <c r="B58" i="161" s="1"/>
  <c r="AH80" i="161"/>
  <c r="B80" i="161" s="1"/>
  <c r="AH83" i="161"/>
  <c r="B83" i="161" s="1"/>
  <c r="AH57" i="161"/>
  <c r="B57" i="161" s="1"/>
  <c r="AH68" i="161"/>
  <c r="B68" i="161" s="1"/>
  <c r="AH29" i="161"/>
  <c r="B29" i="161" s="1"/>
  <c r="AH280" i="161"/>
  <c r="B280" i="161" s="1"/>
  <c r="AH69" i="161"/>
  <c r="B69" i="161" s="1"/>
  <c r="AH59" i="161"/>
  <c r="B59" i="161" s="1"/>
  <c r="AH66" i="161"/>
  <c r="B66" i="161" s="1"/>
  <c r="AH63" i="161"/>
  <c r="B63" i="161" s="1"/>
  <c r="AH70" i="161"/>
  <c r="B70" i="161" s="1"/>
  <c r="AH62" i="161"/>
  <c r="B62" i="161" s="1"/>
  <c r="AH67" i="161"/>
  <c r="B67" i="161" s="1"/>
  <c r="AH64" i="161"/>
  <c r="B64" i="161" s="1"/>
  <c r="AH14" i="161"/>
  <c r="B14" i="161" s="1"/>
  <c r="AN380" i="161"/>
  <c r="I19" i="201"/>
  <c r="G18" i="201"/>
  <c r="B33" i="164" l="1"/>
  <c r="B25" i="164"/>
  <c r="B32" i="164"/>
  <c r="B24" i="164"/>
  <c r="B31" i="164"/>
  <c r="B30" i="164"/>
  <c r="B29" i="164"/>
  <c r="B28" i="164"/>
  <c r="B35" i="164"/>
  <c r="B27" i="164"/>
  <c r="B34" i="164"/>
  <c r="B26" i="164"/>
  <c r="AH380" i="161"/>
  <c r="G17" i="201"/>
  <c r="K17" i="201" s="1"/>
  <c r="F15" i="201"/>
  <c r="N28" i="164" l="1"/>
  <c r="M28" i="164"/>
  <c r="C28" i="164"/>
  <c r="I28" i="164"/>
  <c r="J28" i="164"/>
  <c r="K28" i="164"/>
  <c r="L28" i="164"/>
  <c r="N29" i="164"/>
  <c r="I29" i="164"/>
  <c r="C29" i="164"/>
  <c r="M29" i="164"/>
  <c r="J29" i="164"/>
  <c r="L29" i="164"/>
  <c r="K29" i="164"/>
  <c r="N30" i="164"/>
  <c r="M30" i="164"/>
  <c r="L30" i="164"/>
  <c r="I30" i="164"/>
  <c r="K30" i="164"/>
  <c r="C30" i="164"/>
  <c r="J30" i="164"/>
  <c r="N31" i="164"/>
  <c r="L31" i="164"/>
  <c r="M31" i="164"/>
  <c r="I31" i="164"/>
  <c r="C31" i="164"/>
  <c r="K31" i="164"/>
  <c r="J31" i="164"/>
  <c r="L26" i="164"/>
  <c r="C26" i="164"/>
  <c r="K26" i="164"/>
  <c r="I26" i="164"/>
  <c r="M26" i="164"/>
  <c r="J26" i="164"/>
  <c r="N26" i="164"/>
  <c r="L24" i="164"/>
  <c r="K24" i="164"/>
  <c r="I24" i="164"/>
  <c r="M24" i="164"/>
  <c r="J24" i="164"/>
  <c r="N24" i="164"/>
  <c r="C24" i="164"/>
  <c r="N34" i="164"/>
  <c r="J34" i="164"/>
  <c r="K34" i="164"/>
  <c r="L34" i="164"/>
  <c r="C34" i="164"/>
  <c r="I34" i="164"/>
  <c r="M34" i="164"/>
  <c r="N32" i="164"/>
  <c r="K32" i="164"/>
  <c r="L32" i="164"/>
  <c r="J32" i="164"/>
  <c r="M32" i="164"/>
  <c r="I32" i="164"/>
  <c r="C32" i="164"/>
  <c r="N27" i="164"/>
  <c r="C27" i="164"/>
  <c r="J27" i="164"/>
  <c r="K27" i="164"/>
  <c r="L27" i="164"/>
  <c r="I27" i="164"/>
  <c r="M27" i="164"/>
  <c r="L25" i="164"/>
  <c r="K25" i="164"/>
  <c r="N25" i="164"/>
  <c r="I25" i="164"/>
  <c r="M25" i="164"/>
  <c r="C25" i="164"/>
  <c r="J25" i="164"/>
  <c r="N35" i="164"/>
  <c r="C35" i="164"/>
  <c r="J35" i="164"/>
  <c r="K35" i="164"/>
  <c r="L35" i="164"/>
  <c r="I35" i="164"/>
  <c r="M35" i="164"/>
  <c r="N33" i="164"/>
  <c r="I33" i="164"/>
  <c r="K33" i="164"/>
  <c r="L33" i="164"/>
  <c r="M33" i="164"/>
  <c r="C33" i="164"/>
  <c r="J33" i="164"/>
  <c r="B22" i="164"/>
  <c r="B14" i="164"/>
  <c r="B18" i="164"/>
  <c r="B17" i="164"/>
  <c r="B16" i="164"/>
  <c r="B19" i="164"/>
  <c r="B20" i="164"/>
  <c r="B21" i="164"/>
  <c r="B11" i="164"/>
  <c r="K11" i="164" s="1"/>
  <c r="B13" i="164"/>
  <c r="B15" i="164"/>
  <c r="B23" i="164"/>
  <c r="B12" i="164"/>
  <c r="G16" i="201"/>
  <c r="I17" i="201"/>
  <c r="L20" i="164" l="1"/>
  <c r="K20" i="164"/>
  <c r="J20" i="164"/>
  <c r="M20" i="164"/>
  <c r="I20" i="164"/>
  <c r="N20" i="164"/>
  <c r="L12" i="164"/>
  <c r="K12" i="164"/>
  <c r="J12" i="164"/>
  <c r="I12" i="164"/>
  <c r="M12" i="164"/>
  <c r="N12" i="164"/>
  <c r="J19" i="164"/>
  <c r="I19" i="164"/>
  <c r="N19" i="164"/>
  <c r="M19" i="164"/>
  <c r="K19" i="164"/>
  <c r="L19" i="164"/>
  <c r="J23" i="164"/>
  <c r="I23" i="164"/>
  <c r="N23" i="164"/>
  <c r="K23" i="164"/>
  <c r="M23" i="164"/>
  <c r="L23" i="164"/>
  <c r="L16" i="164"/>
  <c r="K16" i="164"/>
  <c r="M16" i="164"/>
  <c r="J16" i="164"/>
  <c r="I16" i="164"/>
  <c r="N16" i="164"/>
  <c r="J15" i="164"/>
  <c r="I15" i="164"/>
  <c r="N15" i="164"/>
  <c r="M15" i="164"/>
  <c r="L15" i="164"/>
  <c r="K15" i="164"/>
  <c r="N17" i="164"/>
  <c r="M17" i="164"/>
  <c r="L17" i="164"/>
  <c r="K17" i="164"/>
  <c r="J17" i="164"/>
  <c r="I17" i="164"/>
  <c r="N13" i="164"/>
  <c r="M13" i="164"/>
  <c r="L13" i="164"/>
  <c r="K13" i="164"/>
  <c r="J13" i="164"/>
  <c r="I13" i="164"/>
  <c r="N18" i="164"/>
  <c r="M18" i="164"/>
  <c r="L18" i="164"/>
  <c r="I18" i="164"/>
  <c r="K18" i="164"/>
  <c r="J18" i="164"/>
  <c r="L11" i="164"/>
  <c r="I11" i="164"/>
  <c r="J11" i="164"/>
  <c r="N14" i="164"/>
  <c r="M14" i="164"/>
  <c r="I14" i="164"/>
  <c r="L14" i="164"/>
  <c r="K14" i="164"/>
  <c r="J14" i="164"/>
  <c r="N21" i="164"/>
  <c r="M21" i="164"/>
  <c r="L21" i="164"/>
  <c r="K21" i="164"/>
  <c r="J21" i="164"/>
  <c r="I21" i="164"/>
  <c r="N22" i="164"/>
  <c r="M22" i="164"/>
  <c r="L22" i="164"/>
  <c r="K22" i="164"/>
  <c r="J22" i="164"/>
  <c r="I22" i="164"/>
  <c r="C20" i="164"/>
  <c r="C12" i="164"/>
  <c r="C19" i="164"/>
  <c r="C23" i="164"/>
  <c r="C16" i="164"/>
  <c r="C15" i="164"/>
  <c r="C17" i="164"/>
  <c r="C13" i="164"/>
  <c r="C18" i="164"/>
  <c r="M11" i="164"/>
  <c r="N11" i="164"/>
  <c r="C11" i="164"/>
  <c r="C14" i="164"/>
  <c r="C21" i="164"/>
  <c r="C22" i="164"/>
  <c r="G15" i="201"/>
  <c r="K15" i="201" s="1"/>
  <c r="F13" i="201"/>
  <c r="G14" i="201" l="1"/>
  <c r="K14" i="201" s="1"/>
  <c r="I15" i="201"/>
  <c r="L15" i="201" l="1"/>
  <c r="G13" i="201"/>
  <c r="K13" i="201" s="1"/>
  <c r="L27" i="201" l="1"/>
  <c r="G12" i="201"/>
  <c r="K12" i="201" s="1"/>
  <c r="I13" i="201"/>
  <c r="G10" i="201"/>
  <c r="G11" i="201" l="1"/>
  <c r="K11" i="201" s="1"/>
  <c r="L13" i="201"/>
  <c r="G35" i="201" l="1"/>
  <c r="G34" i="201" l="1"/>
  <c r="K34" i="201" s="1"/>
  <c r="G33" i="201" l="1"/>
  <c r="K33" i="201" s="1"/>
  <c r="G32" i="201" l="1"/>
  <c r="K32" i="201" s="1"/>
  <c r="F31" i="201"/>
  <c r="G31" i="201" l="1"/>
  <c r="L377" i="189" l="1"/>
  <c r="Q377" i="189" s="1"/>
  <c r="R377" i="189" s="1"/>
  <c r="M377" i="189"/>
  <c r="P377" i="189" s="1"/>
  <c r="K31" i="201"/>
  <c r="I31" i="201"/>
  <c r="L31" i="201" l="1"/>
  <c r="F10" i="201" l="1"/>
  <c r="I10" i="201" l="1"/>
  <c r="S239" i="189" l="1"/>
  <c r="L28" i="201" l="1"/>
  <c r="L17" i="201"/>
  <c r="L20" i="201"/>
  <c r="J26" i="201" l="1"/>
  <c r="K26" i="201" s="1"/>
  <c r="J22" i="201" l="1"/>
  <c r="K22" i="201" s="1"/>
  <c r="L26" i="201"/>
  <c r="J18" i="201" l="1"/>
  <c r="K18" i="201" s="1"/>
  <c r="L22" i="201" l="1"/>
  <c r="J23" i="201"/>
  <c r="K23" i="201" s="1"/>
  <c r="J21" i="201"/>
  <c r="K21" i="201" s="1"/>
  <c r="J19" i="201" l="1"/>
  <c r="K19" i="201" s="1"/>
  <c r="L23" i="201" l="1"/>
  <c r="L19" i="201" l="1"/>
  <c r="J25" i="201" l="1"/>
  <c r="K25" i="201" l="1"/>
  <c r="L25" i="201" l="1"/>
  <c r="J29" i="201" l="1"/>
  <c r="K29" i="201" l="1"/>
  <c r="J16" i="201" l="1"/>
  <c r="K16" i="201" s="1"/>
  <c r="I9" i="189" l="1"/>
  <c r="I8" i="189" s="1"/>
  <c r="I375" i="189" l="1" a="1"/>
  <c r="I375" i="189" s="1"/>
  <c r="K9" i="189"/>
  <c r="K8" i="189" s="1"/>
  <c r="K375" i="189" l="1" a="1"/>
  <c r="K375" i="189" s="1"/>
  <c r="L9" i="189"/>
  <c r="Q9" i="189" s="1"/>
  <c r="R9" i="189" s="1"/>
  <c r="M9" i="189"/>
  <c r="P9" i="189" s="1"/>
  <c r="J10" i="201"/>
  <c r="K10" i="201" l="1"/>
  <c r="L8" i="189"/>
  <c r="M8" i="189" l="1"/>
  <c r="P8" i="189" s="1"/>
  <c r="Q8" i="189"/>
  <c r="R8" i="189" s="1"/>
  <c r="L10" i="201" l="1"/>
  <c r="Z382" i="161" l="1"/>
  <c r="Y382" i="161"/>
  <c r="AA382" i="161" s="1"/>
  <c r="Q382" i="161"/>
  <c r="R382" i="161"/>
  <c r="R480" i="161" a="1"/>
  <c r="R480" i="161" s="1"/>
  <c r="P480" i="161" s="1"/>
  <c r="Z480" i="161" s="1"/>
  <c r="Y480" i="161" l="1"/>
  <c r="L21" i="201" l="1"/>
  <c r="I21" i="201" l="1"/>
  <c r="F21" i="201" l="1"/>
  <c r="L18" i="201"/>
  <c r="J35" i="201"/>
  <c r="I18" i="201" l="1"/>
  <c r="K35" i="201"/>
  <c r="J475" i="189" a="1"/>
  <c r="J475" i="189" s="1"/>
  <c r="J476" i="189" s="1"/>
  <c r="F18" i="201" l="1"/>
  <c r="I34" i="201"/>
  <c r="L385" i="189"/>
  <c r="L35" i="201"/>
  <c r="I35" i="201"/>
  <c r="F33" i="201"/>
  <c r="I33" i="201"/>
  <c r="L33" i="201"/>
  <c r="M385" i="189"/>
  <c r="P385" i="189" s="1"/>
  <c r="F34" i="201"/>
  <c r="F32" i="201"/>
  <c r="F35" i="201"/>
  <c r="I32" i="201"/>
  <c r="Q385" i="189"/>
  <c r="R385" i="189" s="1"/>
  <c r="L34" i="201"/>
  <c r="L16" i="201" l="1"/>
  <c r="I16" i="201"/>
  <c r="L32" i="201"/>
  <c r="L14" i="201" l="1"/>
  <c r="I14" i="201"/>
  <c r="F16" i="201"/>
  <c r="F14" i="201" l="1"/>
  <c r="L12" i="201" l="1"/>
  <c r="I12" i="201"/>
  <c r="F375" i="189" a="1"/>
  <c r="F375" i="189" s="1"/>
  <c r="M375" i="189" l="1"/>
  <c r="P375" i="189" s="1"/>
  <c r="L375" i="189"/>
  <c r="F12" i="201"/>
  <c r="I11" i="201"/>
  <c r="L11" i="201" l="1"/>
  <c r="R375" i="189" a="1"/>
  <c r="R375" i="189" s="1"/>
  <c r="F11" i="201"/>
  <c r="B35" i="199" l="1"/>
  <c r="O35" i="199" s="1"/>
  <c r="E35" i="199" s="1"/>
  <c r="AF14" i="195"/>
  <c r="AH14" i="195" s="1"/>
  <c r="AE14" i="195" s="1"/>
  <c r="AN14" i="195" s="1"/>
  <c r="AK14" i="195" s="1"/>
  <c r="T480" i="161" a="1"/>
  <c r="T480" i="161" s="1"/>
  <c r="W480" i="161" a="1"/>
  <c r="W480" i="161" s="1"/>
  <c r="L13" i="161" l="1" a="1"/>
  <c r="L13" i="161" s="1"/>
  <c r="P13" i="161" a="1"/>
  <c r="P13" i="161" s="1"/>
  <c r="D475" i="189"/>
  <c r="G36" i="201"/>
  <c r="X13" i="161" l="1"/>
  <c r="N13" i="161"/>
  <c r="T380" i="161" a="1"/>
  <c r="T380" i="161" s="1"/>
  <c r="T481" i="161" s="1"/>
  <c r="Y13" i="161"/>
  <c r="Q13" i="161"/>
  <c r="AE13" i="161" s="1"/>
  <c r="Z13" i="161"/>
  <c r="AB13" i="161" s="1"/>
  <c r="R13" i="161"/>
  <c r="G37" i="201"/>
  <c r="H36" i="201" s="1"/>
  <c r="AA13" i="161" l="1"/>
  <c r="V380" i="161" a="1"/>
  <c r="V380" i="161" s="1"/>
  <c r="W380" i="161" a="1"/>
  <c r="W380" i="161" s="1"/>
  <c r="W481" i="161" s="1"/>
  <c r="G11" i="195" s="1"/>
  <c r="BM13" i="161"/>
  <c r="R380" i="161" a="1"/>
  <c r="R380" i="161" s="1"/>
  <c r="BP13" i="161"/>
  <c r="N380" i="161" a="1"/>
  <c r="N380" i="161" s="1"/>
  <c r="BT13" i="161"/>
  <c r="H16" i="201"/>
  <c r="H28" i="201"/>
  <c r="H34" i="201"/>
  <c r="H24" i="201"/>
  <c r="H10" i="201"/>
  <c r="H19" i="201"/>
  <c r="H23" i="201"/>
  <c r="H32" i="201"/>
  <c r="H31" i="201"/>
  <c r="H25" i="201"/>
  <c r="H26" i="201"/>
  <c r="H33" i="201"/>
  <c r="H11" i="201"/>
  <c r="H21" i="201"/>
  <c r="H29" i="201"/>
  <c r="H20" i="201"/>
  <c r="H12" i="201"/>
  <c r="H35" i="201"/>
  <c r="H18" i="201"/>
  <c r="H22" i="201"/>
  <c r="H14" i="201"/>
  <c r="H27" i="201"/>
  <c r="H17" i="201"/>
  <c r="H15" i="201"/>
  <c r="H13" i="201"/>
  <c r="AJ11" i="195"/>
  <c r="E46" i="201"/>
  <c r="E43" i="201" l="1"/>
  <c r="BT380" i="161"/>
  <c r="BU13" i="161" s="1"/>
  <c r="N481" i="161"/>
  <c r="L380" i="161"/>
  <c r="BP380" i="161"/>
  <c r="BQ13" i="161" s="1"/>
  <c r="P380" i="161"/>
  <c r="F20" i="158" s="1"/>
  <c r="R481" i="161"/>
  <c r="P483" i="161" s="1"/>
  <c r="BM380" i="161"/>
  <c r="BN380" i="161"/>
  <c r="V481" i="161"/>
  <c r="D476" i="189" s="1"/>
  <c r="D375" i="189"/>
  <c r="F19" i="158" l="1"/>
  <c r="AH19" i="158" s="1"/>
  <c r="F18" i="158"/>
  <c r="AF11" i="195"/>
  <c r="AH11" i="195" s="1"/>
  <c r="AE11" i="195" s="1"/>
  <c r="AN11" i="195" s="1"/>
  <c r="AK11" i="195" s="1"/>
  <c r="AH20" i="158"/>
  <c r="BQ79" i="161"/>
  <c r="BN79" i="161" s="1"/>
  <c r="BO79" i="161" s="1"/>
  <c r="BQ55" i="161"/>
  <c r="BQ279" i="161"/>
  <c r="BN279" i="161" s="1"/>
  <c r="BO279" i="161" s="1"/>
  <c r="BQ25" i="161"/>
  <c r="BU52" i="161"/>
  <c r="BR52" i="161" s="1"/>
  <c r="BS52" i="161" s="1"/>
  <c r="BU33" i="161"/>
  <c r="BU79" i="161"/>
  <c r="BR79" i="161" s="1"/>
  <c r="BS79" i="161" s="1"/>
  <c r="BU25" i="161"/>
  <c r="BR25" i="161" s="1"/>
  <c r="BS25" i="161" s="1"/>
  <c r="Y380" i="161"/>
  <c r="Z380" i="161"/>
  <c r="AB380" i="161" s="1"/>
  <c r="BN13" i="161"/>
  <c r="E375" i="189"/>
  <c r="Q375" i="189"/>
  <c r="X380" i="161"/>
  <c r="M380" i="161"/>
  <c r="N483" i="161"/>
  <c r="L481" i="161"/>
  <c r="P481" i="161"/>
  <c r="F7" i="158" s="1"/>
  <c r="F6" i="158" s="1"/>
  <c r="R483" i="161"/>
  <c r="BR380" i="161" l="1"/>
  <c r="BR13" i="161"/>
  <c r="BS13" i="161" s="1"/>
  <c r="BQ380" i="161"/>
  <c r="BN25" i="161"/>
  <c r="BO25" i="161" s="1"/>
  <c r="BU380" i="161"/>
  <c r="BN55" i="161"/>
  <c r="BO55" i="161" s="1"/>
  <c r="AH7" i="158"/>
  <c r="AJ7" i="158" s="1"/>
  <c r="AE7" i="158" s="1"/>
  <c r="AP7" i="158" s="1"/>
  <c r="AM7" i="158" s="1"/>
  <c r="AH6" i="158"/>
  <c r="AJ6" i="158" s="1"/>
  <c r="AE6" i="158" s="1"/>
  <c r="AP6" i="158" s="1"/>
  <c r="BR33" i="161"/>
  <c r="BS33" i="161" s="1"/>
  <c r="AA380" i="161"/>
  <c r="BO13" i="161"/>
  <c r="Y481" i="161"/>
  <c r="AJ19" i="158"/>
  <c r="AE19" i="158" s="1"/>
  <c r="F13" i="159" l="1"/>
  <c r="M13" i="159" s="1"/>
  <c r="F8" i="159"/>
  <c r="M8" i="159" s="1"/>
  <c r="F27" i="159"/>
  <c r="F9" i="159"/>
  <c r="M9" i="159" s="1"/>
  <c r="F23" i="159"/>
  <c r="F14" i="159"/>
  <c r="G14" i="159" s="1"/>
  <c r="F11" i="159"/>
  <c r="F19" i="159"/>
  <c r="N19" i="159" s="1"/>
  <c r="F24" i="159"/>
  <c r="N24" i="159" s="1"/>
  <c r="F21" i="159"/>
  <c r="M21" i="159" s="1"/>
  <c r="F10" i="159"/>
  <c r="F15" i="159"/>
  <c r="G15" i="159" s="1"/>
  <c r="F20" i="159"/>
  <c r="M20" i="159" s="1"/>
  <c r="F29" i="159"/>
  <c r="N29" i="159" s="1"/>
  <c r="F17" i="159"/>
  <c r="F25" i="159"/>
  <c r="M25" i="159" s="1"/>
  <c r="F22" i="159"/>
  <c r="N22" i="159" s="1"/>
  <c r="F12" i="159"/>
  <c r="M12" i="159" s="1"/>
  <c r="F28" i="159"/>
  <c r="N28" i="159" s="1"/>
  <c r="F26" i="159"/>
  <c r="G26" i="159" s="1"/>
  <c r="F16" i="159"/>
  <c r="N16" i="159" s="1"/>
  <c r="M27" i="159"/>
  <c r="G27" i="159"/>
  <c r="N27" i="159"/>
  <c r="N23" i="159"/>
  <c r="M23" i="159"/>
  <c r="G23" i="159"/>
  <c r="G13" i="159"/>
  <c r="N13" i="159"/>
  <c r="AP19" i="158"/>
  <c r="AM19" i="158" s="1"/>
  <c r="AM6" i="158"/>
  <c r="D10" i="159"/>
  <c r="AJ20" i="158"/>
  <c r="G11" i="159"/>
  <c r="N11" i="159"/>
  <c r="M11" i="159"/>
  <c r="G10" i="159"/>
  <c r="N10" i="159"/>
  <c r="M10" i="159"/>
  <c r="M17" i="159"/>
  <c r="N17" i="159"/>
  <c r="G17" i="159"/>
  <c r="N8" i="159" l="1"/>
  <c r="O8" i="159" s="1"/>
  <c r="G24" i="159"/>
  <c r="G8" i="159"/>
  <c r="G21" i="159"/>
  <c r="N21" i="159"/>
  <c r="O21" i="159" s="1"/>
  <c r="M15" i="159"/>
  <c r="G9" i="159"/>
  <c r="N15" i="159"/>
  <c r="O15" i="159" s="1"/>
  <c r="N9" i="159"/>
  <c r="O9" i="159" s="1"/>
  <c r="M26" i="159"/>
  <c r="G20" i="159"/>
  <c r="N20" i="159"/>
  <c r="O20" i="159" s="1"/>
  <c r="G19" i="159"/>
  <c r="M19" i="159"/>
  <c r="O19" i="159" s="1"/>
  <c r="G25" i="159"/>
  <c r="N25" i="159"/>
  <c r="O25" i="159" s="1"/>
  <c r="G28" i="159"/>
  <c r="G29" i="159"/>
  <c r="M22" i="159"/>
  <c r="O22" i="159" s="1"/>
  <c r="N14" i="159"/>
  <c r="M14" i="159"/>
  <c r="G22" i="159"/>
  <c r="M29" i="159"/>
  <c r="O29" i="159" s="1"/>
  <c r="G12" i="159"/>
  <c r="M24" i="159"/>
  <c r="O24" i="159" s="1"/>
  <c r="N12" i="159"/>
  <c r="O12" i="159" s="1"/>
  <c r="M16" i="159"/>
  <c r="O16" i="159" s="1"/>
  <c r="N26" i="159"/>
  <c r="O26" i="159" s="1"/>
  <c r="M28" i="159"/>
  <c r="O28" i="159" s="1"/>
  <c r="AE26" i="158"/>
  <c r="D7" i="159" s="1"/>
  <c r="AE25" i="158"/>
  <c r="D9" i="159" s="1"/>
  <c r="AE20" i="158"/>
  <c r="G16" i="159"/>
  <c r="O11" i="159"/>
  <c r="O23" i="159"/>
  <c r="O10" i="159"/>
  <c r="O17" i="159"/>
  <c r="O13" i="159"/>
  <c r="O27" i="159"/>
  <c r="O14" i="159" l="1"/>
  <c r="G53" i="158"/>
  <c r="G47" i="158"/>
  <c r="G49" i="158"/>
  <c r="G43" i="158"/>
  <c r="G48" i="158"/>
  <c r="G58" i="158"/>
  <c r="AP20" i="158"/>
  <c r="G57" i="158"/>
  <c r="G39" i="158"/>
  <c r="G40" i="158"/>
  <c r="G37" i="158"/>
  <c r="D8" i="159"/>
  <c r="G38" i="158"/>
  <c r="G45" i="158"/>
  <c r="G61" i="158"/>
  <c r="G42" i="158"/>
  <c r="G59" i="158"/>
  <c r="G52" i="158"/>
  <c r="G56" i="158"/>
  <c r="G50" i="158"/>
  <c r="G41" i="158"/>
  <c r="G46" i="158"/>
  <c r="G54" i="158"/>
  <c r="G55" i="158"/>
  <c r="G44" i="158"/>
  <c r="G60" i="158"/>
  <c r="G51" i="158"/>
  <c r="AH18" i="158" l="1"/>
  <c r="AJ18" i="158" s="1"/>
  <c r="AE18" i="158" s="1"/>
  <c r="D11" i="159"/>
  <c r="H51" i="158"/>
  <c r="J51" i="158"/>
  <c r="I51" i="158"/>
  <c r="K51" i="158"/>
  <c r="H38" i="158"/>
  <c r="I38" i="158"/>
  <c r="I58" i="158"/>
  <c r="H58" i="158"/>
  <c r="J58" i="158"/>
  <c r="K58" i="158"/>
  <c r="J50" i="158"/>
  <c r="K50" i="158"/>
  <c r="I50" i="158"/>
  <c r="H50" i="158"/>
  <c r="K60" i="158"/>
  <c r="H60" i="158"/>
  <c r="I60" i="158"/>
  <c r="J60" i="158"/>
  <c r="B5" i="199"/>
  <c r="O5" i="199" s="1"/>
  <c r="E5" i="199" s="1"/>
  <c r="J48" i="158"/>
  <c r="I48" i="158"/>
  <c r="K48" i="158"/>
  <c r="H48" i="158"/>
  <c r="AM20" i="158"/>
  <c r="I44" i="158"/>
  <c r="H44" i="158"/>
  <c r="J44" i="158"/>
  <c r="K44" i="158"/>
  <c r="I56" i="158"/>
  <c r="J56" i="158"/>
  <c r="K56" i="158"/>
  <c r="H56" i="158"/>
  <c r="H37" i="158"/>
  <c r="I37" i="158"/>
  <c r="K43" i="158"/>
  <c r="H43" i="158"/>
  <c r="J43" i="158"/>
  <c r="I43" i="158"/>
  <c r="J45" i="158"/>
  <c r="K45" i="158"/>
  <c r="I45" i="158"/>
  <c r="H45" i="158"/>
  <c r="I55" i="158"/>
  <c r="J55" i="158"/>
  <c r="H55" i="158"/>
  <c r="K55" i="158"/>
  <c r="I52" i="158"/>
  <c r="J52" i="158"/>
  <c r="K52" i="158"/>
  <c r="H52" i="158"/>
  <c r="I40" i="158"/>
  <c r="H40" i="158"/>
  <c r="I49" i="158"/>
  <c r="K49" i="158"/>
  <c r="J49" i="158"/>
  <c r="H49" i="158"/>
  <c r="K54" i="158"/>
  <c r="J54" i="158"/>
  <c r="I54" i="158"/>
  <c r="H54" i="158"/>
  <c r="J59" i="158"/>
  <c r="I59" i="158"/>
  <c r="H59" i="158"/>
  <c r="K59" i="158"/>
  <c r="J47" i="158"/>
  <c r="K47" i="158"/>
  <c r="H47" i="158"/>
  <c r="I47" i="158"/>
  <c r="K46" i="158"/>
  <c r="I46" i="158"/>
  <c r="H46" i="158"/>
  <c r="J46" i="158"/>
  <c r="I42" i="158"/>
  <c r="H42" i="158"/>
  <c r="K42" i="158"/>
  <c r="J42" i="158"/>
  <c r="I39" i="158"/>
  <c r="H39" i="158"/>
  <c r="H53" i="158"/>
  <c r="K53" i="158"/>
  <c r="I53" i="158"/>
  <c r="J53" i="158"/>
  <c r="I41" i="158"/>
  <c r="H41" i="158"/>
  <c r="J41" i="158"/>
  <c r="K41" i="158" s="1"/>
  <c r="I61" i="158"/>
  <c r="K61" i="158"/>
  <c r="H61" i="158"/>
  <c r="J61" i="158"/>
  <c r="I57" i="158"/>
  <c r="J57" i="158"/>
  <c r="H57" i="158"/>
  <c r="K57" i="158"/>
  <c r="J40" i="158" l="1"/>
  <c r="K40" i="158" s="1"/>
  <c r="J39" i="158"/>
  <c r="K39" i="158" s="1"/>
  <c r="J37" i="158"/>
  <c r="K37" i="158" s="1"/>
  <c r="J38" i="158"/>
  <c r="K38" i="158" s="1"/>
  <c r="AF18" i="158"/>
  <c r="AG18" i="158" s="1"/>
  <c r="K67" i="158" l="1"/>
  <c r="K71" i="158" s="1"/>
  <c r="D13" i="159" s="1"/>
  <c r="B13" i="159" s="1"/>
  <c r="AP18" i="158"/>
  <c r="AL18" i="158"/>
  <c r="I475" i="189" a="1"/>
  <c r="I475" i="189" s="1"/>
  <c r="I476" i="189" s="1"/>
  <c r="H475" i="189" a="1"/>
  <c r="H475" i="189" s="1"/>
  <c r="H476" i="189" s="1"/>
  <c r="K475" i="189" a="1"/>
  <c r="K475" i="189" s="1"/>
  <c r="K476" i="189" s="1"/>
  <c r="E45" i="201" s="1"/>
  <c r="G475" i="189" a="1"/>
  <c r="G475" i="189" s="1"/>
  <c r="G476" i="189" s="1"/>
  <c r="J36" i="201"/>
  <c r="J37" i="201" s="1"/>
  <c r="AM18" i="158" l="1"/>
  <c r="K36" i="201"/>
  <c r="K37" i="201" s="1"/>
  <c r="L473" i="189" l="1"/>
  <c r="M473" i="189"/>
  <c r="P473" i="189" s="1"/>
  <c r="I36" i="201"/>
  <c r="I37" i="201" s="1"/>
  <c r="Q473" i="189"/>
  <c r="R473" i="189" s="1"/>
  <c r="F475" i="189" a="1"/>
  <c r="F475" i="189" s="1"/>
  <c r="E473" i="189"/>
  <c r="E46" i="180" s="1"/>
  <c r="F46" i="180" s="1"/>
  <c r="F36" i="201"/>
  <c r="L46" i="180" l="1"/>
  <c r="M46" i="180" s="1"/>
  <c r="P46" i="180" s="1"/>
  <c r="Q46" i="180"/>
  <c r="R46" i="180" s="1"/>
  <c r="R47" i="180" s="1"/>
  <c r="R48" i="180" s="1"/>
  <c r="E47" i="201" s="1"/>
  <c r="F47" i="180"/>
  <c r="R475" i="189" a="1"/>
  <c r="R475" i="189" s="1"/>
  <c r="R476" i="189" s="1"/>
  <c r="L36" i="201"/>
  <c r="L37" i="201" s="1"/>
  <c r="L475" i="189"/>
  <c r="M475" i="189" s="1"/>
  <c r="P475" i="189" s="1"/>
  <c r="E475" i="189"/>
  <c r="F476" i="189"/>
  <c r="Q475" i="189"/>
  <c r="E47" i="180" l="1"/>
  <c r="F48" i="180"/>
  <c r="G12" i="195" s="1"/>
  <c r="L47" i="180"/>
  <c r="G9" i="195" s="1"/>
  <c r="Q47" i="180"/>
  <c r="E48" i="201"/>
  <c r="E49" i="201"/>
  <c r="E476" i="189"/>
  <c r="L476" i="189"/>
  <c r="M476" i="189" s="1"/>
  <c r="P476" i="189" s="1"/>
  <c r="Q476" i="189"/>
  <c r="M47" i="180" l="1"/>
  <c r="P47" i="180" s="1"/>
  <c r="B50" i="199"/>
  <c r="O50" i="199" s="1"/>
  <c r="E50" i="199" s="1"/>
  <c r="E48" i="180"/>
  <c r="G24" i="195" s="1"/>
  <c r="G23" i="195" s="1"/>
  <c r="AF12" i="195"/>
  <c r="AH12" i="195" s="1"/>
  <c r="AE12" i="195" s="1"/>
  <c r="AN12" i="195" s="1"/>
  <c r="AK12" i="195" s="1"/>
  <c r="L48" i="180"/>
  <c r="G10" i="195" s="1"/>
  <c r="Q48" i="180"/>
  <c r="E44" i="201"/>
  <c r="E42" i="201" l="1"/>
  <c r="M48" i="180"/>
  <c r="P48" i="180" s="1"/>
  <c r="B20" i="199"/>
  <c r="O20" i="199" s="1"/>
  <c r="E20" i="199" s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P483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sharedStrings.xml><?xml version="1.0" encoding="utf-8"?>
<sst xmlns="http://schemas.openxmlformats.org/spreadsheetml/2006/main" count="12579" uniqueCount="2799">
  <si>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</si>
  <si>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</si>
  <si>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</si>
  <si>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</si>
  <si>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</si>
  <si>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</si>
  <si>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</si>
  <si>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</si>
  <si>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</si>
  <si>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</si>
  <si>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</si>
  <si>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</si>
  <si>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</si>
  <si>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</si>
  <si>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</si>
  <si>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</si>
  <si>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</si>
  <si>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</si>
  <si>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</si>
  <si>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</si>
  <si>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</si>
  <si>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</si>
  <si>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</si>
  <si>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</si>
  <si>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</si>
  <si>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</si>
  <si>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</si>
  <si>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</si>
  <si>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</si>
  <si>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</si>
  <si>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</si>
  <si>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</si>
  <si>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</si>
  <si>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</si>
  <si>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</si>
  <si>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</si>
  <si>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</si>
  <si>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</si>
  <si>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</si>
  <si>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</si>
  <si>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</si>
  <si>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</si>
  <si>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</si>
  <si>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</si>
  <si>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</si>
  <si>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</si>
  <si>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</si>
  <si>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</si>
  <si>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</si>
  <si>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</si>
  <si>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</si>
  <si>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</si>
  <si>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</si>
  <si>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</si>
  <si>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</si>
  <si>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</si>
  <si>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</si>
  <si>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</si>
  <si>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</si>
  <si>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</si>
  <si>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</si>
  <si>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</si>
  <si>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</si>
  <si>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</si>
  <si>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</si>
  <si>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</si>
  <si>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</si>
  <si>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</si>
  <si>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</si>
  <si>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</si>
  <si>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</si>
  <si>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</si>
  <si>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</si>
  <si>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</si>
  <si>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</si>
  <si>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</si>
  <si>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</si>
  <si>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</si>
  <si>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</si>
  <si>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</si>
  <si>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</si>
  <si>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</si>
  <si>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</si>
  <si>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</si>
  <si>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</si>
  <si>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</si>
  <si>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</si>
  <si>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</si>
  <si>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</si>
  <si>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</si>
  <si>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</si>
  <si>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</si>
  <si>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</si>
  <si>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</si>
  <si>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</si>
  <si>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</si>
  <si>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</si>
  <si>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</si>
  <si>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</si>
  <si>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</si>
  <si>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</si>
  <si>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</si>
  <si>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</si>
  <si>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</si>
  <si>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</si>
  <si>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</si>
  <si>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</si>
  <si>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</si>
  <si>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</si>
  <si>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</si>
  <si>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</si>
  <si>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</si>
  <si>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</si>
  <si>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</si>
  <si>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</si>
  <si>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</si>
  <si>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</si>
  <si>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</si>
  <si>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</si>
  <si>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</si>
  <si>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</si>
  <si>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09.003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</si>
  <si>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</si>
  <si>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</si>
  <si>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</si>
  <si>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</si>
  <si>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</si>
  <si>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</si>
  <si>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</si>
  <si>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</si>
  <si>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</si>
  <si>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</si>
  <si>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</si>
  <si>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</si>
  <si>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</si>
  <si>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</si>
  <si>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</si>
  <si>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</si>
  <si>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</si>
  <si>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</si>
  <si>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</si>
  <si>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</si>
  <si>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</si>
  <si>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</si>
  <si>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</si>
  <si>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</si>
  <si>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</si>
  <si>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</si>
  <si>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</si>
  <si>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</si>
  <si>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</si>
  <si>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</si>
  <si>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</si>
  <si>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</si>
  <si>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</si>
  <si>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</si>
  <si>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</si>
  <si>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</si>
  <si>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</si>
  <si>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</si>
  <si>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</si>
  <si>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</si>
  <si>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</si>
  <si>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</si>
  <si>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</si>
  <si>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</si>
  <si>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</si>
  <si>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</si>
  <si>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</si>
  <si>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</si>
  <si>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</si>
  <si>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</si>
  <si>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</si>
  <si>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</si>
  <si>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</si>
  <si>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</si>
  <si>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</si>
  <si>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</si>
  <si>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</si>
  <si>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</si>
  <si>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</si>
  <si>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</si>
  <si>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</si>
  <si>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</si>
  <si>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</si>
  <si>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</si>
  <si>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</si>
  <si>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</si>
  <si>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</si>
  <si>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</si>
  <si>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</si>
  <si>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</si>
  <si>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</si>
  <si>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</si>
  <si>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</si>
  <si>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</si>
  <si>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</si>
  <si>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</si>
  <si>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</si>
  <si>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</si>
  <si>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</si>
  <si>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</si>
  <si>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</si>
  <si>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</si>
  <si>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</si>
  <si>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</si>
  <si>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</si>
  <si>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</si>
  <si>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</si>
  <si>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</si>
  <si>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</si>
  <si>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</si>
  <si>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</si>
  <si>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</si>
  <si>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</si>
  <si>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</si>
  <si>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</si>
  <si>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</si>
  <si>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</si>
  <si>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</si>
  <si>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</si>
  <si>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</si>
  <si>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</si>
  <si>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</si>
  <si>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</si>
  <si>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</si>
  <si>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</si>
  <si>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</si>
  <si>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</si>
  <si>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</si>
  <si>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</si>
  <si>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</si>
  <si>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</si>
  <si>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</si>
  <si>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</si>
  <si>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</si>
  <si>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</si>
  <si>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</si>
  <si>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</si>
  <si>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</si>
  <si>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</si>
  <si>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</si>
  <si>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</si>
  <si>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</si>
  <si>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</si>
  <si>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</si>
  <si>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</si>
  <si>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</si>
  <si>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</si>
  <si>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</si>
  <si>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</si>
  <si>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</si>
  <si>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</si>
  <si>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</si>
  <si>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</si>
  <si>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</si>
  <si>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</si>
  <si>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</si>
  <si>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</si>
  <si>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</si>
  <si>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</si>
  <si>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</si>
  <si>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</si>
  <si>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</si>
  <si>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</si>
  <si>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</si>
  <si>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</si>
  <si>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</si>
  <si>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</si>
  <si>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</si>
  <si>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</si>
  <si>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</si>
  <si>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</si>
  <si>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</si>
  <si>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</si>
  <si>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</si>
  <si>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</si>
  <si>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</si>
  <si>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</si>
  <si>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</si>
  <si>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</si>
  <si>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</si>
  <si>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</si>
  <si>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</si>
  <si>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</si>
  <si>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</si>
  <si>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</si>
  <si>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</si>
  <si>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</si>
  <si>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</si>
  <si>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</si>
  <si>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</si>
  <si>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</si>
  <si>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</si>
  <si>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</si>
  <si>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</si>
  <si>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</si>
  <si>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</si>
  <si>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</si>
  <si>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</si>
  <si>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</si>
  <si>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</si>
  <si>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</si>
  <si>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</si>
  <si>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</si>
  <si>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</si>
  <si>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</si>
  <si>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</si>
  <si>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</si>
  <si>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</si>
  <si>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</si>
  <si>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</si>
  <si>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</si>
  <si>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</si>
  <si>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</si>
  <si>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</si>
  <si>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</si>
  <si>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</si>
  <si>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</si>
  <si>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</si>
  <si>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</si>
  <si>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</si>
  <si>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</si>
  <si>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</si>
  <si>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</si>
  <si>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</si>
  <si>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</si>
  <si>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>- CUSTOS INDIRETOS - PESSOAL</t>
  </si>
  <si>
    <t>- CUSTOS INDIRETOS - OUTROS</t>
  </si>
  <si>
    <t>- ADMINISTRAÇÃO</t>
  </si>
  <si>
    <t>- PROJETOS</t>
  </si>
  <si>
    <t>- LAUDOS E ESTUDOS</t>
  </si>
  <si>
    <t>- SERVIÇOS PRELIMINARES</t>
  </si>
  <si>
    <t xml:space="preserve">  - Barracões sobre laje</t>
  </si>
  <si>
    <t>- TERRAPLENAGEM</t>
  </si>
  <si>
    <t>- FUNDAÇÃO</t>
  </si>
  <si>
    <t xml:space="preserve">  - Fundação Direta - Blocos e cintas</t>
  </si>
  <si>
    <t>- SUPER-ESTRUTURA</t>
  </si>
  <si>
    <t>- ALVENARIA / FECHAMENTO</t>
  </si>
  <si>
    <t xml:space="preserve">  - Alvenaria</t>
  </si>
  <si>
    <t xml:space="preserve">  - Diversos Alvenaria</t>
  </si>
  <si>
    <t>- IMPERMEABILIZAÇÃO / ISOLAMENTO</t>
  </si>
  <si>
    <t>- REVESTIMENTO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</si>
  <si>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</si>
  <si>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</si>
  <si>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</si>
  <si>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</si>
  <si>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</si>
  <si>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</si>
  <si>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</si>
  <si>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</si>
  <si>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</si>
  <si>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</si>
  <si>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</si>
  <si>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- Reboco externo</t>
  </si>
  <si>
    <t>- ESQUADRIAS DE ALUMÍNIO</t>
  </si>
  <si>
    <t>- ESQUADRIAS EM METALON</t>
  </si>
  <si>
    <t>- ESQUADRIAS EM MADEIRA</t>
  </si>
  <si>
    <t>- INSTALAÇÕES</t>
  </si>
  <si>
    <t>- BANCADAS</t>
  </si>
  <si>
    <t>- LOUÇAS E METAIS</t>
  </si>
  <si>
    <t xml:space="preserve">  - Bacia Sanitária</t>
  </si>
  <si>
    <t xml:space="preserve">  - Cuba</t>
  </si>
  <si>
    <t xml:space="preserve">  - Tanque</t>
  </si>
  <si>
    <t xml:space="preserve">  - Lavatorios</t>
  </si>
  <si>
    <t xml:space="preserve">  - Torneiras</t>
  </si>
  <si>
    <t xml:space="preserve">  - Registros e acabamentos</t>
  </si>
  <si>
    <t xml:space="preserve">  - Diversos louças e metais</t>
  </si>
  <si>
    <t xml:space="preserve">  - Pintura Acrilica</t>
  </si>
  <si>
    <t xml:space="preserve">  - Pintura Esmalte em esquadrias metálicas</t>
  </si>
  <si>
    <t xml:space="preserve">  - Caiação</t>
  </si>
  <si>
    <t xml:space="preserve">  - Diversos Pintura</t>
  </si>
  <si>
    <t>- DIVERSOS</t>
  </si>
  <si>
    <t xml:space="preserve">  - Grama</t>
  </si>
  <si>
    <t xml:space="preserve">  - Limpeza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</si>
  <si>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</si>
  <si>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</si>
  <si>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</si>
  <si>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</si>
  <si>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</si>
  <si>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</si>
  <si>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</si>
  <si>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</si>
  <si>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</si>
  <si>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</si>
  <si>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</si>
  <si>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</si>
  <si>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</si>
  <si>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</si>
  <si>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</si>
  <si>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</si>
  <si>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</si>
  <si>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</si>
  <si>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</si>
  <si>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</si>
  <si>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</si>
  <si>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</si>
  <si>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</si>
  <si>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</si>
  <si>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</si>
  <si>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</si>
  <si>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</si>
  <si>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</si>
  <si>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</si>
  <si>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</si>
  <si>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</si>
  <si>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</si>
  <si>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</si>
  <si>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</si>
  <si>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</si>
  <si>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</si>
  <si>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</si>
  <si>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</si>
  <si>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</si>
  <si>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</si>
  <si>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</si>
  <si>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</si>
  <si>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</si>
  <si>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</si>
  <si>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</si>
  <si>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</si>
  <si>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</si>
  <si>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</si>
  <si>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</si>
  <si>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</si>
  <si>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</si>
  <si>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</si>
  <si>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</si>
  <si>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</si>
  <si>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</si>
  <si>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</si>
  <si>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</si>
  <si>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</si>
  <si>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</si>
  <si>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</si>
  <si>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</si>
  <si>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</si>
  <si>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</si>
  <si>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</si>
  <si>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</si>
  <si>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</si>
  <si>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</si>
  <si>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</si>
  <si>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</si>
  <si>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</si>
  <si>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</si>
  <si>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</si>
  <si>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</si>
  <si>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</si>
  <si>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</si>
  <si>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</si>
  <si>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</si>
  <si>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</si>
  <si>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</si>
  <si>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</si>
  <si>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</si>
  <si>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</si>
  <si>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</si>
  <si>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</si>
  <si>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</si>
  <si>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</si>
  <si>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</si>
  <si>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Montagem e Desmontagem de Elevador Cremalheira</t>
  </si>
  <si>
    <t>Aterramento e Laudo do Elevador Cremalheira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</si>
  <si>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</si>
  <si>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</si>
  <si>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</si>
  <si>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</si>
  <si>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</si>
  <si>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</si>
  <si>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</si>
  <si>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</si>
  <si>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</si>
  <si>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</si>
  <si>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</si>
  <si>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</si>
  <si>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</si>
  <si>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</si>
  <si>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</si>
  <si>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</si>
  <si>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</si>
  <si>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</si>
  <si>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</si>
  <si>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Impermeabilização com manta - área externo 4 mm</t>
  </si>
  <si>
    <t>Impermeabilização de jardineira</t>
  </si>
  <si>
    <t>Peitoril em Mármore Branco l= 20 cm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</si>
  <si>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</si>
  <si>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</si>
  <si>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</si>
  <si>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</si>
  <si>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</si>
  <si>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</si>
  <si>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</si>
  <si>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</si>
  <si>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</si>
  <si>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</si>
  <si>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</si>
  <si>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</si>
  <si>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</si>
  <si>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</si>
  <si>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</si>
  <si>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</si>
  <si>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</si>
  <si>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</si>
  <si>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</si>
  <si>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</si>
  <si>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</si>
  <si>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</si>
  <si>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</si>
  <si>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</si>
  <si>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</si>
  <si>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</si>
  <si>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</si>
  <si>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</si>
  <si>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</si>
  <si>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</si>
  <si>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</si>
  <si>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</si>
  <si>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</si>
  <si>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</si>
  <si>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</si>
  <si>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</si>
  <si>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</si>
  <si>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</si>
  <si>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</si>
  <si>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</si>
  <si>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</si>
  <si>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</si>
  <si>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</si>
  <si>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</si>
  <si>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</si>
  <si>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</si>
  <si>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</si>
  <si>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</si>
  <si>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</si>
  <si>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</si>
  <si>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</si>
  <si>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</si>
  <si>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</si>
  <si>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</si>
  <si>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</si>
  <si>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</si>
  <si>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</si>
  <si>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</si>
  <si>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</si>
  <si>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</si>
  <si>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</si>
  <si>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</si>
  <si>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</si>
  <si>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</si>
  <si>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</si>
  <si>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</si>
  <si>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</si>
  <si>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</si>
  <si>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</si>
  <si>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</si>
  <si>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</si>
  <si>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</si>
  <si>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</si>
  <si>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</si>
  <si>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</si>
  <si>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</si>
  <si>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</si>
  <si>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</si>
  <si>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</si>
  <si>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</si>
  <si>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</si>
  <si>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</si>
  <si>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</si>
  <si>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</si>
  <si>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</si>
  <si>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</si>
  <si>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</si>
  <si>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</si>
  <si>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</si>
  <si>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</si>
  <si>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</si>
  <si>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</si>
  <si>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</si>
  <si>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</si>
  <si>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</si>
  <si>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</si>
  <si>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</si>
  <si>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</si>
  <si>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</si>
  <si>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</si>
  <si>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</si>
  <si>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</si>
  <si>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</si>
  <si>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</si>
  <si>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</si>
  <si>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</si>
  <si>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</si>
  <si>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</si>
  <si>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</si>
  <si>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</si>
  <si>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</si>
  <si>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</si>
  <si>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</si>
  <si>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</si>
  <si>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</si>
  <si>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</si>
  <si>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</si>
  <si>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</si>
  <si>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</si>
  <si>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FUNDAÇÃO</t>
  </si>
  <si>
    <t>Fundação Direta - Blocos e cintas</t>
  </si>
  <si>
    <t xml:space="preserve">05.001.000.006 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</si>
  <si>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</si>
  <si>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</si>
  <si>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</si>
  <si>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</si>
  <si>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</si>
  <si>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</si>
  <si>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</si>
  <si>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</si>
  <si>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</si>
  <si>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</si>
  <si>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</si>
  <si>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</si>
  <si>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</si>
  <si>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</si>
  <si>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</si>
  <si>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</si>
  <si>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</si>
  <si>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</si>
  <si>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</si>
  <si>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</si>
  <si>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</si>
  <si>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</si>
  <si>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</si>
  <si>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</si>
  <si>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</si>
  <si>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</si>
  <si>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</si>
  <si>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</si>
  <si>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</si>
  <si>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</si>
  <si>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</si>
  <si>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</si>
  <si>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</si>
  <si>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</si>
  <si>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</si>
  <si>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</si>
  <si>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</si>
  <si>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</si>
  <si>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</si>
  <si>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</si>
  <si>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</si>
  <si>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</si>
  <si>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</si>
  <si>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</si>
  <si>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</si>
  <si>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</si>
  <si>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</si>
  <si>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</si>
  <si>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</si>
  <si>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</si>
  <si>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</si>
  <si>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</si>
  <si>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</si>
  <si>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</si>
  <si>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</si>
  <si>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</si>
  <si>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</si>
  <si>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</si>
  <si>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</si>
  <si>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</si>
  <si>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</si>
  <si>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</si>
  <si>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</si>
  <si>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</si>
  <si>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</si>
  <si>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</si>
  <si>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</si>
  <si>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</si>
  <si>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</si>
  <si>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</si>
  <si>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</si>
  <si>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</si>
  <si>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</si>
  <si>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</si>
  <si>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</si>
  <si>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</si>
  <si>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</si>
  <si>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</si>
  <si>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</si>
  <si>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</si>
  <si>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</si>
  <si>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</si>
  <si>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</si>
  <si>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</si>
  <si>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</si>
  <si>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</si>
  <si>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</si>
  <si>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</si>
  <si>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</si>
  <si>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</si>
  <si>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</si>
  <si>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</si>
  <si>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</si>
  <si>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</si>
  <si>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</si>
  <si>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</si>
  <si>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</si>
  <si>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</si>
  <si>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</si>
  <si>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</si>
  <si>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</si>
  <si>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</si>
  <si>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</si>
  <si>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</si>
  <si>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</si>
  <si>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</si>
  <si>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</si>
  <si>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</si>
  <si>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</si>
  <si>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</si>
  <si>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</si>
  <si>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</si>
  <si>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</si>
  <si>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</si>
  <si>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</si>
  <si>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</si>
  <si>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</si>
  <si>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</si>
  <si>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</si>
  <si>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</si>
  <si>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</si>
  <si>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</si>
  <si>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</si>
  <si>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</si>
  <si>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Supervisão de Engenharia</t>
  </si>
  <si>
    <t xml:space="preserve">03.000.001.008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</si>
  <si>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</si>
  <si>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</si>
  <si>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</si>
  <si>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</si>
  <si>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</si>
  <si>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</si>
  <si>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</si>
  <si>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</si>
  <si>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</si>
  <si>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</si>
  <si>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</si>
  <si>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</si>
  <si>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</si>
  <si>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</si>
  <si>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</si>
  <si>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</si>
  <si>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</si>
  <si>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</si>
  <si>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</si>
  <si>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</si>
  <si>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</si>
  <si>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</si>
  <si>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</si>
  <si>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</si>
  <si>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</si>
  <si>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</si>
  <si>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</si>
  <si>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</si>
  <si>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</si>
  <si>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>S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</si>
  <si>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</si>
  <si>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</si>
  <si>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</si>
  <si>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</si>
  <si>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</si>
  <si>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</si>
  <si>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</si>
  <si>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</si>
  <si>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</si>
  <si>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</si>
  <si>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>Escavação manual de fustes em material de 1ª categoria</t>
  </si>
  <si>
    <t>Alargamento manual de bases em material de 1ª categoria</t>
  </si>
  <si>
    <t>Escavação manual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</si>
  <si>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</si>
  <si>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</si>
  <si>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</si>
  <si>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</si>
  <si>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>Chapim em mármore branco comum</t>
  </si>
  <si>
    <t>Degraus e espelhos em granito Branco Siena</t>
  </si>
  <si>
    <t>Piso em granito Preto São Gabriel - Elevador</t>
  </si>
  <si>
    <t>Deck em madeira</t>
  </si>
  <si>
    <t>Chapisco interno com argamassa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</si>
  <si>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</si>
  <si>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</si>
  <si>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</si>
  <si>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</si>
  <si>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</si>
  <si>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</si>
  <si>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</si>
  <si>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</si>
  <si>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</si>
  <si>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</si>
  <si>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</si>
  <si>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</si>
  <si>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</si>
  <si>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</si>
  <si>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</si>
  <si>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</si>
  <si>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</si>
  <si>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</si>
  <si>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</si>
  <si>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</si>
  <si>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</si>
  <si>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</si>
  <si>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</si>
  <si>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</si>
  <si>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18.006 </t>
  </si>
  <si>
    <t xml:space="preserve">18.006.000.001 </t>
  </si>
  <si>
    <t xml:space="preserve">18.007 </t>
  </si>
  <si>
    <t xml:space="preserve">18.007.000.001 </t>
  </si>
  <si>
    <t xml:space="preserve">19.004.000.003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</si>
  <si>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</si>
  <si>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</si>
  <si>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</si>
  <si>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</si>
  <si>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</si>
  <si>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</si>
  <si>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</si>
  <si>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</si>
  <si>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</si>
  <si>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</si>
  <si>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</si>
  <si>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</si>
  <si>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</si>
  <si>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</si>
  <si>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</si>
  <si>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</si>
  <si>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</si>
  <si>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</si>
  <si>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</si>
  <si>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</si>
  <si>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</si>
  <si>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</si>
  <si>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</si>
  <si>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</si>
  <si>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</si>
  <si>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- Fundação Indireta - Tubulão</t>
  </si>
  <si>
    <t xml:space="preserve">  - Revestimentos de Fachada Aerada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</si>
  <si>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</si>
  <si>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</si>
  <si>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</si>
  <si>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</si>
  <si>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</si>
  <si>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01/08/2019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</si>
  <si>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</si>
  <si>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</si>
  <si>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</si>
  <si>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</si>
  <si>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</si>
  <si>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</si>
  <si>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</si>
  <si>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</si>
  <si>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</si>
  <si>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</si>
  <si>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</si>
  <si>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</si>
  <si>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</si>
  <si>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</si>
  <si>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</si>
  <si>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</si>
  <si>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</si>
  <si>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</si>
  <si>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</si>
  <si>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</si>
  <si>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</si>
  <si>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</si>
  <si>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</si>
  <si>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</si>
  <si>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</si>
  <si>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</si>
  <si>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</si>
  <si>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</si>
  <si>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</si>
  <si>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</si>
  <si>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</si>
  <si>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</si>
  <si>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</si>
  <si>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</si>
  <si>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</si>
  <si>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</si>
  <si>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</si>
  <si>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</si>
  <si>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</si>
  <si>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</si>
  <si>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</si>
  <si>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</si>
  <si>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</si>
  <si>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</si>
  <si>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</si>
  <si>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</si>
  <si>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</si>
  <si>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</si>
  <si>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</si>
  <si>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</si>
  <si>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</si>
  <si>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</si>
  <si>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</si>
  <si>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</si>
  <si>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</si>
  <si>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</si>
  <si>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</si>
  <si>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</si>
  <si>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</si>
  <si>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</si>
  <si>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</si>
  <si>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</si>
  <si>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</si>
  <si>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</si>
  <si>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</si>
  <si>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</si>
  <si>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</si>
  <si>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</si>
  <si>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</si>
  <si>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</si>
  <si>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</si>
  <si>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</si>
  <si>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</si>
  <si>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</si>
  <si>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</si>
  <si>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</si>
  <si>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</si>
  <si>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</si>
  <si>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</si>
  <si>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</si>
  <si>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</si>
  <si>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</si>
  <si>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</si>
  <si>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</si>
  <si>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</si>
  <si>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</si>
  <si>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</si>
  <si>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</si>
  <si>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</si>
  <si>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</si>
  <si>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</si>
  <si>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</si>
  <si>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</si>
  <si>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</si>
  <si>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</si>
  <si>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</si>
  <si>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</si>
  <si>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</si>
  <si>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</si>
  <si>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</si>
  <si>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</si>
  <si>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</si>
  <si>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</si>
  <si>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</si>
  <si>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</si>
  <si>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</si>
  <si>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</si>
  <si>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</si>
  <si>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</si>
  <si>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</si>
  <si>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</si>
  <si>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</si>
  <si>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</si>
  <si>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</si>
  <si>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</si>
  <si>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</si>
  <si>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</si>
  <si>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</si>
  <si>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</si>
  <si>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</si>
  <si>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</si>
  <si>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</si>
  <si>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</si>
  <si>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</si>
  <si>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</si>
  <si>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</si>
  <si>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</si>
  <si>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</si>
  <si>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</si>
  <si>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</si>
  <si>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</si>
  <si>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</si>
  <si>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</si>
  <si>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</si>
  <si>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</si>
  <si>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</si>
  <si>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</si>
  <si>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</si>
  <si>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</si>
  <si>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</si>
  <si>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</si>
  <si>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</si>
  <si>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</si>
  <si>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</si>
  <si>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</si>
  <si>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</si>
  <si>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</si>
  <si>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</si>
  <si>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</si>
  <si>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</si>
  <si>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</si>
  <si>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</si>
  <si>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</si>
  <si>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</si>
  <si>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</si>
  <si>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</si>
  <si>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</si>
  <si>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</si>
  <si>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</si>
  <si>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</si>
  <si>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</si>
  <si>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</si>
  <si>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</si>
  <si>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</si>
  <si>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</si>
  <si>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</si>
  <si>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</si>
  <si>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</si>
  <si>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</si>
  <si>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</si>
  <si>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</si>
  <si>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</si>
  <si>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</si>
  <si>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</si>
  <si>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</si>
  <si>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</si>
  <si>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</si>
  <si>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</si>
  <si>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</si>
  <si>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</si>
  <si>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</si>
  <si>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</si>
  <si>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</si>
  <si>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</si>
  <si>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</si>
  <si>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</si>
  <si>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</si>
  <si>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</si>
  <si>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</si>
  <si>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</si>
  <si>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</si>
  <si>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</si>
  <si>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</si>
  <si>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</si>
  <si>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</si>
  <si>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</si>
  <si>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</si>
  <si>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</si>
  <si>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</si>
  <si>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</si>
  <si>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</si>
  <si>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</si>
  <si>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</si>
  <si>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</si>
  <si>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</si>
  <si>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</si>
  <si>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</si>
  <si>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</si>
  <si>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</si>
  <si>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</si>
  <si>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</si>
  <si>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</si>
  <si>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</si>
  <si>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</si>
  <si>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</si>
  <si>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</si>
  <si>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</si>
  <si>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</si>
  <si>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</si>
  <si>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</si>
  <si>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</si>
  <si>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</si>
  <si>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</si>
  <si>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</si>
  <si>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</si>
  <si>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</si>
  <si>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</si>
  <si>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</si>
  <si>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</si>
  <si>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</si>
  <si>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</si>
  <si>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</si>
  <si>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</si>
  <si>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</si>
  <si>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</si>
  <si>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</si>
  <si>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</si>
  <si>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</si>
  <si>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</si>
  <si>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</si>
  <si>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</si>
  <si>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</si>
  <si>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</si>
  <si>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</si>
  <si>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</si>
  <si>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</si>
  <si>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</si>
  <si>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</si>
  <si>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</si>
  <si>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</si>
  <si>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</si>
  <si>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</si>
  <si>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</si>
  <si>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</si>
  <si>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</si>
  <si>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</si>
  <si>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</si>
  <si>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</si>
  <si>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</si>
  <si>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</si>
  <si>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</si>
  <si>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</si>
  <si>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</si>
  <si>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</si>
  <si>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</si>
  <si>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</si>
  <si>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</si>
  <si>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</si>
  <si>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</si>
  <si>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</si>
  <si>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</si>
  <si>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</si>
  <si>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</si>
  <si>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</si>
  <si>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</si>
  <si>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</si>
  <si>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</si>
  <si>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</si>
  <si>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</si>
  <si>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</si>
  <si>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</si>
  <si>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</si>
  <si>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</si>
  <si>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</si>
  <si>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</si>
  <si>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</si>
  <si>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</si>
  <si>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</si>
  <si>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</si>
  <si>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</si>
  <si>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</si>
  <si>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</si>
  <si>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</si>
  <si>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</si>
  <si>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</si>
  <si>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</si>
  <si>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</si>
  <si>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</si>
  <si>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</si>
  <si>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</si>
  <si>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</si>
  <si>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</si>
  <si>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</si>
  <si>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</si>
  <si>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</si>
  <si>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</si>
  <si>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</si>
  <si>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</si>
  <si>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</si>
  <si>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</si>
  <si>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</si>
  <si>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</si>
  <si>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</si>
  <si>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</si>
  <si>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</si>
  <si>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</si>
  <si>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</si>
  <si>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</si>
  <si>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</si>
  <si>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</si>
  <si>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</si>
  <si>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</si>
  <si>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</si>
  <si>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</si>
  <si>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</si>
  <si>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</si>
  <si>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</si>
  <si>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</si>
  <si>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</si>
  <si>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</si>
  <si>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</si>
  <si>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</si>
  <si>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</si>
  <si>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</si>
  <si>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</si>
  <si>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</si>
  <si>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</si>
  <si>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</si>
  <si>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</si>
  <si>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</si>
  <si>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</si>
  <si>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</si>
  <si>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</si>
  <si>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</si>
  <si>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</si>
  <si>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</si>
  <si>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</si>
  <si>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</si>
  <si>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</si>
  <si>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</si>
  <si>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</si>
  <si>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</si>
  <si>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</si>
  <si>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</si>
  <si>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</si>
  <si>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</si>
  <si>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</si>
  <si>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</si>
  <si>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</si>
  <si>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</si>
  <si>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</si>
  <si>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</si>
  <si>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</si>
  <si>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</si>
  <si>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</si>
  <si>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</si>
  <si>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</si>
  <si>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</si>
  <si>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</si>
  <si>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</si>
  <si>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</si>
  <si>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</si>
  <si>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</si>
  <si>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</si>
  <si>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</si>
  <si>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</si>
  <si>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</si>
  <si>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</si>
  <si>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</si>
  <si>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</si>
  <si>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</si>
  <si>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</si>
  <si>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</si>
  <si>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</si>
  <si>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</si>
  <si>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</si>
  <si>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</si>
  <si>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</si>
  <si>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</si>
  <si>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</si>
  <si>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</si>
  <si>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</si>
  <si>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</si>
  <si>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</si>
  <si>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</si>
  <si>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</si>
  <si>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</si>
  <si>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</si>
  <si>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</si>
  <si>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</si>
  <si>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</si>
  <si>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</si>
  <si>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</si>
  <si>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</si>
  <si>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</si>
  <si>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</si>
  <si>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</si>
  <si>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</si>
  <si>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</si>
  <si>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</si>
  <si>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</si>
  <si>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</si>
  <si>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</si>
  <si>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</si>
  <si>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</si>
  <si>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</si>
  <si>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</si>
  <si>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</si>
  <si>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</si>
  <si>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</si>
  <si>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</si>
  <si>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</si>
  <si>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</si>
  <si>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</si>
  <si>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</si>
  <si>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</si>
  <si>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</si>
  <si>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</si>
  <si>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</si>
  <si>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</si>
  <si>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</si>
  <si>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</si>
  <si>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</si>
  <si>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</si>
  <si>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</si>
  <si>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</si>
  <si>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</si>
  <si>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</si>
  <si>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</si>
  <si>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</si>
  <si>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</si>
  <si>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</si>
  <si>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</si>
  <si>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</si>
  <si>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</si>
  <si>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</si>
  <si>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</si>
  <si>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</si>
  <si>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</si>
  <si>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</si>
  <si>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</si>
  <si>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</si>
  <si>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</si>
  <si>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</si>
  <si>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</si>
  <si>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</si>
  <si>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</si>
  <si>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</si>
  <si>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</si>
  <si>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</si>
  <si>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</si>
  <si>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</si>
  <si>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</si>
  <si>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</si>
  <si>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</si>
  <si>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</si>
  <si>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</si>
  <si>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</si>
  <si>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</si>
  <si>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</si>
  <si>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</si>
  <si>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</si>
  <si>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</si>
  <si>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</si>
  <si>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</si>
  <si>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</si>
  <si>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</si>
  <si>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</si>
  <si>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</si>
  <si>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</si>
  <si>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</si>
  <si>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</si>
  <si>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</si>
  <si>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</si>
  <si>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</si>
  <si>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</si>
  <si>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</si>
  <si>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</si>
  <si>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</si>
  <si>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</si>
  <si>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</si>
  <si>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</si>
  <si>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</si>
  <si>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</si>
  <si>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</si>
  <si>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</si>
  <si>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</si>
  <si>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</si>
  <si>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</si>
  <si>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</si>
  <si>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</si>
  <si>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</si>
  <si>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</si>
  <si>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</si>
  <si>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</si>
  <si>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</si>
  <si>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</si>
  <si>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</si>
  <si>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</si>
  <si>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</si>
  <si>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</si>
  <si>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</si>
  <si>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</si>
  <si>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</si>
  <si>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</si>
  <si>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</si>
  <si>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</si>
  <si>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EVOLUÇÃO FINANCEIRA</t>
  </si>
  <si>
    <t>% REALIZ.mes</t>
  </si>
  <si>
    <t>% REALIZ.</t>
  </si>
  <si>
    <t>ANÁLISE FINANCEIRA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</si>
  <si>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</si>
  <si>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</si>
  <si>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</si>
  <si>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</si>
  <si>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</si>
  <si>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</si>
  <si>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</si>
  <si>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</si>
  <si>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</si>
  <si>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</si>
  <si>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</si>
  <si>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</si>
  <si>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</si>
  <si>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</si>
  <si>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</si>
  <si>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 xml:space="preserve">03.001.000.004 </t>
  </si>
  <si>
    <t>Refeitório ( 6 x 10 m ) sob laje</t>
  </si>
  <si>
    <t xml:space="preserve">03.001.000.005 </t>
  </si>
  <si>
    <t xml:space="preserve">03.001.000.006 </t>
  </si>
  <si>
    <t xml:space="preserve">03.001.000.007 </t>
  </si>
  <si>
    <t>Concreto usinado Fck = 30 Mpa Bombeado</t>
  </si>
  <si>
    <t>Concretagem de Tubulão Fck =20 MPa Bombeado</t>
  </si>
  <si>
    <t>Perfuração de Estaca  Ø 0,60 m</t>
  </si>
  <si>
    <t>Perfuração de Estaca  Ø 0,70 m</t>
  </si>
  <si>
    <t>Concretagem de Estaca Fck =20 MPa Bombeado</t>
  </si>
  <si>
    <t>Forma para Fundação</t>
  </si>
  <si>
    <t>Concreto usinado Fck = 30 MPa Bombeado</t>
  </si>
  <si>
    <t>Concreto usinado Fck = 35 MPa Bombeado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</si>
  <si>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</si>
  <si>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</si>
  <si>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</si>
  <si>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</si>
  <si>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</si>
  <si>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</si>
  <si>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</si>
  <si>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>Painel shaft 50x70 cm  - Astra SH58C6</t>
  </si>
  <si>
    <t>Impermeabilização de áreas descobertas com cimento polimérico</t>
  </si>
  <si>
    <t>Impermeabilização de cortina</t>
  </si>
  <si>
    <t xml:space="preserve">08.000.000.006 </t>
  </si>
  <si>
    <t>Impermeabilização de piscina (manta + tela)</t>
  </si>
  <si>
    <t>Ladrilho hidráulico tátil direcional cor vermelha</t>
  </si>
  <si>
    <t>Ladrilho hidráulico tátil alerta cor vermelha</t>
  </si>
  <si>
    <t>Ladrilho hidráulico 16 quadros cor natural</t>
  </si>
  <si>
    <t>Enchimento de piso (sóculo)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</si>
  <si>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</si>
  <si>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</si>
  <si>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</si>
  <si>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</si>
  <si>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</si>
  <si>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</si>
  <si>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</si>
  <si>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</si>
  <si>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</si>
  <si>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>Piso em porcelanato régua concreto - Portaria</t>
  </si>
  <si>
    <t>Piso em porcelanato branco - Portaria</t>
  </si>
  <si>
    <t>Piso em porcelanato 80x80 cm - Salão de festas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</si>
  <si>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</si>
  <si>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</si>
  <si>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</si>
  <si>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</si>
  <si>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</si>
  <si>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</si>
  <si>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</si>
  <si>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</si>
  <si>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</si>
  <si>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</si>
  <si>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</si>
  <si>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>Piso em Granito/Mármore</t>
  </si>
  <si>
    <t>Piso em granito Branco Siena</t>
  </si>
  <si>
    <t>Rodapé em Granito/Mármore</t>
  </si>
  <si>
    <t>Mão de obra Rodapé em granito</t>
  </si>
  <si>
    <t>Rejunte em Granito/Mármore</t>
  </si>
  <si>
    <t>Soleira/Peitoril em Granito/Mármore</t>
  </si>
  <si>
    <t>Soleira em granito Branco Siena L= 15cm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</si>
  <si>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</si>
  <si>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</si>
  <si>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</si>
  <si>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</si>
  <si>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>Rodapé em alumínio h= 10 cm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</si>
  <si>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</si>
  <si>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</si>
  <si>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</si>
  <si>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</si>
  <si>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</si>
  <si>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</si>
  <si>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</si>
  <si>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</si>
  <si>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</si>
  <si>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</si>
  <si>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</si>
  <si>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</si>
  <si>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</si>
  <si>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</si>
  <si>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</si>
  <si>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</si>
  <si>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</si>
  <si>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</si>
  <si>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</si>
  <si>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</si>
  <si>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</si>
  <si>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</si>
  <si>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</si>
  <si>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</si>
  <si>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</si>
  <si>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</si>
  <si>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</si>
  <si>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 xml:space="preserve">10.007.000.001 </t>
  </si>
  <si>
    <t xml:space="preserve">10.007.000.002 </t>
  </si>
  <si>
    <t>Caixote em gesso - 2 lados " L "</t>
  </si>
  <si>
    <t>Forro metálico para receber porcelanato régua concreto - Portaria</t>
  </si>
  <si>
    <t>Espala em reboco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</si>
  <si>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</si>
  <si>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</si>
  <si>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</si>
  <si>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</si>
  <si>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</si>
  <si>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 xml:space="preserve">12.004.000.005 </t>
  </si>
  <si>
    <t xml:space="preserve">12.004.000.006 </t>
  </si>
  <si>
    <t>Mão de Obra Espala Porcelanato aerado</t>
  </si>
  <si>
    <t>Mão de Obra Porcelanato fachada</t>
  </si>
  <si>
    <t>Mão de Obra Espala Porcelanato fachada</t>
  </si>
  <si>
    <t>Pastilha cerâmica 5x5 cm cor grafite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</si>
  <si>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</si>
  <si>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</si>
  <si>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</si>
  <si>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</si>
  <si>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</si>
  <si>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</si>
  <si>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</si>
  <si>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</si>
  <si>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</si>
  <si>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</si>
  <si>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</si>
  <si>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</si>
  <si>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</si>
  <si>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</si>
  <si>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</si>
  <si>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</si>
  <si>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</si>
  <si>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</si>
  <si>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</si>
  <si>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</si>
  <si>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</si>
  <si>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</si>
  <si>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</si>
  <si>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</si>
  <si>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</si>
  <si>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</si>
  <si>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</si>
  <si>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</si>
  <si>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</si>
  <si>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</si>
  <si>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</si>
  <si>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</si>
  <si>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</si>
  <si>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</si>
  <si>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</si>
  <si>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</si>
  <si>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</si>
  <si>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</si>
  <si>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</si>
  <si>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</si>
  <si>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</si>
  <si>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</si>
  <si>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>Pintura anti mofo</t>
  </si>
  <si>
    <t>Tratamento de concreto - parede e teto</t>
  </si>
  <si>
    <t>Serviços Complementares</t>
  </si>
  <si>
    <t>Decoração da Portaria</t>
  </si>
  <si>
    <t>Equipamento para piscina</t>
  </si>
  <si>
    <t>Madeira de lei - Cumaru - Pergolado</t>
  </si>
  <si>
    <t>Cobertura com telha Termoacústica</t>
  </si>
  <si>
    <t>Rufo metálico</t>
  </si>
  <si>
    <t>Calha metálica</t>
  </si>
  <si>
    <t>Tratamento de Piso em Concreto das Garagens</t>
  </si>
  <si>
    <t>Operador de Guincho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</si>
  <si>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</si>
  <si>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</si>
  <si>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</si>
  <si>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</si>
  <si>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>09/09/2019</t>
  </si>
  <si>
    <t>01/03/2020</t>
  </si>
  <si>
    <t>15/08/2019</t>
  </si>
  <si>
    <t>25/10/2019</t>
  </si>
  <si>
    <t>15/09/2019</t>
  </si>
  <si>
    <t>10/02/2020</t>
  </si>
  <si>
    <t>30/04/2021</t>
  </si>
  <si>
    <t>01/01/2021</t>
  </si>
  <si>
    <t xml:space="preserve">  - Shafts</t>
  </si>
  <si>
    <t>01/07/2020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</si>
  <si>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</si>
  <si>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</si>
  <si>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</si>
  <si>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</si>
  <si>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</si>
  <si>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</si>
  <si>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</si>
  <si>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</si>
  <si>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- Rodapé em Granito/Mármore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</si>
  <si>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</si>
  <si>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</si>
  <si>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</si>
  <si>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</si>
  <si>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</si>
  <si>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Peitoril em Mármore Branco l= 20 cm</t>
  </si>
  <si>
    <t xml:space="preserve">      Chapim em mármore branco comum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</si>
  <si>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</si>
  <si>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</si>
  <si>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</si>
  <si>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</si>
  <si>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</si>
  <si>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</si>
  <si>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- Chapisco externo</t>
  </si>
  <si>
    <t xml:space="preserve">  - Textura Interna</t>
  </si>
  <si>
    <t xml:space="preserve">  - Textura Externa Fachada</t>
  </si>
  <si>
    <t xml:space="preserve">  - Serviços Complementares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</si>
  <si>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</si>
  <si>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</si>
  <si>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</si>
  <si>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</si>
  <si>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</si>
  <si>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</si>
  <si>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</si>
  <si>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</si>
  <si>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</si>
  <si>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</si>
  <si>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</si>
  <si>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</si>
  <si>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</si>
  <si>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</si>
  <si>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</si>
  <si>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</si>
  <si>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</si>
  <si>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</si>
  <si>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</si>
  <si>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</si>
  <si>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</si>
  <si>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</si>
  <si>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</si>
  <si>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</si>
  <si>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</si>
  <si>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</si>
  <si>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</si>
  <si>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</si>
  <si>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</si>
  <si>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</si>
  <si>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</si>
  <si>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</si>
  <si>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</si>
  <si>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</si>
  <si>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</si>
  <si>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</si>
  <si>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</si>
  <si>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</si>
  <si>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</si>
  <si>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</si>
  <si>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</si>
  <si>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</si>
  <si>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</si>
  <si>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</si>
  <si>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</si>
  <si>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</si>
  <si>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</si>
  <si>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</si>
  <si>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</si>
  <si>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</si>
  <si>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</si>
  <si>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</si>
  <si>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</si>
  <si>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</si>
  <si>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</si>
  <si>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</si>
  <si>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</si>
  <si>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</si>
  <si>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</si>
  <si>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</si>
  <si>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</si>
  <si>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</si>
  <si>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</si>
  <si>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</si>
  <si>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</si>
  <si>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</si>
  <si>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</si>
  <si>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</si>
  <si>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</si>
  <si>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</si>
  <si>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</si>
  <si>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</si>
  <si>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</si>
  <si>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</si>
  <si>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</si>
  <si>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</si>
  <si>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</si>
  <si>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</si>
  <si>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</si>
  <si>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</si>
  <si>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</si>
  <si>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</si>
  <si>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</si>
  <si>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</si>
  <si>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</si>
  <si>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</si>
  <si>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</si>
  <si>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</si>
  <si>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</si>
  <si>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</si>
  <si>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</si>
  <si>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</si>
  <si>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</si>
  <si>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</si>
  <si>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</si>
  <si>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</si>
  <si>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</si>
  <si>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</si>
  <si>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</si>
  <si>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</si>
  <si>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</si>
  <si>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</si>
  <si>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</si>
  <si>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</si>
  <si>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</si>
  <si>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</si>
  <si>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</si>
  <si>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</si>
  <si>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</si>
  <si>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</si>
  <si>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</si>
  <si>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</si>
  <si>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</si>
  <si>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</si>
  <si>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</si>
  <si>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</si>
  <si>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</si>
  <si>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</si>
  <si>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</si>
  <si>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</si>
  <si>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</si>
  <si>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</si>
  <si>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</si>
  <si>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</si>
  <si>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</si>
  <si>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</si>
  <si>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</si>
  <si>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</si>
  <si>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</si>
  <si>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</si>
  <si>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</si>
  <si>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</si>
  <si>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</si>
  <si>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</si>
  <si>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</si>
  <si>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</si>
  <si>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</si>
  <si>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</si>
  <si>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</si>
  <si>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</si>
  <si>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</si>
  <si>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</si>
  <si>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</si>
  <si>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</si>
  <si>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</si>
  <si>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</si>
  <si>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</si>
  <si>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</si>
  <si>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</si>
  <si>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</si>
  <si>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</si>
  <si>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</si>
  <si>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</si>
  <si>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</si>
  <si>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</si>
  <si>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</si>
  <si>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</si>
  <si>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</si>
  <si>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</si>
  <si>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</si>
  <si>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</si>
  <si>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</si>
  <si>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</si>
  <si>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</si>
  <si>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</si>
  <si>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</si>
  <si>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</si>
  <si>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</si>
  <si>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</si>
  <si>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</si>
  <si>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</si>
  <si>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</si>
  <si>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</si>
  <si>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</si>
  <si>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</si>
  <si>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</si>
  <si>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</si>
  <si>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</si>
  <si>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</si>
  <si>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</si>
  <si>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</si>
  <si>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</si>
  <si>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</si>
  <si>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</si>
  <si>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</si>
  <si>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</si>
  <si>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</si>
  <si>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</si>
  <si>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</si>
  <si>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</si>
  <si>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</si>
  <si>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</si>
  <si>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</si>
  <si>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</si>
  <si>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</si>
  <si>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</si>
  <si>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</si>
  <si>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</si>
  <si>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</si>
  <si>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</si>
  <si>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</si>
  <si>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</si>
  <si>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</si>
  <si>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</si>
  <si>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</si>
  <si>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</si>
  <si>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</si>
  <si>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</si>
  <si>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</si>
  <si>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</si>
  <si>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</si>
  <si>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</si>
  <si>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</si>
  <si>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</si>
  <si>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</si>
  <si>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</si>
  <si>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</si>
  <si>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</si>
  <si>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</si>
  <si>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</si>
  <si>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</si>
  <si>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</si>
  <si>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</si>
  <si>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</si>
  <si>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</si>
  <si>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</si>
  <si>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</si>
  <si>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</si>
  <si>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</si>
  <si>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</si>
  <si>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</si>
  <si>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</si>
  <si>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</si>
  <si>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</si>
  <si>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</si>
  <si>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</si>
  <si>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</si>
  <si>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</si>
  <si>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</si>
  <si>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</si>
  <si>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</si>
  <si>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</si>
  <si>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</si>
  <si>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</si>
  <si>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</si>
  <si>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</si>
  <si>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</si>
  <si>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</si>
  <si>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</si>
  <si>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</si>
  <si>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</si>
  <si>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</si>
  <si>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</si>
  <si>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</si>
  <si>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</si>
  <si>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</si>
  <si>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</si>
  <si>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</si>
  <si>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</si>
  <si>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</si>
  <si>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</si>
  <si>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</si>
  <si>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</si>
  <si>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</si>
  <si>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</si>
  <si>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</si>
  <si>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</si>
  <si>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</si>
  <si>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</si>
  <si>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</si>
  <si>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</si>
  <si>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</si>
  <si>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</si>
  <si>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</si>
  <si>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</si>
  <si>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</si>
  <si>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</si>
  <si>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</si>
  <si>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</si>
  <si>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</si>
  <si>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</si>
  <si>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</si>
  <si>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</si>
  <si>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</si>
  <si>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</si>
  <si>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</si>
  <si>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</si>
  <si>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</si>
  <si>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</si>
  <si>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</si>
  <si>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</si>
  <si>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</si>
  <si>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</si>
  <si>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</si>
  <si>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</si>
  <si>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</si>
  <si>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</si>
  <si>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</si>
  <si>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</si>
  <si>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</si>
  <si>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</si>
  <si>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</si>
  <si>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</si>
  <si>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</si>
  <si>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</si>
  <si>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</si>
  <si>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</si>
  <si>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</si>
  <si>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</si>
  <si>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</si>
  <si>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</si>
  <si>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</si>
  <si>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</si>
  <si>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</si>
  <si>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</si>
  <si>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</si>
  <si>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</si>
  <si>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</si>
  <si>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</si>
  <si>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</si>
  <si>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</si>
  <si>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</si>
  <si>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</si>
  <si>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</si>
  <si>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</si>
  <si>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</si>
  <si>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</si>
  <si>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</si>
  <si>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</si>
  <si>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</si>
  <si>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</si>
  <si>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</si>
  <si>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</si>
  <si>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</si>
  <si>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</si>
  <si>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</si>
  <si>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</si>
  <si>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</si>
  <si>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</si>
  <si>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</si>
  <si>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</si>
  <si>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</si>
  <si>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</si>
  <si>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</si>
  <si>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</si>
  <si>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</si>
  <si>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</si>
  <si>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</si>
  <si>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</si>
  <si>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</si>
  <si>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</si>
  <si>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</si>
  <si>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</si>
  <si>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</si>
  <si>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</si>
  <si>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</si>
  <si>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</si>
  <si>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</si>
  <si>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</si>
  <si>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</si>
  <si>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</si>
  <si>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</si>
  <si>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</si>
  <si>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</si>
  <si>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01/10/2020</t>
  </si>
  <si>
    <t>30/11/2020</t>
  </si>
  <si>
    <t>01/12/2020</t>
  </si>
  <si>
    <t>01/03/2021</t>
  </si>
  <si>
    <t>29/01/2021</t>
  </si>
  <si>
    <t xml:space="preserve">      Rejunte de porcelanato 60x60 cm</t>
  </si>
  <si>
    <t>30/03/2021</t>
  </si>
  <si>
    <t>01/04/2021</t>
  </si>
  <si>
    <t xml:space="preserve">      Espala em Porcelanato 32x60 cm - Biancogrês Originale</t>
  </si>
  <si>
    <t xml:space="preserve">      Rejunte de cerâmica 32x60 cm</t>
  </si>
  <si>
    <t>01/11/2020</t>
  </si>
  <si>
    <t>15/04/2021</t>
  </si>
  <si>
    <t>Rejunte de porcelanato 60x60 cm</t>
  </si>
  <si>
    <t>Piso Laminado Durafloor Linha Ritz instalado com rodapé (linha New Way, Petrópolis)</t>
  </si>
  <si>
    <t>Mão de obra Piso laminado</t>
  </si>
  <si>
    <t xml:space="preserve">09.006.000.003 </t>
  </si>
  <si>
    <t>Emboco interno usinado</t>
  </si>
  <si>
    <t>Reboco interno  usinado</t>
  </si>
  <si>
    <t>Espala em Porcelanato 32x60 cm - Biancogrês Originale</t>
  </si>
  <si>
    <t>Rejunte de cerâmica 32x60 cm</t>
  </si>
  <si>
    <t>Reboco externo usinado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</si>
  <si>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</si>
  <si>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</si>
  <si>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</si>
  <si>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Izy</t>
  </si>
  <si>
    <t>Custos advocatícios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</si>
  <si>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</si>
  <si>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</si>
  <si>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</si>
  <si>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</si>
  <si>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</si>
  <si>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</si>
  <si>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</si>
  <si>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% MENSAL INCC DATA ATUAL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</si>
  <si>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</si>
  <si>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</si>
  <si>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</si>
  <si>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</si>
  <si>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</si>
  <si>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</si>
  <si>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</si>
  <si>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</si>
  <si>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</si>
  <si>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</si>
  <si>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</si>
  <si>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FATO - CAUSA - AÇÃO</t>
  </si>
  <si>
    <t>Custo Real até a data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</si>
  <si>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</si>
  <si>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</si>
  <si>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</si>
  <si>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</si>
  <si>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</si>
  <si>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</si>
  <si>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</si>
  <si>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</si>
  <si>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</si>
  <si>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</si>
  <si>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</si>
  <si>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</si>
  <si>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</si>
  <si>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28/02/2022</t>
  </si>
  <si>
    <t>01/02/2022</t>
  </si>
  <si>
    <t>29/04/2022</t>
  </si>
  <si>
    <t>29/10/2021</t>
  </si>
  <si>
    <t>01/03/2022</t>
  </si>
  <si>
    <t>30/03/2022</t>
  </si>
  <si>
    <t>15/09/2021</t>
  </si>
  <si>
    <t>28/08/2020</t>
  </si>
  <si>
    <t>30/08/2021</t>
  </si>
  <si>
    <t xml:space="preserve">  - Base/Concreto/Cimentado</t>
  </si>
  <si>
    <t xml:space="preserve">  - Cerâmica</t>
  </si>
  <si>
    <t xml:space="preserve">    - Rejunte em piso Cerâmico</t>
  </si>
  <si>
    <t xml:space="preserve">      Rejunte de porcelanato 29,5x29,5 cm</t>
  </si>
  <si>
    <t xml:space="preserve">      Rejunte de porcelanato 90x90 cm</t>
  </si>
  <si>
    <t xml:space="preserve">      Mão de obra de Espala revestimento cerâmico/azulejado</t>
  </si>
  <si>
    <t xml:space="preserve">  - Esquadria em aluminio</t>
  </si>
  <si>
    <t>30/06/2022</t>
  </si>
  <si>
    <t>01/05/2022</t>
  </si>
  <si>
    <t>30/05/2022</t>
  </si>
  <si>
    <t>30/06/2021</t>
  </si>
  <si>
    <t>30/09/2021</t>
  </si>
  <si>
    <t>01/09/2021</t>
  </si>
  <si>
    <t>30/11/2021</t>
  </si>
  <si>
    <t>01/06/2021</t>
  </si>
  <si>
    <t>01/11/2021</t>
  </si>
  <si>
    <t>01/04/2022</t>
  </si>
  <si>
    <t>01/06/2022</t>
  </si>
  <si>
    <t>pto</t>
  </si>
  <si>
    <t>+21</t>
  </si>
  <si>
    <t>Projeto Fundação e Contenção</t>
  </si>
  <si>
    <t>Consultoria Fundação e Contenção</t>
  </si>
  <si>
    <t>Projetos de Sistemas Prediais (Elétricos, Telecomunicações, SPDA, Hidrossanitários, glp, Incêndio)</t>
  </si>
  <si>
    <t>Tapume h= 2,50m (frente do terreno)</t>
  </si>
  <si>
    <t>Serviço de Demolição</t>
  </si>
  <si>
    <t>Arrasamento de cabeça de tubulão</t>
  </si>
  <si>
    <t xml:space="preserve">07.002.000.002 </t>
  </si>
  <si>
    <t>Mão de obra alvenaria de Muro sobre laje</t>
  </si>
  <si>
    <t xml:space="preserve">07.002.000.003 </t>
  </si>
  <si>
    <t>Muro sobre solo esp.: 14 cm</t>
  </si>
  <si>
    <t xml:space="preserve">07.002.000.004 </t>
  </si>
  <si>
    <t>Mão de obra alvenaria de Muro sobre solo</t>
  </si>
  <si>
    <t>Painel em MDF - Armário medidor individual</t>
  </si>
  <si>
    <t>Base/Concreto/Cimentado</t>
  </si>
  <si>
    <t xml:space="preserve">09.001.000.001 </t>
  </si>
  <si>
    <t xml:space="preserve">09.001.000.002 </t>
  </si>
  <si>
    <t xml:space="preserve">09.001.000.003 </t>
  </si>
  <si>
    <t xml:space="preserve">09.001.000.004 </t>
  </si>
  <si>
    <t xml:space="preserve">09.001.000.005 </t>
  </si>
  <si>
    <t xml:space="preserve">09.001.000.006 </t>
  </si>
  <si>
    <t xml:space="preserve">09.001.000.007 </t>
  </si>
  <si>
    <t>Piso cimentado desempenado</t>
  </si>
  <si>
    <t xml:space="preserve">09.001.000.008 </t>
  </si>
  <si>
    <t xml:space="preserve">09.001.000.009 </t>
  </si>
  <si>
    <t>Piso em concreto armado polido h=14cm</t>
  </si>
  <si>
    <t>Cerâmica</t>
  </si>
  <si>
    <t>Mão de obra  Piso em Cerâmica</t>
  </si>
  <si>
    <t xml:space="preserve">09.002.001 </t>
  </si>
  <si>
    <t xml:space="preserve">09.002.001.001 </t>
  </si>
  <si>
    <t xml:space="preserve">09.002.001.002 </t>
  </si>
  <si>
    <t>Rejunte em piso Cerâmico</t>
  </si>
  <si>
    <t xml:space="preserve">09.003.001 </t>
  </si>
  <si>
    <t xml:space="preserve">09.003.001.001 </t>
  </si>
  <si>
    <t xml:space="preserve">09.003.001.002 </t>
  </si>
  <si>
    <t xml:space="preserve">09.003.001.003 </t>
  </si>
  <si>
    <t xml:space="preserve">09.003.001.004 </t>
  </si>
  <si>
    <t xml:space="preserve">09.003.001.005 </t>
  </si>
  <si>
    <t xml:space="preserve">09.003.001.006 </t>
  </si>
  <si>
    <t xml:space="preserve">09.003.002 </t>
  </si>
  <si>
    <t xml:space="preserve">09.003.002.001 </t>
  </si>
  <si>
    <t xml:space="preserve">09.003.002.002 </t>
  </si>
  <si>
    <t xml:space="preserve">09.003.002.003 </t>
  </si>
  <si>
    <t xml:space="preserve">09.003.002.004 </t>
  </si>
  <si>
    <t xml:space="preserve">09.003.003 </t>
  </si>
  <si>
    <t xml:space="preserve">09.003.003.001 </t>
  </si>
  <si>
    <t>Rejunte de porcelanato 29,5x29,5 cm</t>
  </si>
  <si>
    <t xml:space="preserve">09.003.003.002 </t>
  </si>
  <si>
    <t xml:space="preserve">09.003.003.003 </t>
  </si>
  <si>
    <t>Rejunte de porcelanato 90x90 cm</t>
  </si>
  <si>
    <t xml:space="preserve">09.003.003.004 </t>
  </si>
  <si>
    <t xml:space="preserve">09.004.004 </t>
  </si>
  <si>
    <t xml:space="preserve">09.004.004.001 </t>
  </si>
  <si>
    <t xml:space="preserve">09.004.004.002 </t>
  </si>
  <si>
    <t xml:space="preserve">09.004.004.003 </t>
  </si>
  <si>
    <t xml:space="preserve">09.004.004.004 </t>
  </si>
  <si>
    <t xml:space="preserve">09.004.004.005 </t>
  </si>
  <si>
    <t xml:space="preserve">09.005.000.001 </t>
  </si>
  <si>
    <t xml:space="preserve">09.005.000.002 </t>
  </si>
  <si>
    <t xml:space="preserve">09.005.000.003 </t>
  </si>
  <si>
    <t>Piso Porcelanato Barlavento portobello gris 29,5x29,5 - piscina, sauna</t>
  </si>
  <si>
    <t>Piso para alto tráfego - Inpact Roll alta performance -  fitness</t>
  </si>
  <si>
    <t xml:space="preserve">09.006.000.004 </t>
  </si>
  <si>
    <t xml:space="preserve">09.006.000.005 </t>
  </si>
  <si>
    <t xml:space="preserve">09.006.000.006 </t>
  </si>
  <si>
    <t xml:space="preserve">09.006.000.007 </t>
  </si>
  <si>
    <t>Espala em emboço  interno</t>
  </si>
  <si>
    <t xml:space="preserve">10.005.001.004 </t>
  </si>
  <si>
    <t xml:space="preserve">10.005.001.005 </t>
  </si>
  <si>
    <t xml:space="preserve">10.005.002.002 </t>
  </si>
  <si>
    <t>Mão de obra de Espala revestimento cerâmico/azulejado</t>
  </si>
  <si>
    <t xml:space="preserve">10.005.003.003 </t>
  </si>
  <si>
    <t xml:space="preserve">10.005.003.004 </t>
  </si>
  <si>
    <t xml:space="preserve">10.005.003.005 </t>
  </si>
  <si>
    <t>Revestimento em pastilha Barlavento portobello gris 29,5x29,5   - piscina</t>
  </si>
  <si>
    <t>Espala Revestimento Porcelanato Barlavento portobello gris 29,5x29,5 - piscina,sauna</t>
  </si>
  <si>
    <t>Forro de gesso acartonado</t>
  </si>
  <si>
    <t xml:space="preserve">12.004.000.007 </t>
  </si>
  <si>
    <t xml:space="preserve">12.004.000.008 </t>
  </si>
  <si>
    <t xml:space="preserve">12.004.000.009 </t>
  </si>
  <si>
    <t xml:space="preserve">12.004.000.010 </t>
  </si>
  <si>
    <t xml:space="preserve">13.001 </t>
  </si>
  <si>
    <t xml:space="preserve">13.001.000.001 </t>
  </si>
  <si>
    <t>Esquadria em aluminio</t>
  </si>
  <si>
    <t xml:space="preserve">14.000.000.008 </t>
  </si>
  <si>
    <t>Estrutura em metalon para pergolado</t>
  </si>
  <si>
    <t>Instalação elétrica material</t>
  </si>
  <si>
    <t>Mão de Obra Instalação Elétrica</t>
  </si>
  <si>
    <t>Instalação hidráulica água fria/ esgoto/aguas pluviais material</t>
  </si>
  <si>
    <t>Sistema de irrigação</t>
  </si>
  <si>
    <t xml:space="preserve">16.000.000.018 </t>
  </si>
  <si>
    <t>Meia infraestrutura de ar condicionado - Quartos e salas dos Aptos</t>
  </si>
  <si>
    <t>Cuba inox retangular simples  - Tramontina</t>
  </si>
  <si>
    <t>Cuba de apoio redonda - L.155.17 Deca - lavabo</t>
  </si>
  <si>
    <t>Lavatório suspenso - linha Izy Deca - i.s. serv.</t>
  </si>
  <si>
    <t>Torneira simples - linha flex Deca - ars,i.s. serv., a.s.</t>
  </si>
  <si>
    <t>Torneira de mesa bica alta - linha Level Deca - lavabo</t>
  </si>
  <si>
    <t>Acabamento Registro - Deca Aspen</t>
  </si>
  <si>
    <t xml:space="preserve">18.007.000.002 </t>
  </si>
  <si>
    <t>Banheira SPA Marilyn</t>
  </si>
  <si>
    <t xml:space="preserve">19.000.000.001 </t>
  </si>
  <si>
    <t>Pintura Acrilica acetinada cor branco neve - Parede e Teto</t>
  </si>
  <si>
    <t>Massa corrida - Parede e Teto</t>
  </si>
  <si>
    <t>Pintura esmalte em esquadrias metálicas cor cinza - PCF</t>
  </si>
  <si>
    <t>Pintura faixa sinalização em parede h=1,10 m</t>
  </si>
  <si>
    <t>Textura rolada parede e teto - garagem</t>
  </si>
  <si>
    <t>Espala em Textura rolada - garagem</t>
  </si>
  <si>
    <t>Pintura Novacor em piso cor cinza</t>
  </si>
  <si>
    <t>Plantio de grama sobre solo</t>
  </si>
  <si>
    <t xml:space="preserve">20.001.000.003 </t>
  </si>
  <si>
    <t xml:space="preserve">20.002.000.003 </t>
  </si>
  <si>
    <t>Proteção para piso</t>
  </si>
  <si>
    <t xml:space="preserve">20.002.000.004 </t>
  </si>
  <si>
    <t>Proteção para bancada</t>
  </si>
  <si>
    <t>Reservatório Fortlev 10.000 L</t>
  </si>
  <si>
    <t>Tratamento de Piso em Concreto das Garagens (pintura inclusa)</t>
  </si>
  <si>
    <t>Exames médicos</t>
  </si>
  <si>
    <t xml:space="preserve">03.000.001.009 </t>
  </si>
  <si>
    <t>Gerenciamento de Projetos</t>
  </si>
  <si>
    <t>Operador de Cremalheira</t>
  </si>
  <si>
    <t>Vale transporte 4 por dia</t>
  </si>
  <si>
    <t>Guincho de coluna</t>
  </si>
  <si>
    <t>Cremalheira</t>
  </si>
  <si>
    <t>Montagem e Desmontagem de Balancim</t>
  </si>
  <si>
    <t>Plotagem de projetos</t>
  </si>
  <si>
    <t xml:space="preserve">05.000.002.013 </t>
  </si>
  <si>
    <t xml:space="preserve">05.000.002.014 </t>
  </si>
  <si>
    <t>Combustivel</t>
  </si>
  <si>
    <t>+65</t>
  </si>
  <si>
    <t>01/08/2021</t>
  </si>
  <si>
    <t>01/09/2020</t>
  </si>
  <si>
    <t>30/12/2021</t>
  </si>
  <si>
    <t>15/01/2022</t>
  </si>
  <si>
    <t>25/02/2022</t>
  </si>
  <si>
    <t>28/01/2022</t>
  </si>
  <si>
    <t>01/01/2022</t>
  </si>
  <si>
    <t>01/10/2021</t>
  </si>
  <si>
    <t>01/12/2021</t>
  </si>
  <si>
    <t>15/02/2022</t>
  </si>
  <si>
    <t>15/12/2021</t>
  </si>
  <si>
    <t>15/06/2021</t>
  </si>
  <si>
    <t>14/01/2022</t>
  </si>
  <si>
    <t>13/05/2022</t>
  </si>
  <si>
    <t>01/07/2021</t>
  </si>
  <si>
    <t>01/05/2021</t>
  </si>
  <si>
    <t>15/04/2022</t>
  </si>
  <si>
    <t>15/08/2021</t>
  </si>
  <si>
    <t>01/08/2020</t>
  </si>
  <si>
    <t>20/04/2022</t>
  </si>
  <si>
    <t>10/03/2022</t>
  </si>
  <si>
    <t>Custo projetado por m² de AEQ</t>
  </si>
  <si>
    <t>Área Equivalente</t>
  </si>
  <si>
    <t xml:space="preserve">03.000.003.006 </t>
  </si>
  <si>
    <t>Encargos Sociais</t>
  </si>
  <si>
    <t xml:space="preserve">03.000.003.007 </t>
  </si>
  <si>
    <t>Salários e Adiantamento obra - Custo Diretos</t>
  </si>
  <si>
    <t>jun/2022</t>
  </si>
  <si>
    <t>20/12/2021</t>
  </si>
  <si>
    <t>10/06/2022</t>
  </si>
  <si>
    <t>15/06/2022</t>
  </si>
  <si>
    <t>15/05/2022</t>
  </si>
  <si>
    <t>+16</t>
  </si>
  <si>
    <t>Projetos instalações complementares (Ar condicionado, Ventilação)</t>
  </si>
  <si>
    <t>Projeto de piscina</t>
  </si>
  <si>
    <t>Projetos detalhamento</t>
  </si>
  <si>
    <t>Projeto Luminotécnico</t>
  </si>
  <si>
    <t>Almoxarifado (6 x5 m) - Sob laje</t>
  </si>
  <si>
    <t>Banheiro de obra ( 3 X 3 m) Sob laje</t>
  </si>
  <si>
    <t>Escritório ( 3x3m) Sob Laje</t>
  </si>
  <si>
    <t>Refeitório ( 3 x 6 m ) sob laje</t>
  </si>
  <si>
    <t>Vestiário (5 x 3 m ) sob laje</t>
  </si>
  <si>
    <t>Centrais ( 2 x 3 m ) sob laje</t>
  </si>
  <si>
    <t>Escavação manual de valas até 2,00 m - Blocos e cintas</t>
  </si>
  <si>
    <t>Apiloamento - Blocos e cintas</t>
  </si>
  <si>
    <t>Lastro de concreto magro Fck = 9 MPa - Blocos e cintas</t>
  </si>
  <si>
    <t>Forma para fundação em tabua - Blocos e cintas</t>
  </si>
  <si>
    <t>Armação aço CA-50/60 - Blocos e cintas</t>
  </si>
  <si>
    <t>Concreto usinado Fck = 30 Mpa Bombeado - Blocos e cintas</t>
  </si>
  <si>
    <t xml:space="preserve">05.001.000.007 </t>
  </si>
  <si>
    <t>Reaterro compactado mecanizado - Blocos e cintas</t>
  </si>
  <si>
    <t xml:space="preserve">05.001.000.008 </t>
  </si>
  <si>
    <t>Carga e transporte de material excedente - Blocos e cintas</t>
  </si>
  <si>
    <t>Concreto usinado Fck = 20 Mpa Bombeado - Tubulão</t>
  </si>
  <si>
    <t>Armação aço CA-50/60 - Tubulão</t>
  </si>
  <si>
    <t>Carga e transporte de material excedente - Tubulão</t>
  </si>
  <si>
    <t>Contenções</t>
  </si>
  <si>
    <t xml:space="preserve">05.003.001 </t>
  </si>
  <si>
    <t>Retangulão/ Cortinas</t>
  </si>
  <si>
    <t xml:space="preserve">05.003.001.001 </t>
  </si>
  <si>
    <t xml:space="preserve">05.003.001.002 </t>
  </si>
  <si>
    <t xml:space="preserve">05.003.001.003 </t>
  </si>
  <si>
    <t xml:space="preserve">05.003.001.004 </t>
  </si>
  <si>
    <t xml:space="preserve">05.003.001.005 </t>
  </si>
  <si>
    <t>Muros</t>
  </si>
  <si>
    <t xml:space="preserve">07.004.000.003 </t>
  </si>
  <si>
    <t xml:space="preserve">07.004.000.004 </t>
  </si>
  <si>
    <t>Placa cimentícia - Estrutura pergolado</t>
  </si>
  <si>
    <t>Contrapiso em concreto 4 cm</t>
  </si>
  <si>
    <t>Contrapiso argamassa 4 cm</t>
  </si>
  <si>
    <t>Contrapiso argamassa 4 cm - banheiros</t>
  </si>
  <si>
    <t>Piso em cerâmica 60x60 cm - ars., is. Garagem, is. Serviço</t>
  </si>
  <si>
    <t>Rejunte em piso Cerâmico 60x60 cm</t>
  </si>
  <si>
    <t>Mão de obra para piso cerâmico</t>
  </si>
  <si>
    <t>Piso em porcelanato 90x90 cm  - cozinha, sala (Urban Concreto Retificado Portinari)</t>
  </si>
  <si>
    <t>Piso em porcelanato 60x60 cm - lavabo, is. , hall, lavabo, área serv. (Porcelanato Cemento Avório Biancogres)</t>
  </si>
  <si>
    <t>Piso em porcelanato 60x60 cm anti-derrapante  - Terraço, varanda (Vitoria Basaltina Beige Biancogres)</t>
  </si>
  <si>
    <t xml:space="preserve">Mão de obra Piso em Pastilha </t>
  </si>
  <si>
    <t>Rodapé em porcelanato 90x90 cm - h= 10 cm - sala (Urban Concreto Retificado Portinari)</t>
  </si>
  <si>
    <t>Rodapé em porcelanato 60x60 cm - h= 10 cm  - lavabo, is. , hall, lavabo, (Porcelanato Cemento Avório Biancogres)</t>
  </si>
  <si>
    <t>Rodapé em porcelanato 60x60 cm anti-derrapante - h= 10 cm  Terraço, varanda (Vitoria Basaltina Beige Biancogres)</t>
  </si>
  <si>
    <t>Mão de obra para rejunte</t>
  </si>
  <si>
    <t>Mão de obra Piso Granito</t>
  </si>
  <si>
    <t>Rodapé em granito Branco Siena h= 14 cm</t>
  </si>
  <si>
    <t>Rodapé em granito Preto São Gabriel h= 14 cm</t>
  </si>
  <si>
    <t>Mão de obra rejunte em granito</t>
  </si>
  <si>
    <t>Filete em granito Branco Siena - degrau escada de incêndio</t>
  </si>
  <si>
    <t>Filete em granito Branco Siena</t>
  </si>
  <si>
    <t xml:space="preserve">09.004.005 </t>
  </si>
  <si>
    <t>Diversos em Granito/Mármore</t>
  </si>
  <si>
    <t xml:space="preserve">09.004.005.001 </t>
  </si>
  <si>
    <t>Banco em granito Branco Siena h = 40 cm</t>
  </si>
  <si>
    <t>Ladrilho hidráulico 16 quadros xadrez cor preta e natural</t>
  </si>
  <si>
    <t>Rodapé Durafloor branco h= 10 cm  - quartos, circulação</t>
  </si>
  <si>
    <t xml:space="preserve">09.006.000.008 </t>
  </si>
  <si>
    <t>Mão de obra para instalação de Rodapé em Poliestireno</t>
  </si>
  <si>
    <t xml:space="preserve">09.006.000.009 </t>
  </si>
  <si>
    <t>Rejunte em Rodapé Santa Luzia - quartos, circulação</t>
  </si>
  <si>
    <t>Gesso liso parede e teto</t>
  </si>
  <si>
    <t>Revestimento em Porcelanato 32x60 cm - ars, lavabo, cozinha, área serv., is. (Originale Bianco Retificado Biancogres)</t>
  </si>
  <si>
    <t>Revestimento em tijolinho texturizado 10x21 cm - salão de festas, espaço gourmet</t>
  </si>
  <si>
    <t>Revestimento Max focus white nat 20x20 cm - salão de festas, espaço gourmet</t>
  </si>
  <si>
    <t>Revestimento Porcelanato branco 10x20 cm - lavabos térreo</t>
  </si>
  <si>
    <t xml:space="preserve">10.005.001.006 </t>
  </si>
  <si>
    <t xml:space="preserve">10.005.001.007 </t>
  </si>
  <si>
    <t xml:space="preserve">10.005.001.008 </t>
  </si>
  <si>
    <t>Mão de obra de revestimento pastilha parede</t>
  </si>
  <si>
    <t>Rejunte de Porcelanato 20x20 cm</t>
  </si>
  <si>
    <t>Rejunte de Porcelanato 10x20 cm</t>
  </si>
  <si>
    <t>Mão de obra rejunte porcelanato parede</t>
  </si>
  <si>
    <t>Revestimento de parede acústico em madeira -  portaria</t>
  </si>
  <si>
    <t>Revestimento de parede acústico em madeira Ambi Brasil Ambi 32.3 -  fitness</t>
  </si>
  <si>
    <t>Forro de gesso  com manta acústica</t>
  </si>
  <si>
    <t>Caixote em gesso</t>
  </si>
  <si>
    <t xml:space="preserve">12.001.000.002 </t>
  </si>
  <si>
    <t>Chapisco externo - muros</t>
  </si>
  <si>
    <t>Reboco externo usinado - muros</t>
  </si>
  <si>
    <t xml:space="preserve">12.002.000.004 </t>
  </si>
  <si>
    <t xml:space="preserve">12.003.000.003 </t>
  </si>
  <si>
    <t xml:space="preserve">12.003.000.004 </t>
  </si>
  <si>
    <t>Mão de Obra  Porcelanato aerado rejuntado</t>
  </si>
  <si>
    <t>Revestimentos de Fachada Convencional</t>
  </si>
  <si>
    <t>Rejunte Porcelanato Fachada 60x60 cm</t>
  </si>
  <si>
    <t>Mão de obra rejunte Porcelanato Fachada 60x60 cm</t>
  </si>
  <si>
    <t>Esquadrias de alumínio Anodizado Fosco 1000 / Vidros, e contramarco</t>
  </si>
  <si>
    <t xml:space="preserve">13.001.000.002 </t>
  </si>
  <si>
    <t>Esquadrias de vidro</t>
  </si>
  <si>
    <t>Guarda corpo metálico com corrimão h=105 cm</t>
  </si>
  <si>
    <t>Corrimão em inox</t>
  </si>
  <si>
    <t>Porta bicicleta metálico de parede -  10 unidades</t>
  </si>
  <si>
    <t xml:space="preserve">14.000.000.009 </t>
  </si>
  <si>
    <t>Portão em metalon de abrir - 280x240 cm</t>
  </si>
  <si>
    <t>Kit Porta pronta em madeira 80 x 210 cm PNE - Pormade</t>
  </si>
  <si>
    <t>Kit Porta pronta de correr em madeira branca 70 x 210 cm - Pormade</t>
  </si>
  <si>
    <t>Fechadura porta externa - Imab ou similar</t>
  </si>
  <si>
    <t>Fechadura porta banheiro PNE - Imab ou similar</t>
  </si>
  <si>
    <t xml:space="preserve">15.002.000.006 </t>
  </si>
  <si>
    <t>Conjunto de dobradiças cromadas</t>
  </si>
  <si>
    <t xml:space="preserve">15.002.000.007 </t>
  </si>
  <si>
    <t>Elevador 8 paradas</t>
  </si>
  <si>
    <t>Ar condicionado área comum (infra)/coifa</t>
  </si>
  <si>
    <t>Ventilação mecânica</t>
  </si>
  <si>
    <t>Sistema de sonorização</t>
  </si>
  <si>
    <t>Sistema de aquecimento a gás</t>
  </si>
  <si>
    <t>Balcão em granito Preto São Gabriel</t>
  </si>
  <si>
    <t>Bancada em granito Branco Siena (banho)</t>
  </si>
  <si>
    <t>Cuba de semi-encaixe - Deca - i.s.</t>
  </si>
  <si>
    <t>Tanque de louça 20 litros - Cor Branca Celite</t>
  </si>
  <si>
    <t>Torneira de mesa, Linha Deca ou similar</t>
  </si>
  <si>
    <t>Torneira para tanque, Linha Docol, Oneel ou similar</t>
  </si>
  <si>
    <t>Torneira cozinha de mesa bica alta Celite</t>
  </si>
  <si>
    <t xml:space="preserve">18.005.000.005 </t>
  </si>
  <si>
    <t>Torneira para lavatório Misturador monocomando para lavatório mesa Victoria-n cr</t>
  </si>
  <si>
    <t xml:space="preserve">18.005.000.006 </t>
  </si>
  <si>
    <t xml:space="preserve">18.005.000.007 </t>
  </si>
  <si>
    <t>Pintura Externa</t>
  </si>
  <si>
    <t>Pintura Grafiatto - Hall</t>
  </si>
  <si>
    <t>Pintura Grafiatto - Lavabo</t>
  </si>
  <si>
    <t xml:space="preserve">19.007.000.003 </t>
  </si>
  <si>
    <t xml:space="preserve">Pintura Mofo </t>
  </si>
  <si>
    <t xml:space="preserve">19.007.000.004 </t>
  </si>
  <si>
    <t xml:space="preserve">19.007.000.005 </t>
  </si>
  <si>
    <t xml:space="preserve">Espala em Textura rolada - Escada de Incêndio </t>
  </si>
  <si>
    <t xml:space="preserve">19.007.000.006 </t>
  </si>
  <si>
    <t xml:space="preserve">19.007.000.007 </t>
  </si>
  <si>
    <t xml:space="preserve">19.007.000.008 </t>
  </si>
  <si>
    <t xml:space="preserve">19.009 </t>
  </si>
  <si>
    <t xml:space="preserve">19.009.000.001 </t>
  </si>
  <si>
    <t xml:space="preserve">19.009.000.002 </t>
  </si>
  <si>
    <t xml:space="preserve">19.009.000.003 </t>
  </si>
  <si>
    <t>Pintura em concreto aparente - teto</t>
  </si>
  <si>
    <t xml:space="preserve">19.009.000.004 </t>
  </si>
  <si>
    <t>Identificação visual do edifício</t>
  </si>
  <si>
    <t>Caixa de captação 2.800 L</t>
  </si>
  <si>
    <t>Reservatório Fortlev 5.000 L</t>
  </si>
  <si>
    <t>Decoração Portaria incluso mobiliario</t>
  </si>
  <si>
    <t>NBR</t>
  </si>
  <si>
    <t>Bandeja principal plana e inclinada (aparalixo) - 3º pavto</t>
  </si>
  <si>
    <t>Bandeja de proteção secundaria - 6º pavto</t>
  </si>
  <si>
    <t>Proteção perimetral dos andares - 2 pavtos</t>
  </si>
  <si>
    <t>Apoio para montagem  de linha de vida - 2 pavtos</t>
  </si>
  <si>
    <t xml:space="preserve">02.000.000.010 </t>
  </si>
  <si>
    <t xml:space="preserve">02.000.000.011 </t>
  </si>
  <si>
    <t>Mini escavadeira</t>
  </si>
  <si>
    <t>Locação de Andaime Tubular (interno)</t>
  </si>
  <si>
    <t>Espala em reboco externo</t>
  </si>
  <si>
    <t>Porcelanato Fachada Aerada - 60x60 cm Cemento Grigio Biancogrês</t>
  </si>
  <si>
    <t>Espala em Porcelanato Fachada Aerada - 60x60 cm Cemento Grigio Biancogrês</t>
  </si>
  <si>
    <t>Porcelanato Fachada - 60x60 cm (Esmaltado Cristallo Bianco Biancogrês)</t>
  </si>
  <si>
    <t>Espala em Porcelanato Fachada - 60x60 cm Cemento Grigio Biancogrês</t>
  </si>
  <si>
    <t>Porcelanato Fachada - 8x25 cm Metal Bricks dgr Portinari</t>
  </si>
  <si>
    <t>Espala em Porcelanato Fachada - 8x25 cm Metal Bricks dgr Portinari</t>
  </si>
  <si>
    <t>Rejunte Porcelanato Fachada 8x25 cm</t>
  </si>
  <si>
    <t>Mão de obra rejunte Porcelanato Fachada 8x25 cm</t>
  </si>
  <si>
    <t>Revestimento acrilico - cor porcelanato bianco Vazio</t>
  </si>
  <si>
    <t xml:space="preserve">Pintura em parede </t>
  </si>
  <si>
    <t>Textura rolada - muros (agreste)</t>
  </si>
  <si>
    <t>Internet/ TI</t>
  </si>
  <si>
    <t xml:space="preserve">      Projeto Estrutural</t>
  </si>
  <si>
    <t>15/10/2020</t>
  </si>
  <si>
    <t>15/12/2020</t>
  </si>
  <si>
    <t xml:space="preserve">      Projeto Fundação e Contenção</t>
  </si>
  <si>
    <t>20/09/2020</t>
  </si>
  <si>
    <t>16/10/2020</t>
  </si>
  <si>
    <t xml:space="preserve">      Consultoria Fundação e Contenção</t>
  </si>
  <si>
    <t xml:space="preserve">      Projeto de Proteção Coletiva</t>
  </si>
  <si>
    <t xml:space="preserve">      Projeto Arquitetura</t>
  </si>
  <si>
    <t xml:space="preserve">      Projetos de Sistemas Prediais (Elétricos, Telecomunicações, SPDA, Hidrossanitários, glp, Incêndio)</t>
  </si>
  <si>
    <t xml:space="preserve">      Projetos instalações complementares (Ar condicionado, Ventilação)</t>
  </si>
  <si>
    <t>28/05/2021</t>
  </si>
  <si>
    <t xml:space="preserve">      Projeto de Demolição e Terraplenagem</t>
  </si>
  <si>
    <t>30/07/2020</t>
  </si>
  <si>
    <t xml:space="preserve">      Projeto de piscina</t>
  </si>
  <si>
    <t xml:space="preserve">      Projetos detalhamento</t>
  </si>
  <si>
    <t xml:space="preserve">      Projeto Luminotécnico</t>
  </si>
  <si>
    <t>29/07/2022</t>
  </si>
  <si>
    <t xml:space="preserve">      Sondagem</t>
  </si>
  <si>
    <t xml:space="preserve">      Levantamento Planialtimétrico</t>
  </si>
  <si>
    <t xml:space="preserve">      Serviços de topografia</t>
  </si>
  <si>
    <t xml:space="preserve">      Controle Tecnológico - 3 CP por caminhão</t>
  </si>
  <si>
    <t xml:space="preserve">      Vistoria Cautelar</t>
  </si>
  <si>
    <t xml:space="preserve">      Analise de Acústica de Entorno</t>
  </si>
  <si>
    <t xml:space="preserve">      Compensação ambiental</t>
  </si>
  <si>
    <t>01/07/2022</t>
  </si>
  <si>
    <t xml:space="preserve">      Instalações provisórias de água/esgoto</t>
  </si>
  <si>
    <t xml:space="preserve">      Instalações provisórias de luz</t>
  </si>
  <si>
    <t xml:space="preserve">      Instalação provisória de incêndio</t>
  </si>
  <si>
    <t xml:space="preserve">      Locação de Container</t>
  </si>
  <si>
    <t xml:space="preserve">      Mobilização e desmobilização de container</t>
  </si>
  <si>
    <t>10/04/2021</t>
  </si>
  <si>
    <t xml:space="preserve">      Almoxarifado (6 x5 m) - Sob laje</t>
  </si>
  <si>
    <t xml:space="preserve">      Banheiro de obra ( 3 X 3 m) Sob laje</t>
  </si>
  <si>
    <t xml:space="preserve">      Escritório ( 3x3m) Sob Laje</t>
  </si>
  <si>
    <t xml:space="preserve">      Refeitório ( 3 x 6 m ) sob laje</t>
  </si>
  <si>
    <t xml:space="preserve">      Vestiário (5 x 3 m ) sob laje</t>
  </si>
  <si>
    <t xml:space="preserve">      Centrais ( 2 x 3 m ) sob laje</t>
  </si>
  <si>
    <t xml:space="preserve">      Materiais complementares de Canteiro</t>
  </si>
  <si>
    <t xml:space="preserve">      Placa de obra</t>
  </si>
  <si>
    <t xml:space="preserve">      Mobiliário de obra (mesa, cadeiras, armários)</t>
  </si>
  <si>
    <t xml:space="preserve">      Tapume h= 2,50m (frente do terreno)</t>
  </si>
  <si>
    <t xml:space="preserve">      Locação da obra</t>
  </si>
  <si>
    <t xml:space="preserve">      Serviço de Demolição</t>
  </si>
  <si>
    <t xml:space="preserve">      Serviço de Terraplenagem</t>
  </si>
  <si>
    <t>24/08/2020</t>
  </si>
  <si>
    <t>17/02/2021</t>
  </si>
  <si>
    <t>03/10/2020</t>
  </si>
  <si>
    <t>14/12/2020</t>
  </si>
  <si>
    <t xml:space="preserve">      Escavação manual de valas até 2,00 m - Blocos e cintas</t>
  </si>
  <si>
    <t xml:space="preserve">      Apiloamento - Blocos e cintas</t>
  </si>
  <si>
    <t xml:space="preserve">      Lastro de concreto magro Fck = 9 MPa - Blocos e cintas</t>
  </si>
  <si>
    <t xml:space="preserve">      Forma para fundação em tabua - Blocos e cintas</t>
  </si>
  <si>
    <t xml:space="preserve">      Armação aço CA-50/60 - Blocos e cintas</t>
  </si>
  <si>
    <t xml:space="preserve">      Concreto usinado Fck = 30 Mpa Bombeado - Blocos e cintas</t>
  </si>
  <si>
    <t xml:space="preserve">      Reaterro compactado mecanizado - Blocos e cintas</t>
  </si>
  <si>
    <t xml:space="preserve">      Carga e transporte de material excedente - Blocos e cintas</t>
  </si>
  <si>
    <t>13/11/2020</t>
  </si>
  <si>
    <t xml:space="preserve">      Escavação manual de fustes em material de 1ª categoria</t>
  </si>
  <si>
    <t xml:space="preserve">      Alargamento manual de bases em material de 1ª categoria</t>
  </si>
  <si>
    <t xml:space="preserve">      Concreto usinado Fck = 20 Mpa Bombeado - Tubulão</t>
  </si>
  <si>
    <t xml:space="preserve">      Armação aço CA-50/60 - Tubulão</t>
  </si>
  <si>
    <t xml:space="preserve">      Arrasamento de cabeça de tubulão</t>
  </si>
  <si>
    <t xml:space="preserve">      Carga e transporte de material excedente - Tubulão</t>
  </si>
  <si>
    <t xml:space="preserve">  - Contenções</t>
  </si>
  <si>
    <t xml:space="preserve">    - Retangulão/ Cortinas</t>
  </si>
  <si>
    <t xml:space="preserve">      Escavação manual</t>
  </si>
  <si>
    <t xml:space="preserve">      Forma para Fundação</t>
  </si>
  <si>
    <t xml:space="preserve">      Armação aço CA-50/60 (média dos diâmetros)</t>
  </si>
  <si>
    <t xml:space="preserve">      Concreto usinado Fck = 30 Mpa Bombeado</t>
  </si>
  <si>
    <t xml:space="preserve">      Carga e transporte de material excedente</t>
  </si>
  <si>
    <t xml:space="preserve">      Forma compensado plastificado 18 mm. - reap. 10X</t>
  </si>
  <si>
    <t xml:space="preserve">      Concreto usinado Fck = 30 MPa Bombeado</t>
  </si>
  <si>
    <t xml:space="preserve">      Lançamento e sarrafeamento de piso</t>
  </si>
  <si>
    <t>12/04/2021</t>
  </si>
  <si>
    <t xml:space="preserve">      Alvenaria em tijolo cerâmico - 09x19x29 cm</t>
  </si>
  <si>
    <t xml:space="preserve">      Alvenaria em tijolo cerâmico - 14x19x29 cm</t>
  </si>
  <si>
    <t xml:space="preserve">      Alvenaria de bloco cerâmico - 19x19x29 cm</t>
  </si>
  <si>
    <t xml:space="preserve">      Mão de obra alvenaria de bloco cerâmico</t>
  </si>
  <si>
    <t xml:space="preserve">  - Muros</t>
  </si>
  <si>
    <t xml:space="preserve">      Muro sobre laje esp.: 14 cm</t>
  </si>
  <si>
    <t xml:space="preserve">      Mão de obra alvenaria de Muro sobre laje</t>
  </si>
  <si>
    <t xml:space="preserve">      Muro sobre solo esp.: 14 cm</t>
  </si>
  <si>
    <t xml:space="preserve">      Mão de obra alvenaria de Muro sobre solo</t>
  </si>
  <si>
    <t xml:space="preserve">      Encunhamento</t>
  </si>
  <si>
    <t>20/08/2021</t>
  </si>
  <si>
    <t xml:space="preserve">      Mão de obra de encunhamento</t>
  </si>
  <si>
    <t xml:space="preserve">      Vergas e contra-vergas</t>
  </si>
  <si>
    <t xml:space="preserve">      Fechamento de shaft em drywall - Placa Standart</t>
  </si>
  <si>
    <t xml:space="preserve">      Fechamento de shaft em drywall - Placa hidrofugante</t>
  </si>
  <si>
    <t>10/11/2021</t>
  </si>
  <si>
    <t xml:space="preserve">      Painel em MDF - Armário medidor individual</t>
  </si>
  <si>
    <t xml:space="preserve">      Placa cimentícia - Estrutura pergolado</t>
  </si>
  <si>
    <t xml:space="preserve">      Impermeabilização com manta - área externo 4 mm</t>
  </si>
  <si>
    <t xml:space="preserve">      Impermeabilização de áreas frias com cimento polimérico</t>
  </si>
  <si>
    <t>13/01/2022</t>
  </si>
  <si>
    <t xml:space="preserve">      Impermeabilização de cortina</t>
  </si>
  <si>
    <t xml:space="preserve">      Impermeabilização poço elevador</t>
  </si>
  <si>
    <t xml:space="preserve">      Impermeabilização de jardineira</t>
  </si>
  <si>
    <t xml:space="preserve">      Impermeabilização de piscina (manta + tela)</t>
  </si>
  <si>
    <t xml:space="preserve">      Nivelamento / Compactação de piso</t>
  </si>
  <si>
    <t xml:space="preserve">      Lastro de brita</t>
  </si>
  <si>
    <t xml:space="preserve">      Contrapiso em concreto 4 cm</t>
  </si>
  <si>
    <t xml:space="preserve">      Contrapiso argamassa 4 cm</t>
  </si>
  <si>
    <t>20/10/2021</t>
  </si>
  <si>
    <t xml:space="preserve">      Contrapiso argamassa 4 cm - banheiros</t>
  </si>
  <si>
    <t>18/01/2022</t>
  </si>
  <si>
    <t xml:space="preserve">      Enchimento de piso (sóculo)</t>
  </si>
  <si>
    <t>03/02/2022</t>
  </si>
  <si>
    <t xml:space="preserve">      Piso cimentado desempenado</t>
  </si>
  <si>
    <t xml:space="preserve">      Polimento de piso</t>
  </si>
  <si>
    <t xml:space="preserve">      Piso em concreto armado polido h=14cm</t>
  </si>
  <si>
    <t xml:space="preserve">      Piso em cerâmica 60x60 cm - ars., is. Garagem, is. Serviço</t>
  </si>
  <si>
    <t>18/02/2022</t>
  </si>
  <si>
    <t xml:space="preserve">      Mão de obra  Piso em Cerâmica</t>
  </si>
  <si>
    <t>20/01/2022</t>
  </si>
  <si>
    <t xml:space="preserve">      Rejunte em piso Cerâmico 60x60 cm</t>
  </si>
  <si>
    <t xml:space="preserve">      Mão de obra para piso cerâmico</t>
  </si>
  <si>
    <t xml:space="preserve">      Piso em porcelanato 90x90 cm  - cozinha, sala (Urban Concreto Retificado Portinari)</t>
  </si>
  <si>
    <t xml:space="preserve">      Piso em porcelanato 60x60 cm - lavabo, is. , hall, lavabo, área serv. (Porcelanato Cemento Avório Biancogres)</t>
  </si>
  <si>
    <t>18/03/2022</t>
  </si>
  <si>
    <t xml:space="preserve">      Piso em porcelanato 60x60 cm anti-derrapante  - Terraço, varanda (Vitoria Basaltina Beige Biancogres)</t>
  </si>
  <si>
    <t xml:space="preserve">      Piso Porcelanato Barlavento portobello gris 29,5x29,5 - piscina, sauna</t>
  </si>
  <si>
    <t xml:space="preserve">      Mão de obra Piso em Pastilha </t>
  </si>
  <si>
    <t xml:space="preserve">      Rodapé em porcelanato 90x90 cm - h= 10 cm - sala (Urban Concreto Retificado Portinari)</t>
  </si>
  <si>
    <t xml:space="preserve">      Rodapé em porcelanato 60x60 cm - h= 10 cm  - lavabo, is. , hall, lavabo, (Porcelanato Cemento Avório Biancogres)</t>
  </si>
  <si>
    <t xml:space="preserve">      Rodapé em porcelanato 60x60 cm anti-derrapante - h= 10 cm  Terraço, varanda (Vitoria Basaltina Beige Biancogres)</t>
  </si>
  <si>
    <t xml:space="preserve">      Mão de obra para rejunte</t>
  </si>
  <si>
    <t>15/07/2021</t>
  </si>
  <si>
    <t>08/04/2022</t>
  </si>
  <si>
    <t xml:space="preserve">      Mão de obra Piso Granito</t>
  </si>
  <si>
    <t xml:space="preserve">      Rodapé em granito Branco Siena h= 14 cm</t>
  </si>
  <si>
    <t xml:space="preserve">      Rodapé em granito Preto São Gabriel h= 14 cm</t>
  </si>
  <si>
    <t xml:space="preserve">      Mão de obra rejunte em granito</t>
  </si>
  <si>
    <t xml:space="preserve">      Filete em granito Branco Siena - degrau escada de incêndio</t>
  </si>
  <si>
    <t xml:space="preserve">      Filete em granito Branco Siena</t>
  </si>
  <si>
    <t>15/10/2021</t>
  </si>
  <si>
    <t>12/11/2021</t>
  </si>
  <si>
    <t xml:space="preserve">    - Diversos em Granito/Mármore</t>
  </si>
  <si>
    <t xml:space="preserve">      Banco em granito Branco Siena h = 40 cm</t>
  </si>
  <si>
    <t xml:space="preserve">      Piso Laminado Durafloor Linha Ritz instalado com rodapé (linha New Way, Petrópolis)</t>
  </si>
  <si>
    <t xml:space="preserve">      Mão de obra Piso laminado</t>
  </si>
  <si>
    <t xml:space="preserve">      Deck em madeira</t>
  </si>
  <si>
    <t xml:space="preserve">      Meio-fio em concreto</t>
  </si>
  <si>
    <t>02/05/2022</t>
  </si>
  <si>
    <t>27/05/2022</t>
  </si>
  <si>
    <t xml:space="preserve">      Ladrilho hidráulico tátil direcional cor vermelha</t>
  </si>
  <si>
    <t xml:space="preserve">      Ladrilho hidráulico tátil alerta cor vermelha</t>
  </si>
  <si>
    <t xml:space="preserve">      Ladrilho hidráulico 16 quadros cor natural</t>
  </si>
  <si>
    <t xml:space="preserve">      Ladrilho hidráulico 16 quadros xadrez cor preta e natural</t>
  </si>
  <si>
    <t xml:space="preserve">      Piso para alto tráfego - Inpact Roll alta performance -  fitness</t>
  </si>
  <si>
    <t xml:space="preserve">      Rodapé Durafloor branco h= 10 cm  - quartos, circulação</t>
  </si>
  <si>
    <t xml:space="preserve">      Mão de obra para instalação de Rodapé em Poliestireno</t>
  </si>
  <si>
    <t xml:space="preserve">      Rejunte em Rodapé Santa Luzia - quartos, circulação</t>
  </si>
  <si>
    <t>10/12/2021</t>
  </si>
  <si>
    <t xml:space="preserve">      Chapisco interno com argamassa</t>
  </si>
  <si>
    <t xml:space="preserve">      Chapisco rolado - Parede</t>
  </si>
  <si>
    <t xml:space="preserve">      Emboco interno usinado</t>
  </si>
  <si>
    <t xml:space="preserve">      Mão de obra emboço interno</t>
  </si>
  <si>
    <t xml:space="preserve">      Espala em emboço  interno</t>
  </si>
  <si>
    <t xml:space="preserve">      Reboco interno  usinado</t>
  </si>
  <si>
    <t xml:space="preserve">      Mão de obra reboco interno</t>
  </si>
  <si>
    <t xml:space="preserve">      Gesso liso parede e teto</t>
  </si>
  <si>
    <t xml:space="preserve">      Revestimento em Porcelanato 32x60 cm - ars, lavabo, cozinha, área serv., is. (Originale Bianco Retificado Biancogres)</t>
  </si>
  <si>
    <t xml:space="preserve">      Revestimento em tijolinho texturizado 10x21 cm - salão de festas, espaço gourmet</t>
  </si>
  <si>
    <t xml:space="preserve">      Revestimento Max focus white nat 20x20 cm - salão de festas, espaço gourmet</t>
  </si>
  <si>
    <t xml:space="preserve">      Revestimento Porcelanato branco 10x20 cm - lavabos térreo</t>
  </si>
  <si>
    <t xml:space="preserve">      Revestimento em pastilha Barlavento portobello gris 29,5x29,5   - piscina</t>
  </si>
  <si>
    <t xml:space="preserve">      Espala Revestimento Porcelanato Barlavento portobello gris 29,5x29,5 - piscina,sauna</t>
  </si>
  <si>
    <t xml:space="preserve">      Mão de obra de revestimento pastilha parede</t>
  </si>
  <si>
    <t xml:space="preserve">      Rejunte de Porcelanato 20x20 cm</t>
  </si>
  <si>
    <t xml:space="preserve">      Rejunte de Porcelanato 10x20 cm</t>
  </si>
  <si>
    <t xml:space="preserve">      Mão de obra rejunte porcelanato parede</t>
  </si>
  <si>
    <t xml:space="preserve">      Moldura em mármore Bege Bahia - elevador</t>
  </si>
  <si>
    <t xml:space="preserve">      Revestimento de parede acústico em madeira -  portaria</t>
  </si>
  <si>
    <t xml:space="preserve">      Revestimento de parede acústico em madeira Ambi Brasil Ambi 32.3 -  fitness</t>
  </si>
  <si>
    <t xml:space="preserve">      Forro de gesso acartonado</t>
  </si>
  <si>
    <t xml:space="preserve">      Forro de gesso  com manta acústica</t>
  </si>
  <si>
    <t xml:space="preserve">      Junta metálica para forro</t>
  </si>
  <si>
    <t xml:space="preserve">      Caixote em gesso</t>
  </si>
  <si>
    <t>15/03/2022</t>
  </si>
  <si>
    <t xml:space="preserve">      Chapisco externo</t>
  </si>
  <si>
    <t xml:space="preserve">      Chapisco externo - muros</t>
  </si>
  <si>
    <t xml:space="preserve">      Reboco externo usinado</t>
  </si>
  <si>
    <t xml:space="preserve">      Reboco externo usinado - muros</t>
  </si>
  <si>
    <t xml:space="preserve">      Mão de obra reboco externo</t>
  </si>
  <si>
    <t xml:space="preserve">      Espala em reboco externo</t>
  </si>
  <si>
    <t xml:space="preserve">      Porcelanato Fachada Aerada - 60x60 cm Cemento Grigio Biancogrês</t>
  </si>
  <si>
    <t xml:space="preserve">      Espala em Porcelanato Fachada Aerada - 60x60 cm Cemento Grigio Biancogrês</t>
  </si>
  <si>
    <t xml:space="preserve">      Mão de Obra  Porcelanato aerado rejuntado</t>
  </si>
  <si>
    <t xml:space="preserve">      Mão de Obra Espala Porcelanato aerado</t>
  </si>
  <si>
    <t xml:space="preserve">  - Revestimentos de Fachada Convencional</t>
  </si>
  <si>
    <t xml:space="preserve">      Porcelanato Fachada - 60x60 cm (Esmaltado Cristallo Bianco Biancogrês)</t>
  </si>
  <si>
    <t xml:space="preserve">      Espala em Porcelanato Fachada - 60x60 cm Cemento Grigio Biancogrês</t>
  </si>
  <si>
    <t xml:space="preserve">      Porcelanato Fachada - 8x25 cm Metal Bricks dgr Portinari</t>
  </si>
  <si>
    <t xml:space="preserve">      Espala em Porcelanato Fachada - 8x25 cm Metal Bricks dgr Portinari</t>
  </si>
  <si>
    <t xml:space="preserve">      Rejunte Porcelanato Fachada 60x60 cm</t>
  </si>
  <si>
    <t xml:space="preserve">      Mão de obra rejunte Porcelanato Fachada 60x60 cm</t>
  </si>
  <si>
    <t xml:space="preserve">      Rejunte Porcelanato Fachada 8x25 cm</t>
  </si>
  <si>
    <t xml:space="preserve">      Mão de obra rejunte Porcelanato Fachada 8x25 cm</t>
  </si>
  <si>
    <t xml:space="preserve">      Mão de Obra Porcelanato fachada</t>
  </si>
  <si>
    <t xml:space="preserve">      Mão de Obra Espala Porcelanato fachada</t>
  </si>
  <si>
    <t>18/08/2021</t>
  </si>
  <si>
    <t>20/06/2022</t>
  </si>
  <si>
    <t xml:space="preserve">      Esquadrias de alumínio Anodizado Fosco 1000 / Vidros, e contramarco</t>
  </si>
  <si>
    <t xml:space="preserve">      Esquadrias de vidro</t>
  </si>
  <si>
    <t>15/01/2021</t>
  </si>
  <si>
    <t xml:space="preserve">      Corrimão h= 90 cm</t>
  </si>
  <si>
    <t xml:space="preserve">      Escada marinheiro</t>
  </si>
  <si>
    <t xml:space="preserve">      Alçapão em metalon 70 x 70 cm</t>
  </si>
  <si>
    <t xml:space="preserve">      Porta corta fogo 80 x 210 cm</t>
  </si>
  <si>
    <t xml:space="preserve">      Guarda corpo metálico com corrimão h=105 cm</t>
  </si>
  <si>
    <t xml:space="preserve">      Corrimão em inox</t>
  </si>
  <si>
    <t xml:space="preserve">      Porta bicicleta metálico de parede -  10 unidades</t>
  </si>
  <si>
    <t xml:space="preserve">      Estrutura em metalon para pergolado</t>
  </si>
  <si>
    <t xml:space="preserve">      Portão em metalon de abrir - 280x240 cm</t>
  </si>
  <si>
    <t xml:space="preserve">      Kit Porta pronta em madeira branca 60 x 210 cm - Pormade</t>
  </si>
  <si>
    <t xml:space="preserve">      Kit Porta pronta em madeira branca 70 x 210 cm - Pormade</t>
  </si>
  <si>
    <t xml:space="preserve">      Kit Porta pronta em madeira branca 80 x 210 cm - Pormade</t>
  </si>
  <si>
    <t xml:space="preserve">      Kit Porta pronta em madeira 80 x 210 cm PNE - Pormade</t>
  </si>
  <si>
    <t xml:space="preserve">      Kit Porta pronta de correr em madeira branca 70 x 210 cm - Pormade</t>
  </si>
  <si>
    <t xml:space="preserve">      Fechadura porta externa - Imab ou similar</t>
  </si>
  <si>
    <t xml:space="preserve">      Fechadura porta banheiro PNE - Imab ou similar</t>
  </si>
  <si>
    <t xml:space="preserve">      Fechadura porta interna - Imab ou similar</t>
  </si>
  <si>
    <t xml:space="preserve">      Fechadura porta banheiro - Imab ou similar</t>
  </si>
  <si>
    <t xml:space="preserve">      Fechadura para porta de correr - Imab ou similar</t>
  </si>
  <si>
    <t xml:space="preserve">      Conjunto de dobradiças cromadas</t>
  </si>
  <si>
    <t xml:space="preserve">      Puxador cromado H= 60 cm</t>
  </si>
  <si>
    <t xml:space="preserve">      Instalação elétrica material</t>
  </si>
  <si>
    <t xml:space="preserve">      Mão de Obra Instalação Elétrica</t>
  </si>
  <si>
    <t xml:space="preserve">      Instalação hidráulica água fria/ esgoto/aguas pluviais material</t>
  </si>
  <si>
    <t>15/05/2021</t>
  </si>
  <si>
    <t xml:space="preserve">      Mão de Obra Instalação hidráulica água fria/ esgoto/aguas pluviais</t>
  </si>
  <si>
    <t xml:space="preserve">      Furação hidraulica</t>
  </si>
  <si>
    <t>20/09/2021</t>
  </si>
  <si>
    <t xml:space="preserve">      Sistema de irrigação</t>
  </si>
  <si>
    <t xml:space="preserve">      Fornecimento e Instalação de Gás</t>
  </si>
  <si>
    <t xml:space="preserve">      Instalações de incêndio</t>
  </si>
  <si>
    <t>16/11/2021</t>
  </si>
  <si>
    <t xml:space="preserve">      Portão eletrônico</t>
  </si>
  <si>
    <t xml:space="preserve">      Interfone</t>
  </si>
  <si>
    <t xml:space="preserve">      Elevador 8 paradas</t>
  </si>
  <si>
    <t>17/12/2021</t>
  </si>
  <si>
    <t xml:space="preserve">      Serviço de telefonia</t>
  </si>
  <si>
    <t>**/**/**</t>
  </si>
  <si>
    <t xml:space="preserve">      Automatização e Segurança</t>
  </si>
  <si>
    <t xml:space="preserve">      Ar condicionado área comum (infra)/coifa</t>
  </si>
  <si>
    <t xml:space="preserve">      Meia infraestrutura de ar condicionado - Quartos e salas dos Aptos</t>
  </si>
  <si>
    <t>20/07/2021</t>
  </si>
  <si>
    <t xml:space="preserve">      Ventilação mecânica</t>
  </si>
  <si>
    <t xml:space="preserve">      Sistema de sonorização</t>
  </si>
  <si>
    <t xml:space="preserve">      Sistema de aquecimento a gás</t>
  </si>
  <si>
    <t>05/02/2022</t>
  </si>
  <si>
    <t xml:space="preserve">      Bancada em granito Preto São Gabriel (cozinha)</t>
  </si>
  <si>
    <t xml:space="preserve">      Balcão em granito Preto São Gabriel</t>
  </si>
  <si>
    <t xml:space="preserve">      Bancada em granito Branco Siena (banho)</t>
  </si>
  <si>
    <t xml:space="preserve">      Mão de obra para instalação de bancada</t>
  </si>
  <si>
    <t>06/04/2022</t>
  </si>
  <si>
    <t>20/05/2022</t>
  </si>
  <si>
    <t xml:space="preserve">      Bacia sanitária com caixa acoplada Linha Ecoflush Fit</t>
  </si>
  <si>
    <t xml:space="preserve">      Bacia sanitária com caixa acoplada Izy</t>
  </si>
  <si>
    <t xml:space="preserve">      Bacia sanitária com caixa acoplada PNE</t>
  </si>
  <si>
    <t xml:space="preserve">      Cuba inox retangular simples  - Tramontina</t>
  </si>
  <si>
    <t xml:space="preserve">      Cuba de apoio redonda - L.155.17 Deca - lavabo</t>
  </si>
  <si>
    <t xml:space="preserve">      Cuba de semi-encaixe - Deca - i.s.</t>
  </si>
  <si>
    <t xml:space="preserve">      Tanque de louça 20 litros - Cor Branca Celite</t>
  </si>
  <si>
    <t xml:space="preserve">      Lavatório suspenso - linha Izy Deca - i.s. serv.</t>
  </si>
  <si>
    <t xml:space="preserve">      Torneira de mesa, Linha Deca ou similar</t>
  </si>
  <si>
    <t xml:space="preserve">      Torneira para tanque, Linha Docol, Oneel ou similar</t>
  </si>
  <si>
    <t xml:space="preserve">      Torneira cozinha de mesa bica alta Celite</t>
  </si>
  <si>
    <t xml:space="preserve">      Torneira simples - linha flex Deca - ars,i.s. serv., a.s.</t>
  </si>
  <si>
    <t xml:space="preserve">      Torneira para lavatório Misturador monocomando para lavatório mesa Victoria-n cr</t>
  </si>
  <si>
    <t xml:space="preserve">      Torneira de mesa bica alta - linha Level Deca - lavabo</t>
  </si>
  <si>
    <t xml:space="preserve">      Monocomando ducha prd bem Victoria-n cr</t>
  </si>
  <si>
    <t xml:space="preserve">      Acabamento Registro - Deca Aspen</t>
  </si>
  <si>
    <t xml:space="preserve">      Conjunto barras de apoio</t>
  </si>
  <si>
    <t>15/07/2022</t>
  </si>
  <si>
    <t xml:space="preserve">      Banheira SPA Marilyn</t>
  </si>
  <si>
    <t xml:space="preserve">      Mão de obra para pinturas</t>
  </si>
  <si>
    <t xml:space="preserve">      Pintura Acrilica acetinada cor branco neve - Parede e Teto</t>
  </si>
  <si>
    <t xml:space="preserve">      Massa corrida - Parede e Teto</t>
  </si>
  <si>
    <t>16/05/2022</t>
  </si>
  <si>
    <t xml:space="preserve">      Pintura esmalte em esquadrias metálicas cor cinza - PCF</t>
  </si>
  <si>
    <t xml:space="preserve">      Demarcação de vagas</t>
  </si>
  <si>
    <t xml:space="preserve">      Pintura faixa sinalização em parede h=1,10 m</t>
  </si>
  <si>
    <t xml:space="preserve">      Pintura de tubulações aparente</t>
  </si>
  <si>
    <t xml:space="preserve">      Caiação</t>
  </si>
  <si>
    <t xml:space="preserve">  - Pintura Externa</t>
  </si>
  <si>
    <t xml:space="preserve">      Revestimento acrilico - cor porcelanato bianco Vazio</t>
  </si>
  <si>
    <t xml:space="preserve">      Pintura Grafiatto - Hall</t>
  </si>
  <si>
    <t xml:space="preserve">      Pintura Grafiatto - Lavabo</t>
  </si>
  <si>
    <t>10/05/2022</t>
  </si>
  <si>
    <t xml:space="preserve">      Pintura Mofo </t>
  </si>
  <si>
    <t xml:space="preserve">      Textura rolada - Escada de incêndio</t>
  </si>
  <si>
    <t xml:space="preserve">      Espala em Textura rolada - Escada de Incêndio </t>
  </si>
  <si>
    <t xml:space="preserve">      Textura rolada parede e teto - garagem</t>
  </si>
  <si>
    <t xml:space="preserve">      Espala em Textura rolada - garagem</t>
  </si>
  <si>
    <t xml:space="preserve">      Pintura em parede </t>
  </si>
  <si>
    <t xml:space="preserve">      Textura rolada - muros (agreste)</t>
  </si>
  <si>
    <t xml:space="preserve">      Pintura em rodapé h= 8 cm - escada</t>
  </si>
  <si>
    <t xml:space="preserve">      Pintura Novacor em piso cor cinza</t>
  </si>
  <si>
    <t xml:space="preserve">      Pintura em concreto aparente - teto</t>
  </si>
  <si>
    <t xml:space="preserve">      Tratamento de concreto - parede e teto</t>
  </si>
  <si>
    <t xml:space="preserve">      Plantio de grama sobre solo</t>
  </si>
  <si>
    <t xml:space="preserve">      Plantio de grama sobre laje</t>
  </si>
  <si>
    <t xml:space="preserve">      Paisagismo</t>
  </si>
  <si>
    <t xml:space="preserve">      Lavagem de fachada</t>
  </si>
  <si>
    <t xml:space="preserve">      Limpeza final</t>
  </si>
  <si>
    <t xml:space="preserve">      Proteção para piso</t>
  </si>
  <si>
    <t xml:space="preserve">      Proteção para bancada</t>
  </si>
  <si>
    <t xml:space="preserve">      Identificação visual do edifício</t>
  </si>
  <si>
    <t xml:space="preserve">      Numeração dos apartamentos</t>
  </si>
  <si>
    <t xml:space="preserve">      Caixa de captação 2.800 L</t>
  </si>
  <si>
    <t xml:space="preserve">      Reservatório Fortlev 5.000 L</t>
  </si>
  <si>
    <t xml:space="preserve">      Reservatório Fortlev 10.000 L</t>
  </si>
  <si>
    <t xml:space="preserve">      Decoração Portaria incluso mobiliario</t>
  </si>
  <si>
    <t xml:space="preserve">      Equipamento para piscina</t>
  </si>
  <si>
    <t xml:space="preserve">      Tratamento de Piso em Concreto das Garagens (pintura inclusa)</t>
  </si>
  <si>
    <t xml:space="preserve">      Despesas CREA</t>
  </si>
  <si>
    <t>+22</t>
  </si>
  <si>
    <t xml:space="preserve">      Taxas</t>
  </si>
  <si>
    <t xml:space="preserve">      Contabilidade da obra</t>
  </si>
  <si>
    <t xml:space="preserve">      Custos advocatícios</t>
  </si>
  <si>
    <t xml:space="preserve">      NBR</t>
  </si>
  <si>
    <t xml:space="preserve">      Habite-se</t>
  </si>
  <si>
    <t xml:space="preserve">      IPTU</t>
  </si>
  <si>
    <t>+171</t>
  </si>
  <si>
    <t xml:space="preserve">      Equipamento de proteção coletiva</t>
  </si>
  <si>
    <t xml:space="preserve">      EPIs</t>
  </si>
  <si>
    <t xml:space="preserve">      Bandeja principal plana e inclinada (aparalixo) - 3º pavto</t>
  </si>
  <si>
    <t xml:space="preserve">      Bandeja de proteção secundaria - 6º pavto</t>
  </si>
  <si>
    <t xml:space="preserve">      Tela de proteção de fachada</t>
  </si>
  <si>
    <t xml:space="preserve">      Proteção perimetral dos andares - 2 pavtos</t>
  </si>
  <si>
    <t xml:space="preserve">      Proteção de poço de elevador</t>
  </si>
  <si>
    <t xml:space="preserve">      Apoio para montagem  de linha de vida - 2 pavtos</t>
  </si>
  <si>
    <t xml:space="preserve">      Treinamentos</t>
  </si>
  <si>
    <t xml:space="preserve">      Uniforme completo</t>
  </si>
  <si>
    <t xml:space="preserve">      Exames médicos</t>
  </si>
  <si>
    <t xml:space="preserve">    - Mão de Obra Administrativa</t>
  </si>
  <si>
    <t xml:space="preserve">      Engenharia de obra</t>
  </si>
  <si>
    <t xml:space="preserve">      Estagiário</t>
  </si>
  <si>
    <t xml:space="preserve">      Supervisão de Engenharia</t>
  </si>
  <si>
    <t xml:space="preserve">      Engenharia de Qualidade</t>
  </si>
  <si>
    <t xml:space="preserve">      Mestre de obras</t>
  </si>
  <si>
    <t xml:space="preserve">      Encarregado Instalações</t>
  </si>
  <si>
    <t xml:space="preserve">      Almoxarife</t>
  </si>
  <si>
    <t xml:space="preserve">      Técnico em Segurança do Trabalho 1/2 horario</t>
  </si>
  <si>
    <t xml:space="preserve">      Gerenciamento de Projetos</t>
  </si>
  <si>
    <t xml:space="preserve">    - Mão de Obra Operacional</t>
  </si>
  <si>
    <t xml:space="preserve">      Pedreiro de apoio</t>
  </si>
  <si>
    <t xml:space="preserve">      Servente de apoio</t>
  </si>
  <si>
    <t xml:space="preserve">      Servente para carga e descarga</t>
  </si>
  <si>
    <t xml:space="preserve">      Carpinteiro de Apoio</t>
  </si>
  <si>
    <t xml:space="preserve">      Operador de Cremalheira</t>
  </si>
  <si>
    <t xml:space="preserve">      Mini escavadeira</t>
  </si>
  <si>
    <t xml:space="preserve">      Premiação de produtividade/ assiduidade</t>
  </si>
  <si>
    <t xml:space="preserve">      Horas Extras</t>
  </si>
  <si>
    <t xml:space="preserve">    - Benefícios a Empregados</t>
  </si>
  <si>
    <t xml:space="preserve">      Seguro de vida em grupo</t>
  </si>
  <si>
    <t xml:space="preserve">      Cesta básica</t>
  </si>
  <si>
    <t xml:space="preserve">      Vale transporte 4 por dia</t>
  </si>
  <si>
    <t xml:space="preserve">      Café da manhã</t>
  </si>
  <si>
    <t xml:space="preserve">      Seconsi - PCMSO e PCMAT</t>
  </si>
  <si>
    <t xml:space="preserve">      Encargos Sociais</t>
  </si>
  <si>
    <t xml:space="preserve">      Salários e Adiantamento obra - Custo Diretos</t>
  </si>
  <si>
    <t xml:space="preserve">      Vibrador de imersão com mangote</t>
  </si>
  <si>
    <t xml:space="preserve">      Guincho de coluna</t>
  </si>
  <si>
    <t xml:space="preserve">      Compactador CM20 tipo sapo mecânico</t>
  </si>
  <si>
    <t xml:space="preserve">      Serra mármores</t>
  </si>
  <si>
    <t xml:space="preserve">      Furadeira Eletrica de impacto</t>
  </si>
  <si>
    <t xml:space="preserve">      Ferramentas</t>
  </si>
  <si>
    <t xml:space="preserve">      Martelete 10 Kg</t>
  </si>
  <si>
    <t xml:space="preserve">      Martelete 5 kg</t>
  </si>
  <si>
    <t xml:space="preserve">      Lixadeira Portátil</t>
  </si>
  <si>
    <t xml:space="preserve">      Locação de Andaime Tubular (interno)</t>
  </si>
  <si>
    <t xml:space="preserve">      Madeiras para andaime</t>
  </si>
  <si>
    <t xml:space="preserve">      Jateadora de Alta pressão</t>
  </si>
  <si>
    <t xml:space="preserve">      Cremalheira</t>
  </si>
  <si>
    <t>10/06/2021</t>
  </si>
  <si>
    <t xml:space="preserve">      Balancim Manual</t>
  </si>
  <si>
    <t xml:space="preserve">    - Serviços</t>
  </si>
  <si>
    <t xml:space="preserve">      Aterramento e Laudo do Elevador Cremalheira</t>
  </si>
  <si>
    <t>10/05/2021</t>
  </si>
  <si>
    <t xml:space="preserve">      Montagem e Desmontagem de Elevador Cremalheira</t>
  </si>
  <si>
    <t xml:space="preserve">      Base para elevador Cremalheira</t>
  </si>
  <si>
    <t xml:space="preserve">      Montagem e Desmontagem de Balancim</t>
  </si>
  <si>
    <t xml:space="preserve">      Manutenção de equipamentos</t>
  </si>
  <si>
    <t xml:space="preserve">    - Gastos Mensais</t>
  </si>
  <si>
    <t xml:space="preserve">      Cemig</t>
  </si>
  <si>
    <t xml:space="preserve">      Copasa</t>
  </si>
  <si>
    <t xml:space="preserve">      Internet/ TI</t>
  </si>
  <si>
    <t xml:space="preserve">      Telefonia</t>
  </si>
  <si>
    <t xml:space="preserve">      Despesas de escritório (Recarga de cartucho, cartão de ponto, material de escritório em geral)</t>
  </si>
  <si>
    <t xml:space="preserve">      Despesas bancárias</t>
  </si>
  <si>
    <t xml:space="preserve">      Fretes</t>
  </si>
  <si>
    <t xml:space="preserve">      Material de higiene/ limpeza</t>
  </si>
  <si>
    <t xml:space="preserve">      Rateio das despesas com Carro da Empresa</t>
  </si>
  <si>
    <t xml:space="preserve">      Gerenciamento e controle do orçamento</t>
  </si>
  <si>
    <t xml:space="preserve">    - Diversos</t>
  </si>
  <si>
    <t xml:space="preserve">      Comunicação interna da obra</t>
  </si>
  <si>
    <t xml:space="preserve">      Seguro de obra</t>
  </si>
  <si>
    <t xml:space="preserve">      Contrato de manutenção elevador social</t>
  </si>
  <si>
    <t xml:space="preserve">      Manual do Proprietario</t>
  </si>
  <si>
    <t xml:space="preserve">      Retirada de entulho</t>
  </si>
  <si>
    <t xml:space="preserve">      Roubos e indenizações</t>
  </si>
  <si>
    <t xml:space="preserve">      Alarme  de obra</t>
  </si>
  <si>
    <t xml:space="preserve">      Orçamento</t>
  </si>
  <si>
    <t xml:space="preserve">      Planejamento</t>
  </si>
  <si>
    <t xml:space="preserve">      Despesas com Vizinhança (0,4% despesas  diretas)</t>
  </si>
  <si>
    <t xml:space="preserve">      Xerox</t>
  </si>
  <si>
    <t xml:space="preserve">      Plotagem de projetos</t>
  </si>
  <si>
    <t xml:space="preserve">      Medicamentos</t>
  </si>
  <si>
    <t xml:space="preserve">      Combustivel</t>
  </si>
  <si>
    <t xml:space="preserve">      Taxa de administração (15%)</t>
  </si>
  <si>
    <t>jul/2022</t>
  </si>
  <si>
    <t>31/07]/2020</t>
  </si>
  <si>
    <t>ED. TREE</t>
  </si>
  <si>
    <t>OBRA: ED. TREE</t>
  </si>
  <si>
    <t>Atraso na execução dos tubulões</t>
  </si>
  <si>
    <t>O início da concretagem não iniciou no final de agosto/20, mas sim, no dia 09/09/20</t>
  </si>
  <si>
    <t>Execução dos blocos e cintas</t>
  </si>
  <si>
    <t>Estão sendo concretados em média 2,5 dias por tubulão. O serviço está sendo intensifica aos sábados. A meta será recuperada em outubro/20</t>
  </si>
  <si>
    <t>Marlon / Juan</t>
  </si>
  <si>
    <t>Em andamento</t>
  </si>
  <si>
    <t>A entrega do aço está prevista para o dia 20/10. A equipe vai tentar antecipar a entrega. A meta prevista será totalmente cumprida em novembro/20</t>
  </si>
  <si>
    <t>Pendente</t>
  </si>
  <si>
    <t>INCC DATA SETEMBRO/20</t>
  </si>
  <si>
    <t>+1</t>
  </si>
  <si>
    <t>+20</t>
  </si>
  <si>
    <t>Atraso de blocos e cintas</t>
  </si>
  <si>
    <t>Atraso provocado pela fundação de tubuloes</t>
  </si>
  <si>
    <t>1) retirada de terra para liberar frentes de escavação dos blocos 35, 40 a 47, 70, 73, 48, 74, 49, 50 (fundos) até final de novembro/20. Previsão para iniciar os blocos e cintas do corpo do prédio no início de dezembro/20</t>
  </si>
  <si>
    <t>Juan, Marlon, Wander</t>
  </si>
  <si>
    <t>Novembro e Dezembro/20</t>
  </si>
  <si>
    <t>2) Necessário aumentar a equipe de M.O para escavação manual URGENTE.</t>
  </si>
  <si>
    <t>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</si>
</sst>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  <numFmt numFmtId="204" formatCode="##,###,##0.00"/>
  </numFmts>
  <fonts count="14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sz val="15"/>
      <color rgb="FF010000"/>
      <name val="Arial"/>
      <family val="2"/>
    </font>
    <font>
      <sz val="16"/>
      <color rgb="FF010000"/>
      <name val="Arial"/>
      <family val="2"/>
    </font>
    <font>
      <b/>
      <sz val="16"/>
      <color rgb="FF01000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  <font>
      <sz val="12"/>
      <color rgb="FF010000"/>
      <name val="Arial"/>
      <family val="2"/>
    </font>
    <font>
      <b/>
      <sz val="12"/>
      <color rgb="FF01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9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/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10000"/>
      </left>
      <right/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rgb="FF010000"/>
      </bottom>
      <diagonal/>
    </border>
    <border>
      <left/>
      <right style="hair">
        <color rgb="FF010000"/>
      </right>
      <top style="hair">
        <color rgb="FF010000"/>
      </top>
      <bottom style="hair">
        <color rgb="FF010000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4" fillId="0" borderId="0" applyNumberFormat="0" applyFill="0" applyBorder="0" applyAlignment="0" applyProtection="0"/>
    <xf numFmtId="164" fontId="125" fillId="0" borderId="0" applyFont="0" applyFill="0" applyBorder="0" applyAlignment="0" applyProtection="0"/>
    <xf numFmtId="0" fontId="20" fillId="0" borderId="0"/>
  </cellStyleXfs>
  <cellXfs count="1310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69" xfId="0" applyFont="1" applyFill="1" applyBorder="1" applyAlignment="1" applyProtection="1">
      <alignment vertical="center"/>
      <protection locked="0"/>
    </xf>
    <xf numFmtId="168" fontId="79" fillId="0" borderId="71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3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4" fillId="11" borderId="2" xfId="9496" applyFont="1" applyFill="1" applyBorder="1" applyAlignment="1">
      <alignment horizontal="center" vertical="center" wrapText="1" shrinkToFit="1"/>
    </xf>
    <xf numFmtId="0" fontId="85" fillId="0" borderId="0" xfId="9496" applyFont="1" applyFill="1" applyBorder="1" applyAlignment="1">
      <alignment horizontal="right" vertical="center" wrapText="1"/>
    </xf>
    <xf numFmtId="0" fontId="86" fillId="0" borderId="0" xfId="9496" applyFont="1" applyBorder="1" applyAlignment="1">
      <alignment horizontal="right" vertical="center"/>
    </xf>
    <xf numFmtId="10" fontId="84" fillId="16" borderId="35" xfId="67" applyNumberFormat="1" applyFont="1" applyFill="1" applyBorder="1" applyAlignment="1">
      <alignment horizontal="center" vertical="center"/>
    </xf>
    <xf numFmtId="4" fontId="84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7" fillId="16" borderId="44" xfId="67" applyNumberFormat="1" applyFont="1" applyFill="1" applyBorder="1" applyAlignment="1">
      <alignment horizontal="center" vertical="center"/>
    </xf>
    <xf numFmtId="1" fontId="87" fillId="16" borderId="35" xfId="67" applyNumberFormat="1" applyFont="1" applyFill="1" applyBorder="1" applyAlignment="1">
      <alignment horizontal="center" vertical="center"/>
    </xf>
    <xf numFmtId="17" fontId="86" fillId="0" borderId="25" xfId="9496" applyNumberFormat="1" applyFont="1" applyBorder="1" applyAlignment="1">
      <alignment horizontal="center" vertical="center"/>
    </xf>
    <xf numFmtId="181" fontId="86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70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2" fontId="20" fillId="0" borderId="70" xfId="0" applyNumberFormat="1" applyFont="1" applyBorder="1" applyAlignment="1">
      <alignment vertical="center"/>
    </xf>
    <xf numFmtId="2" fontId="20" fillId="0" borderId="72" xfId="0" applyNumberFormat="1" applyFont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4" fontId="47" fillId="4" borderId="79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8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3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8" fillId="3" borderId="0" xfId="0" applyFont="1" applyFill="1" applyBorder="1" applyAlignment="1">
      <alignment horizontal="center" vertical="center"/>
    </xf>
    <xf numFmtId="168" fontId="88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92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6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8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6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92" fillId="0" borderId="0" xfId="0" applyFont="1" applyBorder="1" applyAlignment="1">
      <alignment vertical="center"/>
    </xf>
    <xf numFmtId="168" fontId="99" fillId="0" borderId="0" xfId="0" quotePrefix="1" applyFont="1" applyBorder="1" applyAlignment="1">
      <alignment horizontal="left" vertical="center"/>
    </xf>
    <xf numFmtId="168" fontId="99" fillId="0" borderId="0" xfId="0" applyFont="1" applyBorder="1" applyAlignment="1">
      <alignment vertical="center"/>
    </xf>
    <xf numFmtId="168" fontId="99" fillId="0" borderId="0" xfId="0" applyFont="1" applyBorder="1" applyAlignment="1">
      <alignment horizontal="left" vertical="center" indent="1"/>
    </xf>
    <xf numFmtId="4" fontId="47" fillId="0" borderId="95" xfId="9497" applyNumberFormat="1" applyFont="1" applyBorder="1" applyAlignment="1">
      <alignment horizontal="center" vertical="center" wrapText="1"/>
    </xf>
    <xf numFmtId="168" fontId="100" fillId="0" borderId="0" xfId="0" applyFont="1" applyBorder="1" applyAlignment="1">
      <alignment horizontal="center" vertical="center"/>
    </xf>
    <xf numFmtId="4" fontId="100" fillId="0" borderId="0" xfId="9497" applyNumberFormat="1" applyFont="1" applyBorder="1" applyAlignment="1">
      <alignment horizontal="center" vertical="center" wrapText="1"/>
    </xf>
    <xf numFmtId="4" fontId="100" fillId="0" borderId="0" xfId="9497" quotePrefix="1" applyNumberFormat="1" applyFont="1" applyBorder="1" applyAlignment="1">
      <alignment horizontal="center" vertical="center" wrapText="1"/>
    </xf>
    <xf numFmtId="168" fontId="92" fillId="0" borderId="0" xfId="0" applyFont="1" applyAlignment="1">
      <alignment vertical="center"/>
    </xf>
    <xf numFmtId="0" fontId="35" fillId="2" borderId="84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4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3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92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8" xfId="0" applyNumberFormat="1" applyFont="1" applyFill="1" applyBorder="1" applyAlignment="1">
      <alignment horizontal="center" vertical="center" shrinkToFit="1"/>
    </xf>
    <xf numFmtId="4" fontId="51" fillId="2" borderId="108" xfId="0" applyNumberFormat="1" applyFont="1" applyFill="1" applyBorder="1" applyAlignment="1">
      <alignment horizontal="center" vertical="center" wrapText="1"/>
    </xf>
    <xf numFmtId="0" fontId="102" fillId="29" borderId="14" xfId="0" applyNumberFormat="1" applyFont="1" applyFill="1" applyBorder="1" applyAlignment="1">
      <alignment horizontal="center" vertical="center"/>
    </xf>
    <xf numFmtId="0" fontId="89" fillId="29" borderId="99" xfId="0" quotePrefix="1" applyNumberFormat="1" applyFont="1" applyFill="1" applyBorder="1" applyAlignment="1">
      <alignment horizontal="left" vertical="center" wrapText="1"/>
    </xf>
    <xf numFmtId="4" fontId="51" fillId="29" borderId="103" xfId="0" applyNumberFormat="1" applyFont="1" applyFill="1" applyBorder="1" applyAlignment="1">
      <alignment horizontal="center" vertical="center" shrinkToFit="1"/>
    </xf>
    <xf numFmtId="196" fontId="99" fillId="0" borderId="0" xfId="0" applyNumberFormat="1" applyFont="1" applyBorder="1" applyAlignment="1">
      <alignment horizontal="right" vertical="center" wrapText="1"/>
    </xf>
    <xf numFmtId="197" fontId="99" fillId="0" borderId="0" xfId="9497" applyNumberFormat="1" applyFont="1" applyFill="1" applyBorder="1" applyAlignment="1">
      <alignment horizontal="right" shrinkToFit="1"/>
    </xf>
    <xf numFmtId="39" fontId="99" fillId="0" borderId="0" xfId="0" applyNumberFormat="1" applyFont="1" applyBorder="1" applyAlignment="1">
      <alignment horizontal="right" vertical="center" wrapText="1"/>
    </xf>
    <xf numFmtId="177" fontId="99" fillId="0" borderId="0" xfId="0" applyNumberFormat="1" applyFont="1" applyBorder="1" applyAlignment="1">
      <alignment horizontal="right" vertical="center" wrapText="1"/>
    </xf>
    <xf numFmtId="4" fontId="47" fillId="24" borderId="92" xfId="9497" applyNumberFormat="1" applyFont="1" applyFill="1" applyBorder="1" applyAlignment="1">
      <alignment horizontal="center"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10" fontId="51" fillId="0" borderId="117" xfId="0" applyNumberFormat="1" applyFont="1" applyBorder="1" applyAlignment="1">
      <alignment horizontal="center" vertical="center" shrinkToFit="1"/>
    </xf>
    <xf numFmtId="10" fontId="35" fillId="2" borderId="91" xfId="9497" applyNumberFormat="1" applyFont="1" applyFill="1" applyBorder="1" applyAlignment="1">
      <alignment horizontal="center" vertical="center" shrinkToFit="1"/>
    </xf>
    <xf numFmtId="10" fontId="35" fillId="2" borderId="116" xfId="9497" applyNumberFormat="1" applyFont="1" applyFill="1" applyBorder="1" applyAlignment="1">
      <alignment horizontal="center" vertical="center" shrinkToFit="1"/>
    </xf>
    <xf numFmtId="4" fontId="51" fillId="0" borderId="115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5" xfId="9497" applyNumberFormat="1" applyFont="1" applyFill="1" applyBorder="1" applyAlignment="1">
      <alignment horizontal="center" vertical="center" shrinkToFit="1"/>
    </xf>
    <xf numFmtId="10" fontId="51" fillId="29" borderId="118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91" fillId="29" borderId="16" xfId="0" applyFont="1" applyFill="1" applyBorder="1" applyAlignment="1">
      <alignment vertical="center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51" fillId="28" borderId="112" xfId="9497" applyNumberFormat="1" applyFont="1" applyFill="1" applyBorder="1" applyAlignment="1">
      <alignment horizontal="center" vertical="center" shrinkToFit="1"/>
    </xf>
    <xf numFmtId="4" fontId="35" fillId="28" borderId="101" xfId="9497" applyNumberFormat="1" applyFont="1" applyFill="1" applyBorder="1" applyAlignment="1">
      <alignment horizontal="center" vertical="center" shrinkToFit="1"/>
    </xf>
    <xf numFmtId="4" fontId="35" fillId="28" borderId="114" xfId="9497" applyNumberFormat="1" applyFont="1" applyFill="1" applyBorder="1" applyAlignment="1">
      <alignment horizontal="center" vertical="center" shrinkToFit="1"/>
    </xf>
    <xf numFmtId="4" fontId="51" fillId="20" borderId="107" xfId="0" applyNumberFormat="1" applyFont="1" applyFill="1" applyBorder="1" applyAlignment="1">
      <alignment horizontal="center" vertical="center" shrinkToFit="1"/>
    </xf>
    <xf numFmtId="4" fontId="35" fillId="20" borderId="81" xfId="0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105" xfId="9497" applyNumberFormat="1" applyFont="1" applyFill="1" applyBorder="1" applyAlignment="1">
      <alignment horizontal="center" vertical="center" shrinkToFit="1"/>
    </xf>
    <xf numFmtId="4" fontId="51" fillId="29" borderId="83" xfId="0" applyNumberFormat="1" applyFont="1" applyFill="1" applyBorder="1" applyAlignment="1">
      <alignment horizontal="center" vertical="center" shrinkToFit="1"/>
    </xf>
    <xf numFmtId="4" fontId="51" fillId="2" borderId="109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101" fillId="2" borderId="24" xfId="0" applyNumberFormat="1" applyFont="1" applyFill="1" applyBorder="1" applyAlignment="1">
      <alignment vertical="center" shrinkToFit="1"/>
    </xf>
    <xf numFmtId="4" fontId="51" fillId="2" borderId="110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3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9" xfId="9497" quotePrefix="1" applyNumberFormat="1" applyFont="1" applyBorder="1" applyAlignment="1">
      <alignment horizontal="center" vertical="center" wrapText="1"/>
    </xf>
    <xf numFmtId="4" fontId="47" fillId="0" borderId="120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1" xfId="9497" applyNumberFormat="1" applyFont="1" applyFill="1" applyBorder="1" applyAlignment="1">
      <alignment horizontal="center" vertical="center" shrinkToFit="1"/>
    </xf>
    <xf numFmtId="168" fontId="47" fillId="25" borderId="100" xfId="0" quotePrefix="1" applyFont="1" applyFill="1" applyBorder="1" applyAlignment="1">
      <alignment horizontal="center" vertical="center"/>
    </xf>
    <xf numFmtId="168" fontId="91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4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92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8" fillId="9" borderId="3" xfId="0" quotePrefix="1" applyFont="1" applyFill="1" applyBorder="1" applyAlignment="1">
      <alignment vertical="center"/>
    </xf>
    <xf numFmtId="37" fontId="84" fillId="21" borderId="19" xfId="9497" applyNumberFormat="1" applyFont="1" applyFill="1" applyBorder="1" applyAlignment="1">
      <alignment horizontal="center" vertical="center" wrapText="1"/>
    </xf>
    <xf numFmtId="37" fontId="84" fillId="21" borderId="86" xfId="9497" applyNumberFormat="1" applyFont="1" applyFill="1" applyBorder="1" applyAlignment="1">
      <alignment horizontal="center" vertical="center" wrapText="1"/>
    </xf>
    <xf numFmtId="37" fontId="84" fillId="21" borderId="84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6" xfId="9497" applyNumberFormat="1" applyFont="1" applyFill="1" applyBorder="1" applyAlignment="1">
      <alignment horizontal="center" vertical="center"/>
    </xf>
    <xf numFmtId="194" fontId="52" fillId="0" borderId="84" xfId="9497" applyNumberFormat="1" applyFont="1" applyFill="1" applyBorder="1" applyAlignment="1">
      <alignment horizontal="center" vertical="center"/>
    </xf>
    <xf numFmtId="10" fontId="52" fillId="23" borderId="90" xfId="9497" applyNumberFormat="1" applyFont="1" applyFill="1" applyBorder="1" applyAlignment="1">
      <alignment horizontal="center" vertical="center"/>
    </xf>
    <xf numFmtId="168" fontId="0" fillId="0" borderId="80" xfId="0" applyBorder="1" applyAlignment="1">
      <alignment vertical="center"/>
    </xf>
    <xf numFmtId="10" fontId="52" fillId="23" borderId="89" xfId="9497" applyNumberFormat="1" applyFont="1" applyFill="1" applyBorder="1" applyAlignment="1">
      <alignment horizontal="center" vertical="center"/>
    </xf>
    <xf numFmtId="171" fontId="99" fillId="21" borderId="19" xfId="9497" applyNumberFormat="1" applyFont="1" applyFill="1" applyBorder="1" applyAlignment="1">
      <alignment horizontal="center" vertical="center" wrapText="1"/>
    </xf>
    <xf numFmtId="171" fontId="99" fillId="21" borderId="86" xfId="9497" applyNumberFormat="1" applyFont="1" applyFill="1" applyBorder="1" applyAlignment="1">
      <alignment horizontal="center" vertical="center" wrapText="1"/>
    </xf>
    <xf numFmtId="171" fontId="99" fillId="21" borderId="24" xfId="9497" applyNumberFormat="1" applyFont="1" applyFill="1" applyBorder="1" applyAlignment="1">
      <alignment horizontal="center" vertical="center" wrapText="1"/>
    </xf>
    <xf numFmtId="0" fontId="52" fillId="0" borderId="87" xfId="0" quotePrefix="1" applyNumberFormat="1" applyFont="1" applyFill="1" applyBorder="1" applyAlignment="1">
      <alignment horizontal="left" vertical="center"/>
    </xf>
    <xf numFmtId="168" fontId="97" fillId="9" borderId="24" xfId="0" quotePrefix="1" applyFont="1" applyFill="1" applyBorder="1" applyAlignment="1">
      <alignment vertical="center"/>
    </xf>
    <xf numFmtId="168" fontId="97" fillId="9" borderId="1" xfId="0" quotePrefix="1" applyFont="1" applyFill="1" applyBorder="1" applyAlignment="1">
      <alignment vertical="center"/>
    </xf>
    <xf numFmtId="10" fontId="52" fillId="0" borderId="84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92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3" xfId="0" applyNumberFormat="1" applyFont="1" applyFill="1" applyBorder="1" applyAlignment="1">
      <alignment vertical="center" wrapText="1"/>
    </xf>
    <xf numFmtId="10" fontId="35" fillId="0" borderId="91" xfId="0" applyNumberFormat="1" applyFont="1" applyBorder="1" applyAlignment="1">
      <alignment horizontal="center" vertical="center" shrinkToFit="1"/>
    </xf>
    <xf numFmtId="0" fontId="91" fillId="29" borderId="123" xfId="0" quotePrefix="1" applyNumberFormat="1" applyFont="1" applyFill="1" applyBorder="1" applyAlignment="1">
      <alignment vertical="center"/>
    </xf>
    <xf numFmtId="0" fontId="91" fillId="29" borderId="124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7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7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10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101" fillId="2" borderId="2" xfId="0" applyNumberFormat="1" applyFont="1" applyFill="1" applyBorder="1" applyAlignment="1">
      <alignment vertical="center" shrinkToFit="1"/>
    </xf>
    <xf numFmtId="177" fontId="51" fillId="2" borderId="115" xfId="0" applyNumberFormat="1" applyFont="1" applyFill="1" applyBorder="1" applyAlignment="1">
      <alignment horizontal="center" vertical="center" shrinkToFit="1"/>
    </xf>
    <xf numFmtId="4" fontId="51" fillId="2" borderId="115" xfId="0" applyNumberFormat="1" applyFont="1" applyFill="1" applyBorder="1" applyAlignment="1">
      <alignment vertical="center" shrinkToFit="1"/>
    </xf>
    <xf numFmtId="4" fontId="39" fillId="30" borderId="80" xfId="9497" quotePrefix="1" applyNumberFormat="1" applyFont="1" applyFill="1" applyBorder="1" applyAlignment="1">
      <alignment horizontal="center" vertical="center" wrapText="1"/>
    </xf>
    <xf numFmtId="4" fontId="39" fillId="30" borderId="105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5" fillId="0" borderId="126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right" vertical="top" wrapText="1"/>
    </xf>
    <xf numFmtId="186" fontId="105" fillId="0" borderId="40" xfId="0" applyNumberFormat="1" applyFont="1" applyFill="1" applyBorder="1" applyAlignment="1" applyProtection="1">
      <alignment horizontal="right" vertical="top" wrapText="1"/>
    </xf>
    <xf numFmtId="0" fontId="106" fillId="0" borderId="126" xfId="0" applyNumberFormat="1" applyFont="1" applyFill="1" applyBorder="1" applyAlignment="1" applyProtection="1">
      <alignment horizontal="left" vertical="top" wrapText="1"/>
    </xf>
    <xf numFmtId="0" fontId="106" fillId="0" borderId="40" xfId="0" applyNumberFormat="1" applyFont="1" applyFill="1" applyBorder="1" applyAlignment="1" applyProtection="1">
      <alignment horizontal="left" vertical="top" wrapText="1"/>
    </xf>
    <xf numFmtId="177" fontId="106" fillId="0" borderId="40" xfId="0" applyNumberFormat="1" applyFont="1" applyFill="1" applyBorder="1" applyAlignment="1" applyProtection="1">
      <alignment horizontal="right" vertical="top" wrapText="1"/>
    </xf>
    <xf numFmtId="189" fontId="106" fillId="0" borderId="40" xfId="0" applyNumberFormat="1" applyFont="1" applyFill="1" applyBorder="1" applyAlignment="1" applyProtection="1">
      <alignment horizontal="right" vertical="top" wrapText="1"/>
    </xf>
    <xf numFmtId="184" fontId="106" fillId="0" borderId="40" xfId="0" applyNumberFormat="1" applyFont="1" applyFill="1" applyBorder="1" applyAlignment="1" applyProtection="1">
      <alignment horizontal="right" vertical="top" wrapText="1"/>
    </xf>
    <xf numFmtId="188" fontId="106" fillId="0" borderId="40" xfId="0" applyNumberFormat="1" applyFont="1" applyFill="1" applyBorder="1" applyAlignment="1" applyProtection="1">
      <alignment horizontal="right" vertical="top" wrapText="1"/>
    </xf>
    <xf numFmtId="182" fontId="106" fillId="0" borderId="40" xfId="0" applyNumberFormat="1" applyFont="1" applyFill="1" applyBorder="1" applyAlignment="1" applyProtection="1">
      <alignment horizontal="right" vertical="top" wrapText="1"/>
    </xf>
    <xf numFmtId="176" fontId="106" fillId="0" borderId="40" xfId="0" applyNumberFormat="1" applyFont="1" applyFill="1" applyBorder="1" applyAlignment="1" applyProtection="1">
      <alignment horizontal="right" vertical="top" wrapText="1"/>
    </xf>
    <xf numFmtId="4" fontId="106" fillId="0" borderId="40" xfId="0" applyNumberFormat="1" applyFont="1" applyFill="1" applyBorder="1" applyAlignment="1" applyProtection="1">
      <alignment horizontal="right" vertical="top" wrapText="1"/>
    </xf>
    <xf numFmtId="190" fontId="106" fillId="0" borderId="40" xfId="0" applyNumberFormat="1" applyFont="1" applyFill="1" applyBorder="1" applyAlignment="1" applyProtection="1">
      <alignment horizontal="right" vertical="top" wrapText="1"/>
    </xf>
    <xf numFmtId="186" fontId="106" fillId="0" borderId="40" xfId="0" applyNumberFormat="1" applyFont="1" applyFill="1" applyBorder="1" applyAlignment="1" applyProtection="1">
      <alignment horizontal="right" vertical="top" wrapText="1"/>
    </xf>
    <xf numFmtId="182" fontId="105" fillId="0" borderId="40" xfId="0" applyNumberFormat="1" applyFont="1" applyFill="1" applyBorder="1" applyAlignment="1" applyProtection="1">
      <alignment horizontal="right" vertical="top" wrapText="1"/>
    </xf>
    <xf numFmtId="191" fontId="106" fillId="0" borderId="40" xfId="0" applyNumberFormat="1" applyFont="1" applyFill="1" applyBorder="1" applyAlignment="1" applyProtection="1">
      <alignment horizontal="right" vertical="top" wrapText="1"/>
    </xf>
    <xf numFmtId="4" fontId="105" fillId="0" borderId="40" xfId="0" applyNumberFormat="1" applyFont="1" applyFill="1" applyBorder="1" applyAlignment="1" applyProtection="1">
      <alignment horizontal="right" vertical="top" wrapText="1"/>
    </xf>
    <xf numFmtId="184" fontId="105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3" fillId="0" borderId="0" xfId="0" applyNumberFormat="1" applyFont="1" applyAlignment="1">
      <alignment vertical="center"/>
    </xf>
    <xf numFmtId="4" fontId="92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1" xfId="9497" applyNumberFormat="1" applyFont="1" applyFill="1" applyBorder="1" applyAlignment="1">
      <alignment horizontal="center" vertical="center" shrinkToFit="1"/>
    </xf>
    <xf numFmtId="176" fontId="51" fillId="29" borderId="104" xfId="9497" applyNumberFormat="1" applyFont="1" applyFill="1" applyBorder="1" applyAlignment="1">
      <alignment horizontal="center" vertical="center" shrinkToFit="1"/>
    </xf>
    <xf numFmtId="176" fontId="35" fillId="28" borderId="101" xfId="9497" applyNumberFormat="1" applyFont="1" applyFill="1" applyBorder="1" applyAlignment="1">
      <alignment horizontal="center" vertical="center" shrinkToFit="1"/>
    </xf>
    <xf numFmtId="176" fontId="35" fillId="0" borderId="101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7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92" fillId="0" borderId="0" xfId="0" applyNumberFormat="1" applyFont="1" applyFill="1" applyBorder="1" applyAlignment="1" applyProtection="1">
      <alignment horizontal="left" vertical="top" wrapText="1"/>
    </xf>
    <xf numFmtId="182" fontId="92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11" fillId="0" borderId="10" xfId="2" applyFont="1" applyBorder="1" applyAlignment="1">
      <alignment vertical="center" wrapText="1"/>
    </xf>
    <xf numFmtId="1" fontId="110" fillId="0" borderId="142" xfId="2" quotePrefix="1" applyNumberFormat="1" applyFont="1" applyBorder="1" applyAlignment="1">
      <alignment horizontal="center" vertical="center" wrapText="1"/>
    </xf>
    <xf numFmtId="168" fontId="112" fillId="0" borderId="10" xfId="2" applyNumberFormat="1" applyFont="1" applyFill="1" applyBorder="1" applyAlignment="1">
      <alignment horizontal="center" vertical="center" wrapText="1"/>
    </xf>
    <xf numFmtId="2" fontId="113" fillId="0" borderId="10" xfId="2" applyNumberFormat="1" applyFont="1" applyFill="1" applyBorder="1" applyAlignment="1">
      <alignment horizontal="center" vertical="center" wrapText="1"/>
    </xf>
    <xf numFmtId="168" fontId="111" fillId="0" borderId="143" xfId="2" applyFont="1" applyFill="1" applyBorder="1" applyAlignment="1">
      <alignment vertical="center" wrapText="1"/>
    </xf>
    <xf numFmtId="171" fontId="110" fillId="33" borderId="10" xfId="2" applyNumberFormat="1" applyFont="1" applyFill="1" applyBorder="1" applyAlignment="1">
      <alignment horizontal="center" vertical="center" wrapText="1"/>
    </xf>
    <xf numFmtId="1" fontId="110" fillId="34" borderId="142" xfId="2" quotePrefix="1" applyNumberFormat="1" applyFont="1" applyFill="1" applyBorder="1" applyAlignment="1">
      <alignment horizontal="center" vertical="center" wrapText="1"/>
    </xf>
    <xf numFmtId="168" fontId="111" fillId="34" borderId="10" xfId="2" applyFont="1" applyFill="1" applyBorder="1" applyAlignment="1">
      <alignment vertical="center" wrapText="1"/>
    </xf>
    <xf numFmtId="168" fontId="112" fillId="34" borderId="10" xfId="2" applyNumberFormat="1" applyFont="1" applyFill="1" applyBorder="1" applyAlignment="1">
      <alignment horizontal="center" vertical="center" wrapText="1"/>
    </xf>
    <xf numFmtId="2" fontId="113" fillId="34" borderId="10" xfId="2" applyNumberFormat="1" applyFont="1" applyFill="1" applyBorder="1" applyAlignment="1">
      <alignment horizontal="center" vertical="center" wrapText="1"/>
    </xf>
    <xf numFmtId="168" fontId="111" fillId="34" borderId="143" xfId="2" applyFont="1" applyFill="1" applyBorder="1" applyAlignment="1">
      <alignment vertical="center" wrapText="1"/>
    </xf>
    <xf numFmtId="1" fontId="110" fillId="34" borderId="144" xfId="2" quotePrefix="1" applyNumberFormat="1" applyFont="1" applyFill="1" applyBorder="1" applyAlignment="1">
      <alignment horizontal="center" vertical="center" wrapText="1"/>
    </xf>
    <xf numFmtId="168" fontId="111" fillId="34" borderId="145" xfId="2" applyFont="1" applyFill="1" applyBorder="1" applyAlignment="1">
      <alignment vertical="center" wrapText="1"/>
    </xf>
    <xf numFmtId="168" fontId="107" fillId="32" borderId="135" xfId="2" applyFont="1" applyFill="1" applyBorder="1" applyAlignment="1"/>
    <xf numFmtId="168" fontId="107" fillId="32" borderId="136" xfId="2" applyFont="1" applyFill="1" applyBorder="1" applyAlignment="1"/>
    <xf numFmtId="168" fontId="107" fillId="32" borderId="137" xfId="2" applyFont="1" applyFill="1" applyBorder="1" applyAlignment="1"/>
    <xf numFmtId="168" fontId="108" fillId="32" borderId="138" xfId="2" applyFont="1" applyFill="1" applyBorder="1" applyAlignment="1">
      <alignment horizontal="right" vertical="center" wrapText="1"/>
    </xf>
    <xf numFmtId="171" fontId="108" fillId="32" borderId="131" xfId="2" applyNumberFormat="1" applyFont="1" applyFill="1" applyBorder="1" applyAlignment="1">
      <alignment horizontal="left" vertical="center"/>
    </xf>
    <xf numFmtId="171" fontId="108" fillId="32" borderId="131" xfId="2" applyNumberFormat="1" applyFont="1" applyFill="1" applyBorder="1" applyAlignment="1">
      <alignment vertical="center"/>
    </xf>
    <xf numFmtId="168" fontId="107" fillId="32" borderId="139" xfId="2" applyFont="1" applyFill="1" applyBorder="1" applyAlignment="1">
      <alignment vertical="center"/>
    </xf>
    <xf numFmtId="168" fontId="109" fillId="33" borderId="140" xfId="2" quotePrefix="1" applyFont="1" applyFill="1" applyBorder="1" applyAlignment="1">
      <alignment vertical="center"/>
    </xf>
    <xf numFmtId="168" fontId="109" fillId="33" borderId="133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92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6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4" fillId="0" borderId="40" xfId="0" applyNumberFormat="1" applyFont="1" applyFill="1" applyBorder="1" applyAlignment="1" applyProtection="1">
      <alignment horizontal="left" vertical="top" wrapText="1"/>
    </xf>
    <xf numFmtId="168" fontId="120" fillId="35" borderId="20" xfId="2" applyFont="1" applyFill="1" applyBorder="1" applyAlignment="1">
      <alignment vertical="center"/>
    </xf>
    <xf numFmtId="168" fontId="120" fillId="35" borderId="21" xfId="2" applyFont="1" applyFill="1" applyBorder="1" applyAlignment="1">
      <alignment vertical="center"/>
    </xf>
    <xf numFmtId="168" fontId="121" fillId="35" borderId="23" xfId="2" applyFont="1" applyFill="1" applyBorder="1" applyAlignment="1">
      <alignment vertical="center"/>
    </xf>
    <xf numFmtId="168" fontId="121" fillId="35" borderId="0" xfId="2" applyFont="1" applyFill="1" applyBorder="1" applyAlignment="1">
      <alignment vertical="center"/>
    </xf>
    <xf numFmtId="168" fontId="108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22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22" fillId="35" borderId="21" xfId="2" applyFont="1" applyFill="1" applyBorder="1" applyAlignment="1">
      <alignment horizontal="left" vertical="center"/>
    </xf>
    <xf numFmtId="168" fontId="122" fillId="35" borderId="21" xfId="2" applyFont="1" applyFill="1" applyBorder="1" applyAlignment="1">
      <alignment horizontal="right" vertical="center"/>
    </xf>
    <xf numFmtId="168" fontId="122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4" fillId="0" borderId="0" xfId="9496" applyFont="1" applyFill="1" applyBorder="1" applyAlignment="1">
      <alignment vertical="center" wrapText="1" shrinkToFit="1"/>
    </xf>
    <xf numFmtId="0" fontId="84" fillId="0" borderId="0" xfId="9496" applyFont="1" applyFill="1" applyBorder="1" applyAlignment="1">
      <alignment horizontal="center" vertical="center" wrapText="1" shrinkToFit="1"/>
    </xf>
    <xf numFmtId="177" fontId="116" fillId="36" borderId="0" xfId="9496" applyNumberFormat="1" applyFont="1" applyFill="1" applyBorder="1" applyAlignment="1">
      <alignment horizontal="left" vertical="center"/>
    </xf>
    <xf numFmtId="0" fontId="115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7" fillId="37" borderId="0" xfId="9496" applyNumberFormat="1" applyFont="1" applyFill="1" applyBorder="1" applyAlignment="1">
      <alignment horizontal="left" vertical="center"/>
    </xf>
    <xf numFmtId="0" fontId="115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19" fillId="38" borderId="0" xfId="9496" applyNumberFormat="1" applyFont="1" applyFill="1" applyBorder="1" applyAlignment="1">
      <alignment horizontal="left" vertical="center"/>
    </xf>
    <xf numFmtId="0" fontId="115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8" fillId="39" borderId="0" xfId="9496" applyNumberFormat="1" applyFont="1" applyFill="1" applyBorder="1" applyAlignment="1">
      <alignment horizontal="left" vertical="center"/>
    </xf>
    <xf numFmtId="0" fontId="115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3" fillId="0" borderId="40" xfId="0" applyNumberFormat="1" applyFont="1" applyFill="1" applyBorder="1" applyAlignment="1" applyProtection="1">
      <alignment horizontal="left" vertical="top" wrapText="1"/>
    </xf>
    <xf numFmtId="0" fontId="123" fillId="0" borderId="40" xfId="0" applyNumberFormat="1" applyFont="1" applyFill="1" applyBorder="1" applyAlignment="1" applyProtection="1">
      <alignment horizontal="right" vertical="top" wrapText="1"/>
    </xf>
    <xf numFmtId="186" fontId="123" fillId="0" borderId="40" xfId="0" applyNumberFormat="1" applyFont="1" applyFill="1" applyBorder="1" applyAlignment="1" applyProtection="1">
      <alignment horizontal="right" vertical="top" wrapText="1"/>
    </xf>
    <xf numFmtId="0" fontId="124" fillId="0" borderId="40" xfId="0" applyNumberFormat="1" applyFont="1" applyFill="1" applyBorder="1" applyAlignment="1" applyProtection="1">
      <alignment horizontal="left" vertical="top" wrapText="1"/>
    </xf>
    <xf numFmtId="177" fontId="124" fillId="0" borderId="40" xfId="0" applyNumberFormat="1" applyFont="1" applyFill="1" applyBorder="1" applyAlignment="1" applyProtection="1">
      <alignment horizontal="right" vertical="top" wrapText="1"/>
    </xf>
    <xf numFmtId="189" fontId="124" fillId="0" borderId="40" xfId="0" applyNumberFormat="1" applyFont="1" applyFill="1" applyBorder="1" applyAlignment="1" applyProtection="1">
      <alignment horizontal="right" vertical="top" wrapText="1"/>
    </xf>
    <xf numFmtId="184" fontId="124" fillId="0" borderId="40" xfId="0" applyNumberFormat="1" applyFont="1" applyFill="1" applyBorder="1" applyAlignment="1" applyProtection="1">
      <alignment horizontal="right" vertical="top" wrapText="1"/>
    </xf>
    <xf numFmtId="188" fontId="124" fillId="0" borderId="40" xfId="0" applyNumberFormat="1" applyFont="1" applyFill="1" applyBorder="1" applyAlignment="1" applyProtection="1">
      <alignment horizontal="right" vertical="top" wrapText="1"/>
    </xf>
    <xf numFmtId="182" fontId="124" fillId="0" borderId="40" xfId="0" applyNumberFormat="1" applyFont="1" applyFill="1" applyBorder="1" applyAlignment="1" applyProtection="1">
      <alignment horizontal="right" vertical="top" wrapText="1"/>
    </xf>
    <xf numFmtId="176" fontId="124" fillId="0" borderId="40" xfId="0" applyNumberFormat="1" applyFont="1" applyFill="1" applyBorder="1" applyAlignment="1" applyProtection="1">
      <alignment horizontal="right" vertical="top" wrapText="1"/>
    </xf>
    <xf numFmtId="4" fontId="124" fillId="0" borderId="40" xfId="0" applyNumberFormat="1" applyFont="1" applyFill="1" applyBorder="1" applyAlignment="1" applyProtection="1">
      <alignment horizontal="right" vertical="top" wrapText="1"/>
    </xf>
    <xf numFmtId="190" fontId="124" fillId="0" borderId="40" xfId="0" applyNumberFormat="1" applyFont="1" applyFill="1" applyBorder="1" applyAlignment="1" applyProtection="1">
      <alignment horizontal="right" vertical="top" wrapText="1"/>
    </xf>
    <xf numFmtId="182" fontId="123" fillId="0" borderId="40" xfId="0" applyNumberFormat="1" applyFont="1" applyFill="1" applyBorder="1" applyAlignment="1" applyProtection="1">
      <alignment horizontal="right" vertical="top" wrapText="1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157" xfId="67" applyNumberFormat="1" applyFont="1" applyFill="1" applyBorder="1" applyAlignment="1">
      <alignment horizontal="center" vertical="center"/>
    </xf>
    <xf numFmtId="1" fontId="40" fillId="16" borderId="158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8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160" xfId="67" applyNumberFormat="1" applyFont="1" applyFill="1" applyBorder="1" applyAlignment="1">
      <alignment horizontal="center" vertical="center"/>
    </xf>
    <xf numFmtId="1" fontId="40" fillId="16" borderId="161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2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35" fillId="0" borderId="24" xfId="0" applyNumberFormat="1" applyFont="1" applyFill="1" applyBorder="1" applyAlignment="1">
      <alignment vertical="center" shrinkToFit="1"/>
    </xf>
    <xf numFmtId="168" fontId="90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3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4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22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4" xfId="9496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10" fontId="62" fillId="40" borderId="175" xfId="9496" applyNumberFormat="1" applyFont="1" applyFill="1" applyBorder="1" applyAlignment="1">
      <alignment horizontal="center" vertical="center" wrapText="1"/>
    </xf>
    <xf numFmtId="0" fontId="35" fillId="0" borderId="176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9" xfId="0" quotePrefix="1" applyNumberFormat="1" applyFont="1" applyFill="1" applyBorder="1" applyAlignment="1">
      <alignment horizontal="center" vertical="center"/>
    </xf>
    <xf numFmtId="0" fontId="35" fillId="40" borderId="176" xfId="0" quotePrefix="1" applyNumberFormat="1" applyFont="1" applyFill="1" applyBorder="1" applyAlignment="1">
      <alignment horizontal="center" vertical="center"/>
    </xf>
    <xf numFmtId="4" fontId="129" fillId="33" borderId="115" xfId="0" applyNumberFormat="1" applyFont="1" applyFill="1" applyBorder="1" applyAlignment="1">
      <alignment horizontal="center" vertical="center" shrinkToFit="1"/>
    </xf>
    <xf numFmtId="4" fontId="129" fillId="33" borderId="182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30" fillId="3" borderId="0" xfId="2" applyNumberFormat="1" applyFont="1" applyFill="1" applyBorder="1" applyAlignment="1">
      <alignment horizontal="center" vertical="center" wrapText="1"/>
    </xf>
    <xf numFmtId="171" fontId="130" fillId="3" borderId="80" xfId="2" applyNumberFormat="1" applyFont="1" applyFill="1" applyBorder="1" applyAlignment="1">
      <alignment horizontal="center" vertical="center" wrapText="1"/>
    </xf>
    <xf numFmtId="10" fontId="131" fillId="42" borderId="0" xfId="86" quotePrefix="1" applyNumberFormat="1" applyFont="1" applyFill="1" applyBorder="1" applyAlignment="1">
      <alignment horizontal="center" vertical="center"/>
    </xf>
    <xf numFmtId="10" fontId="131" fillId="42" borderId="80" xfId="86" quotePrefix="1" applyNumberFormat="1" applyFont="1" applyFill="1" applyBorder="1" applyAlignment="1">
      <alignment horizontal="center" vertical="center"/>
    </xf>
    <xf numFmtId="10" fontId="131" fillId="0" borderId="0" xfId="86" quotePrefix="1" applyNumberFormat="1" applyFont="1" applyFill="1" applyBorder="1" applyAlignment="1">
      <alignment horizontal="center" vertical="center"/>
    </xf>
    <xf numFmtId="10" fontId="131" fillId="0" borderId="80" xfId="86" quotePrefix="1" applyNumberFormat="1" applyFont="1" applyFill="1" applyBorder="1" applyAlignment="1">
      <alignment horizontal="center" vertical="center"/>
    </xf>
    <xf numFmtId="164" fontId="132" fillId="42" borderId="0" xfId="9501" applyFont="1" applyFill="1" applyBorder="1" applyAlignment="1">
      <alignment horizontal="center" vertical="center"/>
    </xf>
    <xf numFmtId="164" fontId="132" fillId="42" borderId="80" xfId="9501" applyFont="1" applyFill="1" applyBorder="1" applyAlignment="1">
      <alignment vertical="center"/>
    </xf>
    <xf numFmtId="164" fontId="132" fillId="0" borderId="0" xfId="9501" applyFont="1" applyFill="1" applyBorder="1" applyAlignment="1">
      <alignment horizontal="center" vertical="center"/>
    </xf>
    <xf numFmtId="164" fontId="132" fillId="0" borderId="80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7" xfId="0" applyNumberFormat="1" applyFont="1" applyBorder="1" applyAlignment="1">
      <alignment horizontal="center" vertical="center" shrinkToFit="1"/>
    </xf>
    <xf numFmtId="4" fontId="20" fillId="0" borderId="177" xfId="0" applyNumberFormat="1" applyFont="1" applyBorder="1" applyAlignment="1">
      <alignment horizontal="left" vertical="center"/>
    </xf>
    <xf numFmtId="2" fontId="20" fillId="0" borderId="177" xfId="9496" applyNumberFormat="1" applyFont="1" applyFill="1" applyBorder="1" applyAlignment="1">
      <alignment horizontal="center" vertical="center"/>
    </xf>
    <xf numFmtId="4" fontId="20" fillId="0" borderId="177" xfId="9496" applyNumberFormat="1" applyFont="1" applyFill="1" applyBorder="1" applyAlignment="1">
      <alignment horizontal="left" vertical="center"/>
    </xf>
    <xf numFmtId="4" fontId="20" fillId="0" borderId="178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7" xfId="0" applyNumberFormat="1" applyFont="1" applyFill="1" applyBorder="1" applyAlignment="1">
      <alignment horizontal="center" vertical="center" shrinkToFit="1"/>
    </xf>
    <xf numFmtId="4" fontId="20" fillId="40" borderId="177" xfId="0" applyNumberFormat="1" applyFont="1" applyFill="1" applyBorder="1" applyAlignment="1">
      <alignment vertical="center"/>
    </xf>
    <xf numFmtId="2" fontId="20" fillId="40" borderId="177" xfId="9496" applyNumberFormat="1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0" fontId="20" fillId="40" borderId="177" xfId="9496" applyFont="1" applyFill="1" applyBorder="1" applyAlignment="1">
      <alignment horizontal="center" vertical="center"/>
    </xf>
    <xf numFmtId="4" fontId="20" fillId="40" borderId="178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80" xfId="0" applyNumberFormat="1" applyFont="1" applyBorder="1" applyAlignment="1">
      <alignment horizontal="center" vertical="center" shrinkToFit="1"/>
    </xf>
    <xf numFmtId="4" fontId="20" fillId="0" borderId="180" xfId="0" applyNumberFormat="1" applyFont="1" applyBorder="1" applyAlignment="1">
      <alignment vertical="center"/>
    </xf>
    <xf numFmtId="2" fontId="20" fillId="0" borderId="180" xfId="9496" applyNumberFormat="1" applyFont="1" applyFill="1" applyBorder="1" applyAlignment="1">
      <alignment horizontal="center" vertical="center"/>
    </xf>
    <xf numFmtId="4" fontId="20" fillId="0" borderId="180" xfId="9496" applyNumberFormat="1" applyFont="1" applyFill="1" applyBorder="1" applyAlignment="1">
      <alignment horizontal="center" vertical="center"/>
    </xf>
    <xf numFmtId="0" fontId="20" fillId="0" borderId="180" xfId="9496" applyFont="1" applyFill="1" applyBorder="1" applyAlignment="1">
      <alignment horizontal="center" vertical="center"/>
    </xf>
    <xf numFmtId="4" fontId="20" fillId="0" borderId="175" xfId="9496" applyNumberFormat="1" applyFont="1" applyFill="1" applyBorder="1" applyAlignment="1">
      <alignment horizontal="center" vertical="center"/>
    </xf>
    <xf numFmtId="0" fontId="35" fillId="40" borderId="179" xfId="0" quotePrefix="1" applyNumberFormat="1" applyFont="1" applyFill="1" applyBorder="1" applyAlignment="1">
      <alignment horizontal="center" vertical="center"/>
    </xf>
    <xf numFmtId="10" fontId="20" fillId="40" borderId="180" xfId="0" applyNumberFormat="1" applyFont="1" applyFill="1" applyBorder="1" applyAlignment="1">
      <alignment horizontal="center" vertical="center" shrinkToFit="1"/>
    </xf>
    <xf numFmtId="4" fontId="20" fillId="40" borderId="180" xfId="0" applyNumberFormat="1" applyFont="1" applyFill="1" applyBorder="1" applyAlignment="1">
      <alignment horizontal="left" vertical="center"/>
    </xf>
    <xf numFmtId="2" fontId="20" fillId="40" borderId="180" xfId="9496" applyNumberFormat="1" applyFont="1" applyFill="1" applyBorder="1" applyAlignment="1">
      <alignment horizontal="center" vertical="center"/>
    </xf>
    <xf numFmtId="4" fontId="20" fillId="40" borderId="180" xfId="9496" applyNumberFormat="1" applyFont="1" applyFill="1" applyBorder="1" applyAlignment="1">
      <alignment horizontal="left" vertical="center"/>
    </xf>
    <xf numFmtId="0" fontId="20" fillId="40" borderId="180" xfId="9496" applyFont="1" applyFill="1" applyBorder="1" applyAlignment="1">
      <alignment horizontal="left" vertical="center"/>
    </xf>
    <xf numFmtId="4" fontId="20" fillId="40" borderId="175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22" fillId="35" borderId="25" xfId="2" applyNumberFormat="1" applyFont="1" applyFill="1" applyBorder="1" applyAlignment="1">
      <alignment horizontal="center" vertical="center"/>
    </xf>
    <xf numFmtId="168" fontId="99" fillId="0" borderId="0" xfId="0" applyFont="1" applyBorder="1" applyAlignment="1">
      <alignment horizontal="left" vertical="center"/>
    </xf>
    <xf numFmtId="168" fontId="99" fillId="0" borderId="0" xfId="0" quotePrefix="1" applyFont="1" applyBorder="1" applyAlignment="1">
      <alignment vertical="center"/>
    </xf>
    <xf numFmtId="168" fontId="99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92" fillId="45" borderId="0" xfId="0" applyFont="1" applyFill="1" applyBorder="1" applyAlignment="1">
      <alignment vertical="center"/>
    </xf>
    <xf numFmtId="168" fontId="99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6" fillId="33" borderId="0" xfId="0" applyNumberFormat="1" applyFont="1" applyFill="1" applyBorder="1" applyAlignment="1">
      <alignment horizontal="center" vertical="center"/>
    </xf>
    <xf numFmtId="168" fontId="92" fillId="33" borderId="0" xfId="0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201" fontId="99" fillId="0" borderId="0" xfId="0" applyNumberFormat="1" applyFont="1" applyBorder="1" applyAlignment="1">
      <alignment horizontal="right" vertical="center" wrapText="1"/>
    </xf>
    <xf numFmtId="198" fontId="99" fillId="45" borderId="0" xfId="0" applyNumberFormat="1" applyFont="1" applyFill="1" applyBorder="1" applyAlignment="1">
      <alignment vertical="center" shrinkToFit="1"/>
    </xf>
    <xf numFmtId="198" fontId="99" fillId="33" borderId="0" xfId="0" applyNumberFormat="1" applyFont="1" applyFill="1" applyBorder="1" applyAlignment="1">
      <alignment vertical="center" shrinkToFit="1"/>
    </xf>
    <xf numFmtId="168" fontId="99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7" fillId="25" borderId="92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91" fillId="46" borderId="123" xfId="0" quotePrefix="1" applyNumberFormat="1" applyFont="1" applyFill="1" applyBorder="1" applyAlignment="1">
      <alignment vertical="center"/>
    </xf>
    <xf numFmtId="0" fontId="91" fillId="46" borderId="124" xfId="0" applyNumberFormat="1" applyFont="1" applyFill="1" applyBorder="1" applyAlignment="1">
      <alignment vertical="center"/>
    </xf>
    <xf numFmtId="0" fontId="137" fillId="46" borderId="124" xfId="0" applyNumberFormat="1" applyFont="1" applyFill="1" applyBorder="1" applyAlignment="1">
      <alignment vertical="center"/>
    </xf>
    <xf numFmtId="0" fontId="91" fillId="46" borderId="169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3" xfId="9497" applyNumberFormat="1" applyFont="1" applyFill="1" applyBorder="1" applyAlignment="1">
      <alignment horizontal="center" vertical="center" shrinkToFit="1"/>
    </xf>
    <xf numFmtId="4" fontId="35" fillId="28" borderId="184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5" xfId="9497" applyNumberFormat="1" applyFont="1" applyFill="1" applyBorder="1" applyAlignment="1">
      <alignment horizontal="center" vertical="center" shrinkToFit="1"/>
    </xf>
    <xf numFmtId="4" fontId="51" fillId="28" borderId="182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102" fillId="29" borderId="170" xfId="0" applyNumberFormat="1" applyFont="1" applyFill="1" applyBorder="1" applyAlignment="1">
      <alignment horizontal="center" vertical="center"/>
    </xf>
    <xf numFmtId="0" fontId="89" fillId="29" borderId="186" xfId="0" quotePrefix="1" applyNumberFormat="1" applyFont="1" applyFill="1" applyBorder="1" applyAlignment="1">
      <alignment horizontal="left" vertical="center" wrapText="1"/>
    </xf>
    <xf numFmtId="4" fontId="51" fillId="29" borderId="187" xfId="0" applyNumberFormat="1" applyFont="1" applyFill="1" applyBorder="1" applyAlignment="1">
      <alignment horizontal="center" vertical="center" shrinkToFit="1"/>
    </xf>
    <xf numFmtId="10" fontId="51" fillId="29" borderId="116" xfId="9497" applyNumberFormat="1" applyFont="1" applyFill="1" applyBorder="1" applyAlignment="1">
      <alignment horizontal="center" vertical="center" shrinkToFit="1"/>
    </xf>
    <xf numFmtId="4" fontId="51" fillId="29" borderId="173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9497" applyNumberFormat="1" applyFont="1" applyFill="1" applyBorder="1" applyAlignment="1">
      <alignment horizontal="center" vertical="center" shrinkToFit="1"/>
    </xf>
    <xf numFmtId="4" fontId="51" fillId="29" borderId="190" xfId="0" applyNumberFormat="1" applyFont="1" applyFill="1" applyBorder="1" applyAlignment="1">
      <alignment horizontal="center" vertical="center" shrinkToFit="1"/>
    </xf>
    <xf numFmtId="176" fontId="51" fillId="29" borderId="188" xfId="9497" applyNumberFormat="1" applyFont="1" applyFill="1" applyBorder="1" applyAlignment="1">
      <alignment horizontal="center" vertical="center" shrinkToFit="1"/>
    </xf>
    <xf numFmtId="4" fontId="51" fillId="29" borderId="191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/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71" fontId="99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4" fillId="11" borderId="30" xfId="9496" applyFont="1" applyFill="1" applyBorder="1" applyAlignment="1">
      <alignment horizontal="center" vertical="center" wrapText="1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70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2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157" xfId="67" applyNumberFormat="1" applyFont="1" applyFill="1" applyBorder="1" applyAlignment="1">
      <alignment horizontal="center" vertical="center"/>
    </xf>
    <xf numFmtId="1" fontId="20" fillId="0" borderId="158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8" xfId="67" applyNumberFormat="1" applyFont="1" applyFill="1" applyBorder="1" applyAlignment="1">
      <alignment horizontal="center" vertical="center"/>
    </xf>
    <xf numFmtId="166" fontId="20" fillId="0" borderId="159" xfId="67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9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38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38" fillId="0" borderId="25" xfId="8" applyFont="1" applyBorder="1" applyAlignment="1" applyProtection="1">
      <alignment horizontal="center" vertical="center" wrapText="1"/>
    </xf>
    <xf numFmtId="168" fontId="138" fillId="0" borderId="156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92" fillId="0" borderId="212" xfId="9502" applyFont="1" applyFill="1" applyBorder="1" applyAlignment="1" applyProtection="1">
      <alignment horizontal="left" vertical="center"/>
    </xf>
    <xf numFmtId="0" fontId="92" fillId="0" borderId="213" xfId="9502" applyFont="1" applyFill="1" applyBorder="1" applyAlignment="1" applyProtection="1">
      <alignment horizontal="left" vertical="center"/>
    </xf>
    <xf numFmtId="14" fontId="92" fillId="0" borderId="213" xfId="9502" applyNumberFormat="1" applyFont="1" applyFill="1" applyBorder="1" applyAlignment="1" applyProtection="1">
      <alignment horizontal="center" vertical="center"/>
    </xf>
    <xf numFmtId="0" fontId="92" fillId="0" borderId="31" xfId="9502" applyFont="1" applyFill="1" applyBorder="1" applyAlignment="1" applyProtection="1">
      <alignment horizontal="center" vertical="center"/>
    </xf>
    <xf numFmtId="0" fontId="92" fillId="0" borderId="211" xfId="9502" applyFont="1" applyFill="1" applyBorder="1" applyAlignment="1" applyProtection="1">
      <alignment horizontal="left" vertical="center"/>
    </xf>
    <xf numFmtId="167" fontId="52" fillId="0" borderId="214" xfId="9502" quotePrefix="1" applyNumberFormat="1" applyFont="1" applyFill="1" applyBorder="1" applyAlignment="1" applyProtection="1">
      <alignment horizontal="center" vertical="center" wrapText="1"/>
    </xf>
    <xf numFmtId="0" fontId="92" fillId="0" borderId="214" xfId="9502" applyFont="1" applyFill="1" applyBorder="1" applyAlignment="1" applyProtection="1">
      <alignment horizontal="left" vertical="center"/>
    </xf>
    <xf numFmtId="0" fontId="92" fillId="0" borderId="215" xfId="9502" applyFont="1" applyFill="1" applyBorder="1" applyAlignment="1" applyProtection="1">
      <alignment horizontal="left" vertical="center"/>
    </xf>
    <xf numFmtId="0" fontId="92" fillId="0" borderId="202" xfId="9502" applyFont="1" applyFill="1" applyBorder="1" applyAlignment="1" applyProtection="1">
      <alignment horizontal="left" vertical="center"/>
    </xf>
    <xf numFmtId="14" fontId="92" fillId="0" borderId="202" xfId="9502" applyNumberFormat="1" applyFont="1" applyFill="1" applyBorder="1" applyAlignment="1" applyProtection="1">
      <alignment horizontal="center" vertical="center"/>
    </xf>
    <xf numFmtId="0" fontId="92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28" fillId="0" borderId="0" xfId="9502" applyFont="1" applyProtection="1">
      <protection locked="0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28" fillId="0" borderId="0" xfId="9502" applyFont="1" applyFill="1" applyProtection="1">
      <protection locked="0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9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154" xfId="9502" applyFont="1" applyFill="1" applyBorder="1" applyAlignment="1" applyProtection="1">
      <alignment horizontal="centerContinuous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02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10" fontId="132" fillId="0" borderId="0" xfId="9501" applyNumberFormat="1" applyFont="1" applyFill="1" applyBorder="1" applyAlignment="1">
      <alignment horizontal="center" vertical="center"/>
    </xf>
    <xf numFmtId="10" fontId="132" fillId="0" borderId="80" xfId="9501" applyNumberFormat="1" applyFont="1" applyFill="1" applyBorder="1" applyAlignment="1">
      <alignment horizontal="center" vertical="center"/>
    </xf>
    <xf numFmtId="4" fontId="132" fillId="0" borderId="0" xfId="9501" applyNumberFormat="1" applyFont="1" applyFill="1" applyBorder="1" applyAlignment="1">
      <alignment horizontal="center" vertical="center"/>
    </xf>
    <xf numFmtId="44" fontId="132" fillId="42" borderId="0" xfId="2" applyNumberFormat="1" applyFont="1" applyFill="1" applyBorder="1" applyAlignment="1">
      <alignment horizontal="center" vertical="center" wrapText="1"/>
    </xf>
    <xf numFmtId="44" fontId="133" fillId="42" borderId="80" xfId="2" applyNumberFormat="1" applyFont="1" applyFill="1" applyBorder="1" applyAlignment="1">
      <alignment vertical="center" wrapText="1"/>
    </xf>
    <xf numFmtId="182" fontId="69" fillId="12" borderId="40" xfId="0" applyNumberFormat="1" applyFont="1" applyFill="1" applyBorder="1" applyAlignment="1" applyProtection="1">
      <alignment horizontal="right" vertical="top" wrapText="1"/>
    </xf>
    <xf numFmtId="167" fontId="72" fillId="0" borderId="40" xfId="0" applyNumberFormat="1" applyFont="1" applyFill="1" applyBorder="1" applyAlignment="1" applyProtection="1">
      <alignment horizontal="right" vertical="top" wrapTex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2" xfId="0" applyNumberFormat="1" applyFont="1" applyFill="1" applyBorder="1" applyAlignment="1">
      <alignment vertical="center" shrinkToFit="1"/>
    </xf>
    <xf numFmtId="4" fontId="52" fillId="0" borderId="24" xfId="0" applyNumberFormat="1" applyFont="1" applyFill="1" applyBorder="1" applyAlignment="1">
      <alignment vertical="center" shrinkToFit="1"/>
    </xf>
    <xf numFmtId="182" fontId="52" fillId="0" borderId="40" xfId="0" applyNumberFormat="1" applyFont="1" applyFill="1" applyBorder="1" applyAlignment="1" applyProtection="1">
      <alignment vertical="top" wrapText="1"/>
    </xf>
    <xf numFmtId="10" fontId="52" fillId="0" borderId="2" xfId="0" applyNumberFormat="1" applyFont="1" applyFill="1" applyBorder="1" applyAlignment="1">
      <alignment vertical="center"/>
    </xf>
    <xf numFmtId="4" fontId="52" fillId="0" borderId="2" xfId="0" applyNumberFormat="1" applyFont="1" applyFill="1" applyBorder="1" applyAlignment="1">
      <alignment vertical="center"/>
    </xf>
    <xf numFmtId="4" fontId="52" fillId="0" borderId="2" xfId="9497" applyNumberFormat="1" applyFont="1" applyFill="1" applyBorder="1" applyAlignment="1">
      <alignment vertical="center" shrinkToFit="1"/>
    </xf>
    <xf numFmtId="176" fontId="52" fillId="0" borderId="2" xfId="0" applyNumberFormat="1" applyFont="1" applyFill="1" applyBorder="1" applyAlignment="1">
      <alignment vertical="center" shrinkToFit="1"/>
    </xf>
    <xf numFmtId="4" fontId="52" fillId="0" borderId="44" xfId="67" applyNumberFormat="1" applyFont="1" applyFill="1" applyBorder="1" applyAlignment="1">
      <alignment vertical="center"/>
    </xf>
    <xf numFmtId="10" fontId="52" fillId="0" borderId="2" xfId="67" applyNumberFormat="1" applyFont="1" applyFill="1" applyBorder="1" applyAlignment="1">
      <alignment vertical="center"/>
    </xf>
    <xf numFmtId="176" fontId="52" fillId="0" borderId="2" xfId="67" applyNumberFormat="1" applyFont="1" applyFill="1" applyBorder="1" applyAlignment="1">
      <alignment vertical="center"/>
    </xf>
    <xf numFmtId="4" fontId="52" fillId="0" borderId="2" xfId="67" applyNumberFormat="1" applyFont="1" applyFill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82" fontId="52" fillId="14" borderId="40" xfId="0" applyNumberFormat="1" applyFont="1" applyFill="1" applyBorder="1" applyAlignment="1" applyProtection="1">
      <alignment vertical="top" wrapText="1"/>
    </xf>
    <xf numFmtId="44" fontId="132" fillId="42" borderId="80" xfId="86" applyNumberFormat="1" applyFont="1" applyFill="1" applyBorder="1" applyAlignment="1">
      <alignment horizontal="center" vertical="center" wrapText="1"/>
    </xf>
    <xf numFmtId="185" fontId="72" fillId="0" borderId="40" xfId="0" applyNumberFormat="1" applyFont="1" applyFill="1" applyBorder="1" applyAlignment="1" applyProtection="1">
      <alignment horizontal="right" vertical="top" wrapText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3" fontId="71" fillId="0" borderId="40" xfId="0" applyNumberFormat="1" applyFont="1" applyFill="1" applyBorder="1" applyAlignment="1" applyProtection="1">
      <alignment horizontal="right" vertical="top" wrapText="1"/>
    </xf>
    <xf numFmtId="0" fontId="142" fillId="0" borderId="40" xfId="0" applyNumberFormat="1" applyFont="1" applyFill="1" applyBorder="1" applyAlignment="1" applyProtection="1">
      <alignment horizontal="left" vertical="top" wrapText="1"/>
    </xf>
    <xf numFmtId="177" fontId="142" fillId="0" borderId="40" xfId="0" applyNumberFormat="1" applyFont="1" applyFill="1" applyBorder="1" applyAlignment="1" applyProtection="1">
      <alignment horizontal="right" vertical="top" wrapText="1"/>
    </xf>
    <xf numFmtId="188" fontId="142" fillId="0" borderId="40" xfId="0" applyNumberFormat="1" applyFont="1" applyFill="1" applyBorder="1" applyAlignment="1" applyProtection="1">
      <alignment horizontal="right" vertical="top" wrapText="1"/>
    </xf>
    <xf numFmtId="182" fontId="142" fillId="0" borderId="40" xfId="0" applyNumberFormat="1" applyFont="1" applyFill="1" applyBorder="1" applyAlignment="1" applyProtection="1">
      <alignment horizontal="right" vertical="top" wrapText="1"/>
    </xf>
    <xf numFmtId="176" fontId="142" fillId="0" borderId="40" xfId="0" applyNumberFormat="1" applyFont="1" applyFill="1" applyBorder="1" applyAlignment="1" applyProtection="1">
      <alignment horizontal="right" vertical="top" wrapText="1"/>
    </xf>
    <xf numFmtId="4" fontId="142" fillId="0" borderId="40" xfId="0" applyNumberFormat="1" applyFont="1" applyFill="1" applyBorder="1" applyAlignment="1" applyProtection="1">
      <alignment horizontal="right" vertical="top" wrapText="1"/>
    </xf>
    <xf numFmtId="189" fontId="142" fillId="0" borderId="40" xfId="0" applyNumberFormat="1" applyFont="1" applyFill="1" applyBorder="1" applyAlignment="1" applyProtection="1">
      <alignment horizontal="right" vertical="top" wrapText="1"/>
    </xf>
    <xf numFmtId="184" fontId="142" fillId="0" borderId="40" xfId="0" applyNumberFormat="1" applyFont="1" applyFill="1" applyBorder="1" applyAlignment="1" applyProtection="1">
      <alignment horizontal="right" vertical="top" wrapText="1"/>
    </xf>
    <xf numFmtId="0" fontId="143" fillId="0" borderId="40" xfId="0" applyNumberFormat="1" applyFont="1" applyFill="1" applyBorder="1" applyAlignment="1" applyProtection="1">
      <alignment horizontal="left" vertical="top" wrapText="1"/>
    </xf>
    <xf numFmtId="0" fontId="143" fillId="0" borderId="40" xfId="0" applyNumberFormat="1" applyFont="1" applyFill="1" applyBorder="1" applyAlignment="1" applyProtection="1">
      <alignment horizontal="right" vertical="top" wrapText="1"/>
    </xf>
    <xf numFmtId="182" fontId="143" fillId="0" borderId="40" xfId="0" applyNumberFormat="1" applyFont="1" applyFill="1" applyBorder="1" applyAlignment="1" applyProtection="1">
      <alignment horizontal="right" vertical="top" wrapText="1"/>
    </xf>
    <xf numFmtId="190" fontId="142" fillId="0" borderId="40" xfId="0" applyNumberFormat="1" applyFont="1" applyFill="1" applyBorder="1" applyAlignment="1" applyProtection="1">
      <alignment horizontal="right" vertical="top" wrapText="1"/>
    </xf>
    <xf numFmtId="186" fontId="143" fillId="0" borderId="40" xfId="0" applyNumberFormat="1" applyFont="1" applyFill="1" applyBorder="1" applyAlignment="1" applyProtection="1">
      <alignment horizontal="right" vertical="top" wrapText="1"/>
    </xf>
    <xf numFmtId="186" fontId="142" fillId="0" borderId="40" xfId="0" applyNumberFormat="1" applyFont="1" applyFill="1" applyBorder="1" applyAlignment="1" applyProtection="1">
      <alignment horizontal="right" vertical="top" wrapText="1"/>
    </xf>
    <xf numFmtId="2" fontId="142" fillId="0" borderId="40" xfId="0" applyNumberFormat="1" applyFont="1" applyFill="1" applyBorder="1" applyAlignment="1" applyProtection="1">
      <alignment horizontal="right" vertical="top" wrapText="1"/>
    </xf>
    <xf numFmtId="4" fontId="143" fillId="0" borderId="40" xfId="0" applyNumberFormat="1" applyFont="1" applyFill="1" applyBorder="1" applyAlignment="1" applyProtection="1">
      <alignment horizontal="right" vertical="top" wrapText="1"/>
    </xf>
    <xf numFmtId="184" fontId="143" fillId="0" borderId="40" xfId="0" applyNumberFormat="1" applyFont="1" applyFill="1" applyBorder="1" applyAlignment="1" applyProtection="1">
      <alignment horizontal="right" vertical="top" wrapText="1"/>
    </xf>
    <xf numFmtId="183" fontId="142" fillId="0" borderId="40" xfId="0" applyNumberFormat="1" applyFont="1" applyFill="1" applyBorder="1" applyAlignment="1" applyProtection="1">
      <alignment horizontal="right" vertical="top" wrapText="1"/>
    </xf>
    <xf numFmtId="183" fontId="143" fillId="0" borderId="40" xfId="0" applyNumberFormat="1" applyFont="1" applyFill="1" applyBorder="1" applyAlignment="1" applyProtection="1">
      <alignment horizontal="right" vertical="top" wrapText="1"/>
    </xf>
    <xf numFmtId="191" fontId="142" fillId="0" borderId="40" xfId="0" applyNumberFormat="1" applyFont="1" applyFill="1" applyBorder="1" applyAlignment="1" applyProtection="1">
      <alignment horizontal="right" vertical="top" wrapText="1"/>
    </xf>
    <xf numFmtId="199" fontId="142" fillId="0" borderId="40" xfId="0" applyNumberFormat="1" applyFont="1" applyFill="1" applyBorder="1" applyAlignment="1" applyProtection="1">
      <alignment horizontal="right" vertical="top" wrapText="1"/>
    </xf>
    <xf numFmtId="187" fontId="14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 applyAlignment="1">
      <alignment horizontal="left" vertical="center"/>
    </xf>
    <xf numFmtId="4" fontId="78" fillId="0" borderId="44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216" xfId="0" applyNumberFormat="1" applyFont="1" applyFill="1" applyBorder="1" applyAlignment="1" applyProtection="1">
      <alignment vertical="top" wrapText="1"/>
    </xf>
    <xf numFmtId="0" fontId="71" fillId="12" borderId="217" xfId="0" applyNumberFormat="1" applyFont="1" applyFill="1" applyBorder="1" applyAlignment="1" applyProtection="1">
      <alignment vertical="top" wrapText="1"/>
    </xf>
    <xf numFmtId="0" fontId="71" fillId="12" borderId="218" xfId="0" applyNumberFormat="1" applyFont="1" applyFill="1" applyBorder="1" applyAlignment="1" applyProtection="1">
      <alignment vertical="top" wrapText="1"/>
    </xf>
    <xf numFmtId="0" fontId="69" fillId="12" borderId="216" xfId="0" applyNumberFormat="1" applyFont="1" applyFill="1" applyBorder="1" applyAlignment="1" applyProtection="1">
      <alignment horizontal="right" vertical="top" wrapText="1"/>
    </xf>
    <xf numFmtId="184" fontId="69" fillId="0" borderId="216" xfId="0" applyNumberFormat="1" applyFont="1" applyFill="1" applyBorder="1" applyAlignment="1" applyProtection="1">
      <alignment horizontal="right" vertical="top" wrapText="1"/>
    </xf>
    <xf numFmtId="184" fontId="70" fillId="0" borderId="216" xfId="0" applyNumberFormat="1" applyFont="1" applyFill="1" applyBorder="1" applyAlignment="1" applyProtection="1">
      <alignment horizontal="right" vertical="top" wrapText="1"/>
    </xf>
    <xf numFmtId="183" fontId="69" fillId="0" borderId="216" xfId="0" applyNumberFormat="1" applyFont="1" applyFill="1" applyBorder="1" applyAlignment="1" applyProtection="1">
      <alignment horizontal="right" vertical="top" wrapText="1"/>
    </xf>
    <xf numFmtId="0" fontId="70" fillId="0" borderId="216" xfId="0" applyNumberFormat="1" applyFont="1" applyFill="1" applyBorder="1" applyAlignment="1" applyProtection="1">
      <alignment horizontal="right" vertical="top" wrapText="1"/>
    </xf>
    <xf numFmtId="183" fontId="69" fillId="12" borderId="216" xfId="0" applyNumberFormat="1" applyFont="1" applyFill="1" applyBorder="1" applyAlignment="1" applyProtection="1">
      <alignment horizontal="right" vertical="top" wrapText="1"/>
    </xf>
    <xf numFmtId="184" fontId="69" fillId="12" borderId="216" xfId="0" applyNumberFormat="1" applyFont="1" applyFill="1" applyBorder="1" applyAlignment="1" applyProtection="1">
      <alignment horizontal="right" vertical="top" wrapText="1"/>
    </xf>
    <xf numFmtId="1" fontId="0" fillId="0" borderId="0" xfId="0" applyNumberFormat="1" applyFill="1" applyBorder="1" applyAlignment="1">
      <alignment horizontal="center"/>
    </xf>
    <xf numFmtId="1" fontId="20" fillId="0" borderId="0" xfId="0" applyNumberFormat="1" applyFont="1" applyFill="1" applyBorder="1" applyAlignment="1" applyProtection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204" fontId="69" fillId="0" borderId="0" xfId="0" applyNumberFormat="1" applyFont="1" applyFill="1" applyBorder="1" applyAlignment="1" applyProtection="1">
      <alignment horizontal="right" vertical="top" wrapText="1"/>
    </xf>
    <xf numFmtId="14" fontId="20" fillId="0" borderId="0" xfId="9496" applyNumberFormat="1" applyFont="1" applyAlignment="1">
      <alignment vertical="center"/>
    </xf>
    <xf numFmtId="10" fontId="20" fillId="14" borderId="2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171" fontId="0" fillId="0" borderId="16" xfId="0" applyNumberFormat="1" applyFill="1" applyBorder="1" applyAlignment="1">
      <alignment horizont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69" fillId="12" borderId="216" xfId="0" applyNumberFormat="1" applyFont="1" applyFill="1" applyBorder="1" applyAlignment="1" applyProtection="1">
      <alignment horizontal="center" vertical="top" wrapText="1"/>
    </xf>
    <xf numFmtId="0" fontId="82" fillId="0" borderId="163" xfId="0" applyNumberFormat="1" applyFont="1" applyFill="1" applyBorder="1" applyAlignment="1" applyProtection="1">
      <alignment horizontal="center" vertical="top" wrapText="1"/>
    </xf>
    <xf numFmtId="0" fontId="83" fillId="0" borderId="63" xfId="0" applyNumberFormat="1" applyFont="1" applyFill="1" applyBorder="1" applyAlignment="1" applyProtection="1">
      <alignment horizontal="center" vertical="top" wrapText="1"/>
    </xf>
    <xf numFmtId="0" fontId="81" fillId="0" borderId="36" xfId="0" applyNumberFormat="1" applyFont="1" applyFill="1" applyBorder="1" applyAlignment="1" applyProtection="1">
      <alignment horizontal="center" vertical="center" wrapText="1"/>
    </xf>
    <xf numFmtId="0" fontId="81" fillId="0" borderId="37" xfId="0" applyNumberFormat="1" applyFont="1" applyFill="1" applyBorder="1" applyAlignment="1" applyProtection="1">
      <alignment horizontal="center" vertical="center" wrapText="1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84" fillId="11" borderId="24" xfId="9496" applyFont="1" applyFill="1" applyBorder="1" applyAlignment="1">
      <alignment horizontal="center" vertical="center" wrapText="1" shrinkToFit="1"/>
    </xf>
    <xf numFmtId="0" fontId="84" fillId="11" borderId="1" xfId="9496" applyFont="1" applyFill="1" applyBorder="1" applyAlignment="1">
      <alignment horizontal="center" vertical="center" wrapText="1" shrinkToFit="1"/>
    </xf>
    <xf numFmtId="0" fontId="84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15" borderId="35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40" fillId="15" borderId="2" xfId="0" applyFont="1" applyFill="1" applyBorder="1" applyAlignment="1">
      <alignment horizontal="center" vertical="center"/>
    </xf>
    <xf numFmtId="168" fontId="40" fillId="0" borderId="0" xfId="0" applyFont="1" applyAlignment="1" applyProtection="1">
      <alignment horizontal="center" vertical="center" wrapText="1"/>
      <protection locked="0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7" fillId="0" borderId="76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0" fontId="92" fillId="0" borderId="210" xfId="9502" applyFont="1" applyFill="1" applyBorder="1" applyAlignment="1" applyProtection="1">
      <alignment horizontal="center" vertical="center" wrapText="1"/>
    </xf>
    <xf numFmtId="0" fontId="92" fillId="0" borderId="205" xfId="9502" applyFont="1" applyFill="1" applyBorder="1" applyAlignment="1" applyProtection="1">
      <alignment horizontal="center" vertical="center" wrapText="1"/>
    </xf>
    <xf numFmtId="0" fontId="92" fillId="0" borderId="208" xfId="9502" applyFont="1" applyFill="1" applyBorder="1" applyAlignment="1" applyProtection="1">
      <alignment horizontal="center" vertical="center" wrapText="1"/>
    </xf>
    <xf numFmtId="0" fontId="95" fillId="24" borderId="20" xfId="9502" applyFont="1" applyFill="1" applyBorder="1" applyAlignment="1" applyProtection="1">
      <alignment horizontal="center" vertical="center"/>
      <protection hidden="1"/>
    </xf>
    <xf numFmtId="0" fontId="95" fillId="24" borderId="21" xfId="9502" applyFont="1" applyFill="1" applyBorder="1" applyAlignment="1" applyProtection="1">
      <alignment horizontal="center" vertical="center"/>
      <protection hidden="1"/>
    </xf>
    <xf numFmtId="0" fontId="95" fillId="24" borderId="22" xfId="9502" applyFont="1" applyFill="1" applyBorder="1" applyAlignment="1" applyProtection="1">
      <alignment horizontal="center" vertical="center"/>
      <protection hidden="1"/>
    </xf>
    <xf numFmtId="0" fontId="95" fillId="24" borderId="26" xfId="9502" applyFont="1" applyFill="1" applyBorder="1" applyAlignment="1" applyProtection="1">
      <alignment horizontal="center" vertical="center"/>
      <protection hidden="1"/>
    </xf>
    <xf numFmtId="0" fontId="95" fillId="24" borderId="27" xfId="9502" applyFont="1" applyFill="1" applyBorder="1" applyAlignment="1" applyProtection="1">
      <alignment horizontal="center" vertical="center"/>
      <protection hidden="1"/>
    </xf>
    <xf numFmtId="0" fontId="95" fillId="24" borderId="28" xfId="9502" applyFont="1" applyFill="1" applyBorder="1" applyAlignment="1" applyProtection="1">
      <alignment horizontal="center" vertical="center"/>
      <protection hidden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167" fontId="52" fillId="0" borderId="203" xfId="9502" quotePrefix="1" applyNumberFormat="1" applyFont="1" applyFill="1" applyBorder="1" applyAlignment="1" applyProtection="1">
      <alignment horizontal="center" vertical="center" wrapText="1"/>
    </xf>
    <xf numFmtId="167" fontId="52" fillId="0" borderId="206" xfId="9502" quotePrefix="1" applyNumberFormat="1" applyFont="1" applyFill="1" applyBorder="1" applyAlignment="1" applyProtection="1">
      <alignment horizontal="center" vertical="center" wrapText="1"/>
    </xf>
    <xf numFmtId="0" fontId="92" fillId="0" borderId="119" xfId="9502" applyFont="1" applyFill="1" applyBorder="1" applyAlignment="1" applyProtection="1">
      <alignment horizontal="center" vertical="center" wrapText="1"/>
    </xf>
    <xf numFmtId="0" fontId="92" fillId="0" borderId="203" xfId="9502" applyFont="1" applyFill="1" applyBorder="1" applyAlignment="1" applyProtection="1">
      <alignment horizontal="center" vertical="center" wrapText="1"/>
    </xf>
    <xf numFmtId="0" fontId="92" fillId="0" borderId="206" xfId="9502" applyFont="1" applyFill="1" applyBorder="1" applyAlignment="1" applyProtection="1">
      <alignment horizontal="center" vertical="center" wrapText="1"/>
    </xf>
    <xf numFmtId="0" fontId="92" fillId="0" borderId="209" xfId="9502" applyFont="1" applyFill="1" applyBorder="1" applyAlignment="1" applyProtection="1">
      <alignment horizontal="center" vertical="center" wrapText="1"/>
    </xf>
    <xf numFmtId="0" fontId="92" fillId="0" borderId="204" xfId="9502" applyFont="1" applyFill="1" applyBorder="1" applyAlignment="1" applyProtection="1">
      <alignment horizontal="center" vertical="center" wrapText="1"/>
    </xf>
    <xf numFmtId="0" fontId="92" fillId="0" borderId="207" xfId="9502" applyFont="1" applyFill="1" applyBorder="1" applyAlignment="1" applyProtection="1">
      <alignment horizontal="center" vertical="center" wrapText="1"/>
    </xf>
    <xf numFmtId="14" fontId="92" fillId="0" borderId="209" xfId="9502" quotePrefix="1" applyNumberFormat="1" applyFont="1" applyFill="1" applyBorder="1" applyAlignment="1" applyProtection="1">
      <alignment horizontal="center" vertical="center" wrapText="1"/>
    </xf>
    <xf numFmtId="14" fontId="92" fillId="0" borderId="204" xfId="9502" applyNumberFormat="1" applyFont="1" applyFill="1" applyBorder="1" applyAlignment="1" applyProtection="1">
      <alignment horizontal="center" vertical="center" wrapText="1"/>
    </xf>
    <xf numFmtId="14" fontId="92" fillId="0" borderId="207" xfId="9502" applyNumberFormat="1" applyFont="1" applyFill="1" applyBorder="1" applyAlignment="1" applyProtection="1">
      <alignment horizontal="center" vertical="center" wrapText="1"/>
    </xf>
    <xf numFmtId="167" fontId="92" fillId="0" borderId="119" xfId="9502" applyNumberFormat="1" applyFont="1" applyFill="1" applyBorder="1" applyAlignment="1" applyProtection="1">
      <alignment horizontal="center" vertical="center" wrapText="1"/>
    </xf>
    <xf numFmtId="167" fontId="92" fillId="0" borderId="203" xfId="9502" applyNumberFormat="1" applyFont="1" applyFill="1" applyBorder="1" applyAlignment="1" applyProtection="1">
      <alignment horizontal="center" vertical="center" wrapText="1"/>
    </xf>
    <xf numFmtId="167" fontId="92" fillId="0" borderId="206" xfId="9502" applyNumberFormat="1" applyFont="1" applyFill="1" applyBorder="1" applyAlignment="1" applyProtection="1">
      <alignment horizontal="center" vertical="center" wrapText="1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47" fillId="21" borderId="200" xfId="9502" applyFont="1" applyFill="1" applyBorder="1" applyAlignment="1" applyProtection="1">
      <alignment horizontal="center" vertical="center"/>
      <protection hidden="1"/>
    </xf>
    <xf numFmtId="0" fontId="136" fillId="21" borderId="199" xfId="9502" applyFont="1" applyFill="1" applyBorder="1" applyAlignment="1" applyProtection="1">
      <alignment horizontal="center" vertical="center"/>
      <protection hidden="1"/>
    </xf>
    <xf numFmtId="0" fontId="136" fillId="21" borderId="200" xfId="9502" applyFont="1" applyFill="1" applyBorder="1" applyAlignment="1" applyProtection="1">
      <alignment horizontal="center" vertical="center"/>
      <protection hidden="1"/>
    </xf>
    <xf numFmtId="168" fontId="138" fillId="48" borderId="192" xfId="8" applyFont="1" applyFill="1" applyBorder="1" applyAlignment="1" applyProtection="1">
      <alignment horizontal="center" vertical="center" wrapText="1"/>
    </xf>
    <xf numFmtId="168" fontId="138" fillId="48" borderId="21" xfId="8" quotePrefix="1" applyFont="1" applyFill="1" applyBorder="1" applyAlignment="1" applyProtection="1">
      <alignment horizontal="center" vertical="center" wrapText="1"/>
    </xf>
    <xf numFmtId="168" fontId="138" fillId="48" borderId="193" xfId="8" quotePrefix="1" applyFont="1" applyFill="1" applyBorder="1" applyAlignment="1" applyProtection="1">
      <alignment horizontal="center" vertical="center" wrapText="1"/>
    </xf>
    <xf numFmtId="168" fontId="139" fillId="0" borderId="98" xfId="8" quotePrefix="1" applyFont="1" applyBorder="1" applyAlignment="1" applyProtection="1">
      <alignment horizontal="center" vertical="center" wrapText="1"/>
    </xf>
    <xf numFmtId="168" fontId="139" fillId="0" borderId="0" xfId="8" quotePrefix="1" applyFont="1" applyBorder="1" applyAlignment="1" applyProtection="1">
      <alignment horizontal="center" vertical="center" wrapText="1"/>
    </xf>
    <xf numFmtId="168" fontId="139" fillId="0" borderId="194" xfId="8" quotePrefix="1" applyFont="1" applyBorder="1" applyAlignment="1" applyProtection="1">
      <alignment horizontal="center" vertical="center" wrapText="1"/>
    </xf>
    <xf numFmtId="168" fontId="139" fillId="0" borderId="195" xfId="8" quotePrefix="1" applyFont="1" applyBorder="1" applyAlignment="1" applyProtection="1">
      <alignment horizontal="center" vertical="center" wrapText="1"/>
    </xf>
    <xf numFmtId="168" fontId="139" fillId="0" borderId="131" xfId="8" quotePrefix="1" applyFont="1" applyBorder="1" applyAlignment="1" applyProtection="1">
      <alignment horizontal="center" vertical="center" wrapText="1"/>
    </xf>
    <xf numFmtId="168" fontId="139" fillId="0" borderId="196" xfId="8" quotePrefix="1" applyFont="1" applyBorder="1" applyAlignment="1" applyProtection="1">
      <alignment horizontal="center" vertical="center" wrapText="1"/>
    </xf>
    <xf numFmtId="14" fontId="51" fillId="49" borderId="197" xfId="8" applyNumberFormat="1" applyFont="1" applyFill="1" applyBorder="1" applyAlignment="1" applyProtection="1">
      <alignment horizontal="center" vertical="center"/>
    </xf>
    <xf numFmtId="14" fontId="51" fillId="49" borderId="198" xfId="8" applyNumberFormat="1" applyFont="1" applyFill="1" applyBorder="1" applyAlignment="1" applyProtection="1">
      <alignment horizontal="center" vertical="center"/>
    </xf>
    <xf numFmtId="203" fontId="140" fillId="49" borderId="132" xfId="8" applyNumberFormat="1" applyFont="1" applyFill="1" applyBorder="1" applyAlignment="1" applyProtection="1">
      <alignment horizontal="center" vertical="center"/>
    </xf>
    <xf numFmtId="203" fontId="140" fillId="49" borderId="27" xfId="8" applyNumberFormat="1" applyFont="1" applyFill="1" applyBorder="1" applyAlignment="1" applyProtection="1">
      <alignment horizontal="center" vertical="center"/>
    </xf>
    <xf numFmtId="1" fontId="90" fillId="49" borderId="132" xfId="8" applyNumberFormat="1" applyFont="1" applyFill="1" applyBorder="1" applyAlignment="1" applyProtection="1">
      <alignment horizontal="center" vertical="center"/>
    </xf>
    <xf numFmtId="1" fontId="90" fillId="49" borderId="27" xfId="8" applyNumberFormat="1" applyFont="1" applyFill="1" applyBorder="1" applyAlignment="1" applyProtection="1">
      <alignment horizontal="center" vertical="center"/>
    </xf>
    <xf numFmtId="14" fontId="51" fillId="49" borderId="132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41" fillId="49" borderId="132" xfId="8" applyNumberFormat="1" applyFont="1" applyFill="1" applyBorder="1" applyAlignment="1" applyProtection="1">
      <alignment horizontal="center" vertical="center"/>
    </xf>
    <xf numFmtId="203" fontId="141" fillId="49" borderId="155" xfId="8" applyNumberFormat="1" applyFont="1" applyFill="1" applyBorder="1" applyAlignment="1" applyProtection="1">
      <alignment horizontal="center" vertical="center"/>
    </xf>
    <xf numFmtId="203" fontId="141" fillId="49" borderId="27" xfId="8" applyNumberFormat="1" applyFont="1" applyFill="1" applyBorder="1" applyAlignment="1" applyProtection="1">
      <alignment horizontal="center" vertical="center"/>
    </xf>
    <xf numFmtId="203" fontId="141" fillId="49" borderId="28" xfId="8" applyNumberFormat="1" applyFont="1" applyFill="1" applyBorder="1" applyAlignment="1" applyProtection="1">
      <alignment horizontal="center" vertical="center"/>
    </xf>
    <xf numFmtId="10" fontId="52" fillId="0" borderId="88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10" fontId="52" fillId="0" borderId="3" xfId="9497" applyNumberFormat="1" applyFont="1" applyFill="1" applyBorder="1" applyAlignment="1">
      <alignment vertical="center"/>
    </xf>
    <xf numFmtId="10" fontId="52" fillId="0" borderId="88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49" fontId="99" fillId="22" borderId="87" xfId="0" quotePrefix="1" applyNumberFormat="1" applyFont="1" applyFill="1" applyBorder="1" applyAlignment="1">
      <alignment horizontal="center" vertical="center"/>
    </xf>
    <xf numFmtId="49" fontId="99" fillId="22" borderId="18" xfId="0" quotePrefix="1" applyNumberFormat="1" applyFont="1" applyFill="1" applyBorder="1" applyAlignment="1">
      <alignment horizontal="center" vertical="center"/>
    </xf>
    <xf numFmtId="0" fontId="99" fillId="21" borderId="29" xfId="0" applyNumberFormat="1" applyFont="1" applyFill="1" applyBorder="1" applyAlignment="1">
      <alignment horizontal="center" vertical="center" wrapText="1"/>
    </xf>
    <xf numFmtId="0" fontId="99" fillId="21" borderId="3" xfId="0" applyNumberFormat="1" applyFont="1" applyFill="1" applyBorder="1" applyAlignment="1">
      <alignment horizontal="center" vertical="center" wrapText="1"/>
    </xf>
    <xf numFmtId="0" fontId="99" fillId="21" borderId="82" xfId="0" applyNumberFormat="1" applyFont="1" applyFill="1" applyBorder="1" applyAlignment="1">
      <alignment horizontal="center" vertical="center" wrapText="1"/>
    </xf>
    <xf numFmtId="0" fontId="99" fillId="21" borderId="15" xfId="0" applyNumberFormat="1" applyFont="1" applyFill="1" applyBorder="1" applyAlignment="1">
      <alignment horizontal="center" vertical="center" wrapText="1"/>
    </xf>
    <xf numFmtId="0" fontId="99" fillId="21" borderId="16" xfId="0" applyNumberFormat="1" applyFont="1" applyFill="1" applyBorder="1" applyAlignment="1">
      <alignment horizontal="center" vertical="center" wrapText="1"/>
    </xf>
    <xf numFmtId="0" fontId="99" fillId="21" borderId="81" xfId="0" applyNumberFormat="1" applyFont="1" applyFill="1" applyBorder="1" applyAlignment="1">
      <alignment horizontal="center" vertical="center" wrapText="1"/>
    </xf>
    <xf numFmtId="37" fontId="99" fillId="21" borderId="88" xfId="9497" applyNumberFormat="1" applyFont="1" applyFill="1" applyBorder="1" applyAlignment="1">
      <alignment horizontal="center" vertical="center" wrapText="1"/>
    </xf>
    <xf numFmtId="37" fontId="99" fillId="21" borderId="1" xfId="9497" applyNumberFormat="1" applyFont="1" applyFill="1" applyBorder="1" applyAlignment="1">
      <alignment horizontal="center" vertical="center" wrapText="1"/>
    </xf>
    <xf numFmtId="37" fontId="94" fillId="31" borderId="90" xfId="9497" applyNumberFormat="1" applyFont="1" applyFill="1" applyBorder="1" applyAlignment="1">
      <alignment horizontal="center" vertical="center" wrapText="1"/>
    </xf>
    <xf numFmtId="37" fontId="94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left" vertical="center"/>
    </xf>
    <xf numFmtId="37" fontId="84" fillId="21" borderId="88" xfId="9497" applyNumberFormat="1" applyFont="1" applyFill="1" applyBorder="1" applyAlignment="1">
      <alignment horizontal="center" vertical="center" wrapText="1"/>
    </xf>
    <xf numFmtId="37" fontId="84" fillId="21" borderId="1" xfId="9497" applyNumberFormat="1" applyFont="1" applyFill="1" applyBorder="1" applyAlignment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37" fontId="94" fillId="31" borderId="121" xfId="9497" applyNumberFormat="1" applyFont="1" applyFill="1" applyBorder="1" applyAlignment="1">
      <alignment horizontal="center" vertical="center" wrapText="1"/>
    </xf>
    <xf numFmtId="37" fontId="94" fillId="31" borderId="3" xfId="9497" applyNumberFormat="1" applyFont="1" applyFill="1" applyBorder="1" applyAlignment="1">
      <alignment horizontal="center" vertical="center" wrapText="1"/>
    </xf>
    <xf numFmtId="37" fontId="94" fillId="31" borderId="87" xfId="9497" applyNumberFormat="1" applyFont="1" applyFill="1" applyBorder="1" applyAlignment="1">
      <alignment horizontal="center" vertical="center" wrapText="1"/>
    </xf>
    <xf numFmtId="37" fontId="94" fillId="31" borderId="122" xfId="9497" applyNumberFormat="1" applyFont="1" applyFill="1" applyBorder="1" applyAlignment="1">
      <alignment horizontal="center" vertical="center" wrapText="1"/>
    </xf>
    <xf numFmtId="37" fontId="94" fillId="31" borderId="16" xfId="9497" applyNumberFormat="1" applyFont="1" applyFill="1" applyBorder="1" applyAlignment="1">
      <alignment horizontal="center" vertical="center" wrapText="1"/>
    </xf>
    <xf numFmtId="37" fontId="94" fillId="31" borderId="18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center" vertical="center"/>
    </xf>
    <xf numFmtId="49" fontId="99" fillId="22" borderId="14" xfId="0" quotePrefix="1" applyNumberFormat="1" applyFont="1" applyFill="1" applyBorder="1" applyAlignment="1">
      <alignment horizontal="center" vertical="center"/>
    </xf>
    <xf numFmtId="0" fontId="99" fillId="21" borderId="80" xfId="0" applyNumberFormat="1" applyFont="1" applyFill="1" applyBorder="1" applyAlignment="1">
      <alignment horizontal="center" vertical="center" wrapText="1"/>
    </xf>
    <xf numFmtId="0" fontId="99" fillId="21" borderId="0" xfId="0" applyNumberFormat="1" applyFont="1" applyFill="1" applyBorder="1" applyAlignment="1">
      <alignment horizontal="center" vertical="center" wrapText="1"/>
    </xf>
    <xf numFmtId="0" fontId="99" fillId="21" borderId="83" xfId="0" applyNumberFormat="1" applyFont="1" applyFill="1" applyBorder="1" applyAlignment="1">
      <alignment horizontal="center" vertical="center" wrapText="1"/>
    </xf>
    <xf numFmtId="168" fontId="95" fillId="20" borderId="80" xfId="0" applyFont="1" applyFill="1" applyBorder="1" applyAlignment="1">
      <alignment horizontal="center" vertical="center" wrapText="1"/>
    </xf>
    <xf numFmtId="168" fontId="95" fillId="20" borderId="0" xfId="0" applyFont="1" applyFill="1" applyBorder="1" applyAlignment="1">
      <alignment horizontal="center" vertical="center" wrapText="1"/>
    </xf>
    <xf numFmtId="171" fontId="84" fillId="21" borderId="88" xfId="9497" applyNumberFormat="1" applyFont="1" applyFill="1" applyBorder="1" applyAlignment="1">
      <alignment horizontal="center" vertical="center" wrapText="1"/>
    </xf>
    <xf numFmtId="171" fontId="84" fillId="21" borderId="85" xfId="9497" applyNumberFormat="1" applyFont="1" applyFill="1" applyBorder="1" applyAlignment="1">
      <alignment horizontal="center" vertical="center" wrapText="1"/>
    </xf>
    <xf numFmtId="37" fontId="84" fillId="21" borderId="85" xfId="9497" applyNumberFormat="1" applyFont="1" applyFill="1" applyBorder="1" applyAlignment="1">
      <alignment horizontal="center" vertical="center" wrapText="1"/>
    </xf>
    <xf numFmtId="1" fontId="90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vertical="center"/>
    </xf>
    <xf numFmtId="171" fontId="84" fillId="21" borderId="130" xfId="9497" applyNumberFormat="1" applyFont="1" applyFill="1" applyBorder="1" applyAlignment="1">
      <alignment horizontal="center" vertical="center" wrapText="1"/>
    </xf>
    <xf numFmtId="168" fontId="111" fillId="0" borderId="11" xfId="2" applyFont="1" applyBorder="1" applyAlignment="1">
      <alignment horizontal="center" vertical="center" wrapText="1"/>
    </xf>
    <xf numFmtId="168" fontId="111" fillId="0" borderId="147" xfId="2" applyFont="1" applyBorder="1" applyAlignment="1">
      <alignment horizontal="center" vertical="center" wrapText="1"/>
    </xf>
    <xf numFmtId="168" fontId="111" fillId="0" borderId="148" xfId="2" applyFont="1" applyBorder="1" applyAlignment="1">
      <alignment horizontal="center" vertical="center" wrapText="1"/>
    </xf>
    <xf numFmtId="168" fontId="111" fillId="34" borderId="149" xfId="2" applyFont="1" applyFill="1" applyBorder="1" applyAlignment="1">
      <alignment horizontal="center" vertical="center" wrapText="1"/>
    </xf>
    <xf numFmtId="168" fontId="111" fillId="34" borderId="150" xfId="2" applyFont="1" applyFill="1" applyBorder="1" applyAlignment="1">
      <alignment horizontal="center" vertical="center" wrapText="1"/>
    </xf>
    <xf numFmtId="168" fontId="111" fillId="34" borderId="151" xfId="2" applyFont="1" applyFill="1" applyBorder="1" applyAlignment="1">
      <alignment horizontal="center" vertical="center" wrapText="1"/>
    </xf>
    <xf numFmtId="1" fontId="110" fillId="34" borderId="146" xfId="2" quotePrefix="1" applyNumberFormat="1" applyFont="1" applyFill="1" applyBorder="1" applyAlignment="1">
      <alignment horizontal="center" vertical="center" wrapText="1"/>
    </xf>
    <xf numFmtId="1" fontId="110" fillId="34" borderId="147" xfId="2" quotePrefix="1" applyNumberFormat="1" applyFont="1" applyFill="1" applyBorder="1" applyAlignment="1">
      <alignment horizontal="center" vertical="center" wrapText="1"/>
    </xf>
    <xf numFmtId="1" fontId="110" fillId="34" borderId="148" xfId="2" quotePrefix="1" applyNumberFormat="1" applyFont="1" applyFill="1" applyBorder="1" applyAlignment="1">
      <alignment horizontal="center" vertical="center" wrapText="1"/>
    </xf>
    <xf numFmtId="168" fontId="110" fillId="33" borderId="11" xfId="2" applyFont="1" applyFill="1" applyBorder="1" applyAlignment="1">
      <alignment horizontal="center" vertical="center" wrapText="1"/>
    </xf>
    <xf numFmtId="168" fontId="110" fillId="33" borderId="147" xfId="2" applyFont="1" applyFill="1" applyBorder="1" applyAlignment="1">
      <alignment horizontal="center" vertical="center" wrapText="1"/>
    </xf>
    <xf numFmtId="168" fontId="110" fillId="33" borderId="148" xfId="2" applyFont="1" applyFill="1" applyBorder="1" applyAlignment="1">
      <alignment horizontal="center" vertical="center" wrapText="1"/>
    </xf>
    <xf numFmtId="168" fontId="111" fillId="34" borderId="11" xfId="2" applyFont="1" applyFill="1" applyBorder="1" applyAlignment="1">
      <alignment horizontal="left" vertical="center" wrapText="1"/>
    </xf>
    <xf numFmtId="168" fontId="111" fillId="34" borderId="147" xfId="2" applyFont="1" applyFill="1" applyBorder="1" applyAlignment="1">
      <alignment horizontal="left" vertical="center" wrapText="1"/>
    </xf>
    <xf numFmtId="168" fontId="111" fillId="34" borderId="148" xfId="2" applyFont="1" applyFill="1" applyBorder="1" applyAlignment="1">
      <alignment horizontal="left" vertical="center" wrapText="1"/>
    </xf>
    <xf numFmtId="168" fontId="111" fillId="34" borderId="11" xfId="2" applyFont="1" applyFill="1" applyBorder="1" applyAlignment="1">
      <alignment horizontal="center" vertical="center" wrapText="1"/>
    </xf>
    <xf numFmtId="168" fontId="111" fillId="34" borderId="147" xfId="2" applyFont="1" applyFill="1" applyBorder="1" applyAlignment="1">
      <alignment horizontal="center" vertical="center" wrapText="1"/>
    </xf>
    <xf numFmtId="168" fontId="111" fillId="34" borderId="148" xfId="2" applyFont="1" applyFill="1" applyBorder="1" applyAlignment="1">
      <alignment horizontal="center" vertical="center" wrapText="1"/>
    </xf>
    <xf numFmtId="168" fontId="109" fillId="33" borderId="141" xfId="2" applyFont="1" applyFill="1" applyBorder="1" applyAlignment="1">
      <alignment horizontal="center" vertical="center" wrapText="1"/>
    </xf>
    <xf numFmtId="168" fontId="109" fillId="33" borderId="139" xfId="2" applyFont="1" applyFill="1" applyBorder="1" applyAlignment="1">
      <alignment horizontal="center" vertical="center" wrapText="1"/>
    </xf>
    <xf numFmtId="168" fontId="109" fillId="33" borderId="132" xfId="2" applyFont="1" applyFill="1" applyBorder="1" applyAlignment="1">
      <alignment horizontal="center" vertical="center" wrapText="1"/>
    </xf>
    <xf numFmtId="168" fontId="109" fillId="33" borderId="131" xfId="2" applyFont="1" applyFill="1" applyBorder="1" applyAlignment="1">
      <alignment horizontal="center" vertical="center" wrapText="1"/>
    </xf>
    <xf numFmtId="168" fontId="107" fillId="32" borderId="136" xfId="2" applyFont="1" applyFill="1" applyBorder="1" applyAlignment="1">
      <alignment horizontal="center" vertical="center"/>
    </xf>
    <xf numFmtId="168" fontId="107" fillId="32" borderId="131" xfId="2" applyFont="1" applyFill="1" applyBorder="1" applyAlignment="1">
      <alignment horizontal="center" vertical="center"/>
    </xf>
    <xf numFmtId="168" fontId="109" fillId="33" borderId="140" xfId="2" quotePrefix="1" applyFont="1" applyFill="1" applyBorder="1" applyAlignment="1">
      <alignment horizontal="center" vertical="center"/>
    </xf>
    <xf numFmtId="168" fontId="109" fillId="33" borderId="138" xfId="2" quotePrefix="1" applyFont="1" applyFill="1" applyBorder="1" applyAlignment="1">
      <alignment horizontal="center" vertical="center"/>
    </xf>
    <xf numFmtId="168" fontId="109" fillId="33" borderId="133" xfId="2" applyFont="1" applyFill="1" applyBorder="1" applyAlignment="1">
      <alignment horizontal="center" vertical="center" wrapText="1"/>
    </xf>
    <xf numFmtId="168" fontId="109" fillId="33" borderId="134" xfId="2" applyFont="1" applyFill="1" applyBorder="1" applyAlignment="1">
      <alignment horizontal="center" vertical="center" wrapText="1"/>
    </xf>
    <xf numFmtId="171" fontId="108" fillId="33" borderId="10" xfId="2" applyNumberFormat="1" applyFont="1" applyFill="1" applyBorder="1" applyAlignment="1">
      <alignment horizontal="center" vertical="center"/>
    </xf>
    <xf numFmtId="168" fontId="108" fillId="35" borderId="21" xfId="2" applyFont="1" applyFill="1" applyBorder="1" applyAlignment="1">
      <alignment horizontal="center" vertical="center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left" vertical="center" wrapText="1"/>
    </xf>
    <xf numFmtId="168" fontId="108" fillId="35" borderId="20" xfId="2" applyFont="1" applyFill="1" applyBorder="1" applyAlignment="1">
      <alignment horizontal="center" vertical="center"/>
    </xf>
    <xf numFmtId="168" fontId="108" fillId="35" borderId="22" xfId="2" applyFont="1" applyFill="1" applyBorder="1" applyAlignment="1">
      <alignment horizontal="center" vertical="center"/>
    </xf>
    <xf numFmtId="168" fontId="108" fillId="35" borderId="0" xfId="2" applyFont="1" applyFill="1" applyBorder="1" applyAlignment="1">
      <alignment horizontal="center" vertical="center"/>
    </xf>
    <xf numFmtId="0" fontId="126" fillId="37" borderId="0" xfId="9496" applyFont="1" applyFill="1" applyBorder="1" applyAlignment="1">
      <alignment horizontal="center" vertical="center"/>
    </xf>
    <xf numFmtId="168" fontId="127" fillId="40" borderId="164" xfId="2" quotePrefix="1" applyFont="1" applyFill="1" applyBorder="1" applyAlignment="1">
      <alignment horizontal="center" vertical="center"/>
    </xf>
    <xf numFmtId="168" fontId="127" fillId="40" borderId="170" xfId="2" quotePrefix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10" fontId="62" fillId="40" borderId="167" xfId="86" applyNumberFormat="1" applyFont="1" applyFill="1" applyBorder="1" applyAlignment="1">
      <alignment horizontal="center" vertical="center"/>
    </xf>
    <xf numFmtId="10" fontId="62" fillId="40" borderId="173" xfId="86" applyNumberFormat="1" applyFont="1" applyFill="1" applyBorder="1" applyAlignment="1">
      <alignment horizontal="center" vertical="center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7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0" fontId="62" fillId="40" borderId="124" xfId="9496" applyFont="1" applyFill="1" applyBorder="1" applyAlignment="1">
      <alignment horizontal="center" vertical="center" wrapText="1" shrinkToFit="1"/>
    </xf>
    <xf numFmtId="0" fontId="62" fillId="40" borderId="169" xfId="9496" applyFont="1" applyFill="1" applyBorder="1" applyAlignment="1">
      <alignment horizontal="center" vertical="center" wrapText="1" shrinkToFit="1"/>
    </xf>
    <xf numFmtId="168" fontId="128" fillId="0" borderId="0" xfId="2" quotePrefix="1" applyFont="1" applyFill="1" applyBorder="1" applyAlignment="1">
      <alignment horizontal="center" vertical="center"/>
    </xf>
    <xf numFmtId="0" fontId="20" fillId="2" borderId="177" xfId="0" applyNumberFormat="1" applyFont="1" applyFill="1" applyBorder="1" applyAlignment="1">
      <alignment horizontal="left" vertical="center" wrapText="1"/>
    </xf>
    <xf numFmtId="0" fontId="20" fillId="40" borderId="180" xfId="0" applyNumberFormat="1" applyFont="1" applyFill="1" applyBorder="1" applyAlignment="1">
      <alignment horizontal="left" vertical="center" wrapText="1"/>
    </xf>
    <xf numFmtId="0" fontId="20" fillId="40" borderId="177" xfId="0" applyNumberFormat="1" applyFont="1" applyFill="1" applyBorder="1" applyAlignment="1">
      <alignment horizontal="left" vertical="center" wrapText="1"/>
    </xf>
    <xf numFmtId="0" fontId="20" fillId="2" borderId="180" xfId="0" applyNumberFormat="1" applyFont="1" applyFill="1" applyBorder="1" applyAlignment="1">
      <alignment horizontal="left" vertical="center" wrapText="1"/>
    </xf>
    <xf numFmtId="0" fontId="126" fillId="0" borderId="0" xfId="9496" applyFont="1" applyFill="1" applyBorder="1" applyAlignment="1">
      <alignment horizontal="center" vertical="center"/>
    </xf>
    <xf numFmtId="168" fontId="131" fillId="0" borderId="0" xfId="2" quotePrefix="1" applyFont="1" applyFill="1" applyBorder="1" applyAlignment="1">
      <alignment vertical="center" wrapText="1"/>
    </xf>
    <xf numFmtId="168" fontId="131" fillId="42" borderId="0" xfId="2" quotePrefix="1" applyFont="1" applyFill="1" applyBorder="1" applyAlignment="1">
      <alignment horizontal="left" vertical="center" wrapText="1"/>
    </xf>
    <xf numFmtId="168" fontId="131" fillId="42" borderId="0" xfId="2" quotePrefix="1" applyFont="1" applyFill="1" applyBorder="1" applyAlignment="1">
      <alignment vertical="center" wrapText="1"/>
    </xf>
    <xf numFmtId="0" fontId="126" fillId="43" borderId="0" xfId="9496" applyFont="1" applyFill="1" applyBorder="1" applyAlignment="1">
      <alignment horizontal="center" vertical="center"/>
    </xf>
    <xf numFmtId="0" fontId="129" fillId="33" borderId="181" xfId="0" quotePrefix="1" applyNumberFormat="1" applyFont="1" applyFill="1" applyBorder="1" applyAlignment="1">
      <alignment horizontal="center" vertical="center" wrapText="1"/>
    </xf>
    <xf numFmtId="0" fontId="129" fillId="33" borderId="115" xfId="0" quotePrefix="1" applyNumberFormat="1" applyFont="1" applyFill="1" applyBorder="1" applyAlignment="1">
      <alignment horizontal="center" vertical="center" wrapText="1"/>
    </xf>
    <xf numFmtId="0" fontId="126" fillId="41" borderId="0" xfId="9496" applyFont="1" applyFill="1" applyBorder="1" applyAlignment="1">
      <alignment horizontal="center" vertical="center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8" xfId="0" applyFont="1" applyBorder="1" applyAlignment="1">
      <alignment horizontal="center" vertical="center"/>
    </xf>
    <xf numFmtId="168" fontId="74" fillId="0" borderId="97" xfId="0" applyFont="1" applyBorder="1" applyAlignment="1">
      <alignment horizontal="center" vertical="center"/>
    </xf>
    <xf numFmtId="168" fontId="74" fillId="0" borderId="129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4" fontId="99" fillId="0" borderId="0" xfId="0" quotePrefix="1" applyNumberFormat="1" applyFont="1" applyFill="1" applyBorder="1" applyAlignment="1">
      <alignment horizontal="left" vertical="center"/>
    </xf>
    <xf numFmtId="168" fontId="99" fillId="45" borderId="98" xfId="0" applyFont="1" applyFill="1" applyBorder="1" applyAlignment="1">
      <alignment horizontal="left" vertical="center"/>
    </xf>
    <xf numFmtId="168" fontId="99" fillId="45" borderId="0" xfId="0" applyFont="1" applyFill="1" applyBorder="1" applyAlignment="1">
      <alignment horizontal="left" vertical="center"/>
    </xf>
    <xf numFmtId="198" fontId="99" fillId="45" borderId="0" xfId="0" applyNumberFormat="1" applyFont="1" applyFill="1" applyBorder="1" applyAlignment="1">
      <alignment horizontal="right" vertical="center"/>
    </xf>
    <xf numFmtId="168" fontId="91" fillId="25" borderId="0" xfId="0" applyFont="1" applyFill="1" applyBorder="1" applyAlignment="1">
      <alignment horizontal="center" vertical="center"/>
    </xf>
    <xf numFmtId="0" fontId="51" fillId="28" borderId="97" xfId="0" quotePrefix="1" applyNumberFormat="1" applyFont="1" applyFill="1" applyBorder="1" applyAlignment="1">
      <alignment horizontal="center" vertical="center"/>
    </xf>
    <xf numFmtId="0" fontId="51" fillId="28" borderId="107" xfId="0" applyNumberFormat="1" applyFont="1" applyFill="1" applyBorder="1" applyAlignment="1">
      <alignment horizontal="center" vertical="center"/>
    </xf>
    <xf numFmtId="168" fontId="99" fillId="0" borderId="0" xfId="0" quotePrefix="1" applyFont="1" applyBorder="1" applyAlignment="1">
      <alignment horizontal="left" vertical="center"/>
    </xf>
    <xf numFmtId="168" fontId="99" fillId="33" borderId="98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179" fontId="99" fillId="45" borderId="0" xfId="0" applyNumberFormat="1" applyFont="1" applyFill="1" applyBorder="1" applyAlignment="1">
      <alignment horizontal="right" vertical="center"/>
    </xf>
    <xf numFmtId="4" fontId="39" fillId="27" borderId="98" xfId="9497" applyNumberFormat="1" applyFont="1" applyFill="1" applyBorder="1" applyAlignment="1">
      <alignment horizontal="center" vertical="center" wrapText="1"/>
    </xf>
    <xf numFmtId="4" fontId="39" fillId="27" borderId="101" xfId="9497" applyNumberFormat="1" applyFont="1" applyFill="1" applyBorder="1" applyAlignment="1">
      <alignment horizontal="center" vertical="center" wrapText="1"/>
    </xf>
    <xf numFmtId="4" fontId="39" fillId="27" borderId="105" xfId="9497" applyNumberFormat="1" applyFont="1" applyFill="1" applyBorder="1" applyAlignment="1">
      <alignment horizontal="center" vertical="center" wrapText="1"/>
    </xf>
    <xf numFmtId="4" fontId="39" fillId="27" borderId="114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5" xfId="9497" quotePrefix="1" applyNumberFormat="1" applyFont="1" applyFill="1" applyBorder="1" applyAlignment="1">
      <alignment horizontal="center" vertical="center" wrapText="1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196" fontId="90" fillId="29" borderId="14" xfId="0" quotePrefix="1" applyNumberFormat="1" applyFont="1" applyFill="1" applyBorder="1" applyAlignment="1">
      <alignment horizontal="center" vertical="center" shrinkToFit="1"/>
    </xf>
    <xf numFmtId="168" fontId="91" fillId="33" borderId="0" xfId="0" applyFont="1" applyFill="1" applyBorder="1" applyAlignment="1">
      <alignment horizontal="center" vertical="center"/>
    </xf>
    <xf numFmtId="4" fontId="47" fillId="0" borderId="0" xfId="9497" quotePrefix="1" applyNumberFormat="1" applyFont="1" applyBorder="1" applyAlignment="1">
      <alignment horizontal="center" vertical="center" wrapText="1"/>
    </xf>
    <xf numFmtId="0" fontId="51" fillId="28" borderId="128" xfId="0" quotePrefix="1" applyNumberFormat="1" applyFont="1" applyFill="1" applyBorder="1" applyAlignment="1">
      <alignment horizontal="center" vertical="center"/>
    </xf>
    <xf numFmtId="0" fontId="51" fillId="28" borderId="107" xfId="0" quotePrefix="1" applyNumberFormat="1" applyFont="1" applyFill="1" applyBorder="1" applyAlignment="1">
      <alignment horizontal="center" vertical="center"/>
    </xf>
    <xf numFmtId="168" fontId="91" fillId="33" borderId="98" xfId="0" applyFont="1" applyFill="1" applyBorder="1" applyAlignment="1">
      <alignment horizontal="center" vertical="center"/>
    </xf>
    <xf numFmtId="168" fontId="88" fillId="2" borderId="15" xfId="0" quotePrefix="1" applyFont="1" applyFill="1" applyBorder="1" applyAlignment="1">
      <alignment horizontal="center" vertical="center" wrapText="1"/>
    </xf>
    <xf numFmtId="168" fontId="88" fillId="2" borderId="16" xfId="0" quotePrefix="1" applyFont="1" applyFill="1" applyBorder="1" applyAlignment="1">
      <alignment horizontal="center" vertical="center" wrapText="1"/>
    </xf>
    <xf numFmtId="168" fontId="88" fillId="2" borderId="18" xfId="0" quotePrefix="1" applyFont="1" applyFill="1" applyBorder="1" applyAlignment="1">
      <alignment horizontal="center" vertical="center" wrapText="1"/>
    </xf>
    <xf numFmtId="168" fontId="89" fillId="29" borderId="0" xfId="0" quotePrefix="1" applyFont="1" applyFill="1" applyBorder="1" applyAlignment="1">
      <alignment horizontal="center" vertical="center"/>
    </xf>
    <xf numFmtId="1" fontId="90" fillId="29" borderId="0" xfId="0" quotePrefix="1" applyNumberFormat="1" applyFont="1" applyFill="1" applyBorder="1" applyAlignment="1">
      <alignment horizontal="center" vertical="center"/>
    </xf>
    <xf numFmtId="168" fontId="90" fillId="29" borderId="0" xfId="0" quotePrefix="1" applyFont="1" applyFill="1" applyBorder="1" applyAlignment="1">
      <alignment horizontal="left" vertical="center"/>
    </xf>
    <xf numFmtId="0" fontId="99" fillId="45" borderId="98" xfId="0" quotePrefix="1" applyNumberFormat="1" applyFont="1" applyFill="1" applyBorder="1" applyAlignment="1">
      <alignment horizontal="left" vertical="center"/>
    </xf>
    <xf numFmtId="0" fontId="99" fillId="45" borderId="0" xfId="0" quotePrefix="1" applyNumberFormat="1" applyFont="1" applyFill="1" applyBorder="1" applyAlignment="1">
      <alignment horizontal="left" vertical="center"/>
    </xf>
    <xf numFmtId="175" fontId="99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9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2" xfId="9497" quotePrefix="1" applyNumberFormat="1" applyFont="1" applyFill="1" applyBorder="1" applyAlignment="1">
      <alignment horizontal="center" vertical="center" wrapText="1"/>
    </xf>
    <xf numFmtId="4" fontId="47" fillId="20" borderId="106" xfId="9497" applyNumberFormat="1" applyFont="1" applyFill="1" applyBorder="1" applyAlignment="1">
      <alignment horizontal="center" vertical="center" wrapText="1"/>
    </xf>
    <xf numFmtId="168" fontId="47" fillId="26" borderId="93" xfId="0" applyFont="1" applyFill="1" applyBorder="1" applyAlignment="1">
      <alignment horizontal="center" vertical="center"/>
    </xf>
    <xf numFmtId="168" fontId="47" fillId="26" borderId="94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168" fontId="47" fillId="20" borderId="94" xfId="0" applyFont="1" applyFill="1" applyBorder="1" applyAlignment="1">
      <alignment horizontal="center" vertical="center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223"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222"/>
    </tableStyle>
    <tableStyle name="Estilo de Tabela Dinâmica 1" table="0" count="1">
      <tableStyleElement type="pageFieldLabels" dxfId="221"/>
    </tableStyle>
    <tableStyle name="Estilo de Tabela Dinâmica 2" table="0" count="1">
      <tableStyleElement type="pageFieldLabels" dxfId="220"/>
    </tableStyle>
    <tableStyle name="Estilo de Tabela Dinâmica 3" table="0" count="1">
      <tableStyleElement type="headerRow" dxfId="219"/>
    </tableStyle>
    <tableStyle name="Estilo de Tabela Dinâmica 4" table="0" count="1">
      <tableStyleElement type="headerRow" dxfId="218"/>
    </tableStyle>
    <tableStyle name="Estilo de Tabela Dinâmica 5" table="0" count="1">
      <tableStyleElement type="pageFieldValues" dxfId="217"/>
    </tableStyle>
    <tableStyle name="Estilo de Tabela Dinâmica 6" table="0" count="1">
      <tableStyleElement type="wholeTable" dxfId="21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51716073473041E-2"/>
                  <c:y val="0.1012040231412326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4331165104566E-2"/>
                  <c:y val="0.108242299146363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3873657699162963E-2"/>
                  <c:y val="0.103992759043857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8634437823821955E-2"/>
                  <c:y val="9.88242172223381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8922919711926004E-2"/>
                  <c:y val="0.11285277647990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961083653254871E-2"/>
                  <c:y val="0.1390802596268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0.137445690845759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0.139474872025936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631855662232221E-2"/>
                  <c:y val="0.132005057880846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DADOS!$D$20:$AA$20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4.1683704171009341E-2</c:v>
                </c:pt>
                <c:pt idx="2">
                  <c:v>9.7914802470753862E-2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DADOS!$B$26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4634072745018734E-2"/>
                  <c:y val="-0.1198383001204975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3820189073350583E-2"/>
                  <c:y val="-0.113313665559528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03776849643469E-2"/>
                  <c:y val="-0.11746206391048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684661111290261E-2"/>
                  <c:y val="-0.112717920811164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73436131809363E-2"/>
                  <c:y val="-0.118820139821530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20286319931885E-2"/>
                  <c:y val="0.118651966869928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0114920877739896E-2"/>
                  <c:y val="-0.140990509026903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0324543782058897E-2"/>
                  <c:y val="-0.1390707016540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51943485071767E-2"/>
                  <c:y val="-0.133641571084406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04783328134304E-2"/>
                  <c:y val="-0.137705486325238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481513658932431E-2"/>
                  <c:y val="-0.143211976621604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9617475213204897E-2"/>
                  <c:y val="-0.112804777159893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4258134422446566E-2"/>
                  <c:y val="-0.12785031338077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9770293809684352E-2"/>
                  <c:y val="-0.114814529825710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4193060203434598E-2"/>
                  <c:y val="0.150600861331088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7418503244882564E-2"/>
                  <c:y val="0.157713704588345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2601937003364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DADOS!$D$26:$AA$26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5.1100000000000007E-2</c:v>
                </c:pt>
                <c:pt idx="2">
                  <c:v>0.10935982583172037</c:v>
                </c:pt>
                <c:pt idx="3">
                  <c:v>0.1211</c:v>
                </c:pt>
                <c:pt idx="4">
                  <c:v>0.1638</c:v>
                </c:pt>
                <c:pt idx="5">
                  <c:v>0.19870000000000002</c:v>
                </c:pt>
                <c:pt idx="6">
                  <c:v>0.2334</c:v>
                </c:pt>
                <c:pt idx="7">
                  <c:v>0.25800000000000001</c:v>
                </c:pt>
                <c:pt idx="8">
                  <c:v>0.2984</c:v>
                </c:pt>
                <c:pt idx="9">
                  <c:v>0.35299999999999998</c:v>
                </c:pt>
                <c:pt idx="10">
                  <c:v>0.39090000000000003</c:v>
                </c:pt>
                <c:pt idx="11">
                  <c:v>0.41189999999999999</c:v>
                </c:pt>
                <c:pt idx="12">
                  <c:v>0.44380000000000003</c:v>
                </c:pt>
                <c:pt idx="13">
                  <c:v>0.47939999999999999</c:v>
                </c:pt>
                <c:pt idx="14">
                  <c:v>0.52369999999999994</c:v>
                </c:pt>
                <c:pt idx="15">
                  <c:v>0.57450000000000001</c:v>
                </c:pt>
                <c:pt idx="16">
                  <c:v>0.62190000000000001</c:v>
                </c:pt>
                <c:pt idx="17">
                  <c:v>0.65370000000000006</c:v>
                </c:pt>
                <c:pt idx="18">
                  <c:v>0.71400000000000008</c:v>
                </c:pt>
                <c:pt idx="19">
                  <c:v>0.78989999999999994</c:v>
                </c:pt>
                <c:pt idx="20">
                  <c:v>0.8589</c:v>
                </c:pt>
                <c:pt idx="21">
                  <c:v>0.91680000000000006</c:v>
                </c:pt>
                <c:pt idx="22">
                  <c:v>0.96329999999999993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390024064"/>
        <c:axId val="-1390022976"/>
      </c:lineChart>
      <c:catAx>
        <c:axId val="-13900240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390022976"/>
        <c:crossesAt val="0"/>
        <c:auto val="0"/>
        <c:lblAlgn val="ctr"/>
        <c:lblOffset val="100"/>
        <c:tickMarkSkip val="1"/>
        <c:noMultiLvlLbl val="0"/>
      </c:catAx>
      <c:valAx>
        <c:axId val="-1390022976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39002406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DADOS!$D$19:$AA$19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2.4402724797208359E-2</c:v>
                </c:pt>
                <c:pt idx="2">
                  <c:v>5.6231098299744521E-2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0654522336220355E-3"/>
                  <c:y val="-4.393357612884233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3.167132052199169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3.167132052199323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DADOS!$D$25:$AA$25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3.3819020626199028E-2</c:v>
                </c:pt>
                <c:pt idx="2">
                  <c:v>5.825982583172036E-2</c:v>
                </c:pt>
                <c:pt idx="3">
                  <c:v>1.1740174168279632E-2</c:v>
                </c:pt>
                <c:pt idx="4">
                  <c:v>4.2700000000000002E-2</c:v>
                </c:pt>
                <c:pt idx="5">
                  <c:v>3.4900000000000014E-2</c:v>
                </c:pt>
                <c:pt idx="6">
                  <c:v>3.4699999999999981E-2</c:v>
                </c:pt>
                <c:pt idx="7">
                  <c:v>2.4600000000000011E-2</c:v>
                </c:pt>
                <c:pt idx="8">
                  <c:v>4.0399999999999991E-2</c:v>
                </c:pt>
                <c:pt idx="9">
                  <c:v>5.4599999999999982E-2</c:v>
                </c:pt>
                <c:pt idx="10">
                  <c:v>3.7900000000000045E-2</c:v>
                </c:pt>
                <c:pt idx="11">
                  <c:v>2.0999999999999963E-2</c:v>
                </c:pt>
                <c:pt idx="12">
                  <c:v>3.1900000000000039E-2</c:v>
                </c:pt>
                <c:pt idx="13">
                  <c:v>3.5599999999999965E-2</c:v>
                </c:pt>
                <c:pt idx="14">
                  <c:v>4.4299999999999951E-2</c:v>
                </c:pt>
                <c:pt idx="15">
                  <c:v>5.0800000000000067E-2</c:v>
                </c:pt>
                <c:pt idx="16">
                  <c:v>4.7399999999999998E-2</c:v>
                </c:pt>
                <c:pt idx="17">
                  <c:v>3.180000000000005E-2</c:v>
                </c:pt>
                <c:pt idx="18">
                  <c:v>6.030000000000002E-2</c:v>
                </c:pt>
                <c:pt idx="19">
                  <c:v>7.5899999999999856E-2</c:v>
                </c:pt>
                <c:pt idx="20">
                  <c:v>6.9000000000000061E-2</c:v>
                </c:pt>
                <c:pt idx="21">
                  <c:v>5.7900000000000063E-2</c:v>
                </c:pt>
                <c:pt idx="22">
                  <c:v>4.6499999999999875E-2</c:v>
                </c:pt>
                <c:pt idx="23">
                  <c:v>3.6700000000000066E-2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622725184"/>
        <c:axId val="-1620995568"/>
      </c:barChart>
      <c:catAx>
        <c:axId val="-16227251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20995568"/>
        <c:crosses val="autoZero"/>
        <c:auto val="0"/>
        <c:lblAlgn val="ctr"/>
        <c:lblOffset val="100"/>
        <c:tickMarkSkip val="1"/>
        <c:noMultiLvlLbl val="0"/>
      </c:catAx>
      <c:valAx>
        <c:axId val="-1620995568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22725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74512774400781E-2"/>
                  <c:y val="-0.129349147812219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917359886711E-2"/>
                  <c:y val="-0.106122196750722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82812184244E-2"/>
                  <c:y val="-0.134237012826226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616596486405E-2"/>
                  <c:y val="-0.149706928143416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43664958501E-2"/>
                  <c:y val="-0.1222736968005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859185038609621E-2"/>
                  <c:y val="0.129860842866339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76E-2"/>
                  <c:y val="0.140776637097578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433E-2"/>
                  <c:y val="0.148496362005382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DADOS!$D$7:$AA$7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5.2905943149673833E-2</c:v>
                </c:pt>
                <c:pt idx="2">
                  <c:v>0.10217283485948424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5674182586984563E-2"/>
                  <c:y val="8.531645569620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65E-2"/>
                  <c:y val="0.111101365493870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65547536551194E-2"/>
                  <c:y val="0.126298415229741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6044483907145638E-2"/>
                  <c:y val="0.130460281072460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933E-2"/>
                  <c:y val="-0.139055516794577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1377336879449968E-2"/>
                  <c:y val="-0.13538722216684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3677814142890882E-2"/>
                  <c:y val="-0.14003229343167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153419476125258E-2"/>
                  <c:y val="-0.133996212498754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49760883999E-2"/>
                  <c:y val="-0.11997125691876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51006537795E-2"/>
                  <c:y val="-0.13470778904320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1.0039418397302395E-2"/>
                  <c:y val="-0.127212598425196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5559121420120069E-2"/>
                  <c:y val="0.131802651250872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5245853300825668E-2"/>
                  <c:y val="0.13427648759094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6365710147491341E-2"/>
                  <c:y val="0.149490282069171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442699092993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DADOS!$D$13:$AA$13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8.8100000000000012E-2</c:v>
                </c:pt>
                <c:pt idx="2">
                  <c:v>0.13870330385403026</c:v>
                </c:pt>
                <c:pt idx="3">
                  <c:v>0.15970000000000001</c:v>
                </c:pt>
                <c:pt idx="4">
                  <c:v>0.20149999999999998</c:v>
                </c:pt>
                <c:pt idx="5">
                  <c:v>0.23910000000000001</c:v>
                </c:pt>
                <c:pt idx="6">
                  <c:v>0.27449999999999997</c:v>
                </c:pt>
                <c:pt idx="7">
                  <c:v>0.3075</c:v>
                </c:pt>
                <c:pt idx="8">
                  <c:v>0.34720000000000001</c:v>
                </c:pt>
                <c:pt idx="9">
                  <c:v>0.4032</c:v>
                </c:pt>
                <c:pt idx="10">
                  <c:v>0.4446</c:v>
                </c:pt>
                <c:pt idx="11">
                  <c:v>0.47249999999999998</c:v>
                </c:pt>
                <c:pt idx="12">
                  <c:v>0.50939999999999996</c:v>
                </c:pt>
                <c:pt idx="13">
                  <c:v>0.54559999999999997</c:v>
                </c:pt>
                <c:pt idx="14">
                  <c:v>0.5867</c:v>
                </c:pt>
                <c:pt idx="15">
                  <c:v>0.63170000000000004</c:v>
                </c:pt>
                <c:pt idx="16">
                  <c:v>0.67659999999999998</c:v>
                </c:pt>
                <c:pt idx="17">
                  <c:v>0.71290000000000009</c:v>
                </c:pt>
                <c:pt idx="18">
                  <c:v>0.76370000000000005</c:v>
                </c:pt>
                <c:pt idx="19">
                  <c:v>0.82650000000000001</c:v>
                </c:pt>
                <c:pt idx="20">
                  <c:v>0.88269999999999993</c:v>
                </c:pt>
                <c:pt idx="21">
                  <c:v>0.93340000000000001</c:v>
                </c:pt>
                <c:pt idx="22">
                  <c:v>0.97719999999999996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281173360"/>
        <c:axId val="-1281171184"/>
      </c:lineChart>
      <c:catAx>
        <c:axId val="-12811733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1184"/>
        <c:crossesAt val="0"/>
        <c:auto val="0"/>
        <c:lblAlgn val="ctr"/>
        <c:lblOffset val="100"/>
        <c:tickMarkSkip val="1"/>
        <c:noMultiLvlLbl val="0"/>
      </c:catAx>
      <c:valAx>
        <c:axId val="-1281171184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336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DADOS!$D$6:$AA$6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3.7022152579459296E-2</c:v>
                </c:pt>
                <c:pt idx="2">
                  <c:v>4.9266891709810405E-2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1416121167655918E-3"/>
                  <c:y val="-4.3933592708789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161281752473085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37242388928637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DADOS!$D$12:$AA$12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7.2216209429785475E-2</c:v>
                </c:pt>
                <c:pt idx="2">
                  <c:v>5.0603303854030252E-2</c:v>
                </c:pt>
                <c:pt idx="3">
                  <c:v>2.0996696145969745E-2</c:v>
                </c:pt>
                <c:pt idx="4">
                  <c:v>4.1799999999999976E-2</c:v>
                </c:pt>
                <c:pt idx="5">
                  <c:v>3.7600000000000022E-2</c:v>
                </c:pt>
                <c:pt idx="6">
                  <c:v>3.5399999999999959E-2</c:v>
                </c:pt>
                <c:pt idx="7">
                  <c:v>3.3000000000000029E-2</c:v>
                </c:pt>
                <c:pt idx="8">
                  <c:v>3.9700000000000013E-2</c:v>
                </c:pt>
                <c:pt idx="9">
                  <c:v>5.5999999999999994E-2</c:v>
                </c:pt>
                <c:pt idx="10">
                  <c:v>4.1399999999999992E-2</c:v>
                </c:pt>
                <c:pt idx="11">
                  <c:v>2.789999999999998E-2</c:v>
                </c:pt>
                <c:pt idx="12">
                  <c:v>3.6899999999999988E-2</c:v>
                </c:pt>
                <c:pt idx="13">
                  <c:v>3.620000000000001E-2</c:v>
                </c:pt>
                <c:pt idx="14">
                  <c:v>4.1100000000000025E-2</c:v>
                </c:pt>
                <c:pt idx="15">
                  <c:v>4.500000000000004E-2</c:v>
                </c:pt>
                <c:pt idx="16">
                  <c:v>4.489999999999994E-2</c:v>
                </c:pt>
                <c:pt idx="17">
                  <c:v>3.630000000000011E-2</c:v>
                </c:pt>
                <c:pt idx="18">
                  <c:v>5.0799999999999956E-2</c:v>
                </c:pt>
                <c:pt idx="19">
                  <c:v>6.2799999999999967E-2</c:v>
                </c:pt>
                <c:pt idx="20">
                  <c:v>5.6199999999999917E-2</c:v>
                </c:pt>
                <c:pt idx="21">
                  <c:v>5.0700000000000078E-2</c:v>
                </c:pt>
                <c:pt idx="22">
                  <c:v>4.379999999999995E-2</c:v>
                </c:pt>
                <c:pt idx="23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71728"/>
        <c:axId val="-1281170640"/>
      </c:barChart>
      <c:catAx>
        <c:axId val="-128117172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0640"/>
        <c:crosses val="autoZero"/>
        <c:auto val="0"/>
        <c:lblAlgn val="ctr"/>
        <c:lblOffset val="100"/>
        <c:tickMarkSkip val="1"/>
        <c:noMultiLvlLbl val="0"/>
      </c:catAx>
      <c:valAx>
        <c:axId val="-1281170640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0.81572806596887149</c:v>
                </c:pt>
                <c:pt idx="1">
                  <c:v>0.89534526711319229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74992"/>
        <c:axId val="-1281180976"/>
      </c:barChart>
      <c:catAx>
        <c:axId val="-12811749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80976"/>
        <c:crossesAt val="1"/>
        <c:auto val="0"/>
        <c:lblAlgn val="ctr"/>
        <c:lblOffset val="100"/>
        <c:tickMarkSkip val="1"/>
        <c:noMultiLvlLbl val="0"/>
      </c:catAx>
      <c:valAx>
        <c:axId val="-128118097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499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  <c:pt idx="0">
                  <c:v>0.859279841096113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82064"/>
        <c:axId val="-1281172816"/>
      </c:barChart>
      <c:catAx>
        <c:axId val="-12811820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2816"/>
        <c:crossesAt val="1"/>
        <c:auto val="0"/>
        <c:lblAlgn val="ctr"/>
        <c:lblOffset val="100"/>
        <c:tickMarkSkip val="1"/>
        <c:noMultiLvlLbl val="0"/>
      </c:catAx>
      <c:valAx>
        <c:axId val="-128117281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8206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  <c:pt idx="0">
                  <c:v>0.90760544251952091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83696"/>
        <c:axId val="-1281178256"/>
      </c:barChart>
      <c:catAx>
        <c:axId val="-12811836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8256"/>
        <c:crossesAt val="1"/>
        <c:auto val="0"/>
        <c:lblAlgn val="ctr"/>
        <c:lblOffset val="100"/>
        <c:tickMarkSkip val="1"/>
        <c:noMultiLvlLbl val="0"/>
      </c:catAx>
      <c:valAx>
        <c:axId val="-128117825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8369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  <c:pt idx="0">
                  <c:v>0.78492832451183259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79888"/>
        <c:axId val="-1281180432"/>
      </c:barChart>
      <c:catAx>
        <c:axId val="-1281179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80432"/>
        <c:crossesAt val="1"/>
        <c:auto val="0"/>
        <c:lblAlgn val="ctr"/>
        <c:lblOffset val="100"/>
        <c:tickMarkSkip val="1"/>
        <c:noMultiLvlLbl val="0"/>
      </c:catAx>
      <c:valAx>
        <c:axId val="-1281180432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988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173226.27362296745</c:v>
                </c:pt>
                <c:pt idx="1">
                  <c:v>46773.552599464689</c:v>
                </c:pt>
                <c:pt idx="2">
                  <c:v>43061.185044504804</c:v>
                </c:pt>
                <c:pt idx="3">
                  <c:v>39800</c:v>
                </c:pt>
                <c:pt idx="4">
                  <c:v>580536.68538212858</c:v>
                </c:pt>
                <c:pt idx="5">
                  <c:v>1100502.1344380185</c:v>
                </c:pt>
                <c:pt idx="6">
                  <c:v>223315.11512617685</c:v>
                </c:pt>
                <c:pt idx="7">
                  <c:v>85144.774998207606</c:v>
                </c:pt>
                <c:pt idx="8">
                  <c:v>354784.94985364575</c:v>
                </c:pt>
                <c:pt idx="9">
                  <c:v>289326.92231887195</c:v>
                </c:pt>
                <c:pt idx="10">
                  <c:v>44536.163726210405</c:v>
                </c:pt>
                <c:pt idx="11">
                  <c:v>396282.29247289081</c:v>
                </c:pt>
                <c:pt idx="12">
                  <c:v>569475.83080517768</c:v>
                </c:pt>
                <c:pt idx="13">
                  <c:v>59268.460330886417</c:v>
                </c:pt>
                <c:pt idx="14">
                  <c:v>73036.458725382006</c:v>
                </c:pt>
                <c:pt idx="15">
                  <c:v>963491.04535304895</c:v>
                </c:pt>
                <c:pt idx="16">
                  <c:v>85590.622576810798</c:v>
                </c:pt>
                <c:pt idx="17">
                  <c:v>114825.3764402916</c:v>
                </c:pt>
                <c:pt idx="18">
                  <c:v>188320.76261391965</c:v>
                </c:pt>
                <c:pt idx="19">
                  <c:v>173763.75272806804</c:v>
                </c:pt>
                <c:pt idx="20">
                  <c:v>178833.32366365363</c:v>
                </c:pt>
                <c:pt idx="21">
                  <c:v>67550.056729228236</c:v>
                </c:pt>
                <c:pt idx="22">
                  <c:v>1513971.5867407515</c:v>
                </c:pt>
                <c:pt idx="23">
                  <c:v>169096.11182949186</c:v>
                </c:pt>
                <c:pt idx="24">
                  <c:v>319377.48576056288</c:v>
                </c:pt>
                <c:pt idx="25">
                  <c:v>1178763.8843772744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167818.6670407952</c:v>
                </c:pt>
                <c:pt idx="1">
                  <c:v>22873.556787135603</c:v>
                </c:pt>
                <c:pt idx="2">
                  <c:v>46140.786913263852</c:v>
                </c:pt>
                <c:pt idx="3">
                  <c:v>27263.38</c:v>
                </c:pt>
                <c:pt idx="4">
                  <c:v>545655.39994296688</c:v>
                </c:pt>
                <c:pt idx="5">
                  <c:v>1100502.1344380185</c:v>
                </c:pt>
                <c:pt idx="6">
                  <c:v>223315.11512617685</c:v>
                </c:pt>
                <c:pt idx="7">
                  <c:v>85144.774998207606</c:v>
                </c:pt>
                <c:pt idx="8">
                  <c:v>354784.94985364575</c:v>
                </c:pt>
                <c:pt idx="9">
                  <c:v>289326.92231887195</c:v>
                </c:pt>
                <c:pt idx="10">
                  <c:v>44536.163726210405</c:v>
                </c:pt>
                <c:pt idx="11">
                  <c:v>396282.29247289081</c:v>
                </c:pt>
                <c:pt idx="12">
                  <c:v>569475.83080517768</c:v>
                </c:pt>
                <c:pt idx="13">
                  <c:v>59268.460330886417</c:v>
                </c:pt>
                <c:pt idx="14">
                  <c:v>73036.458725382006</c:v>
                </c:pt>
                <c:pt idx="15">
                  <c:v>963491.04535304895</c:v>
                </c:pt>
                <c:pt idx="16">
                  <c:v>85590.622576810798</c:v>
                </c:pt>
                <c:pt idx="17">
                  <c:v>114825.3764402916</c:v>
                </c:pt>
                <c:pt idx="18">
                  <c:v>188320.76261391965</c:v>
                </c:pt>
                <c:pt idx="19">
                  <c:v>173763.75272806804</c:v>
                </c:pt>
                <c:pt idx="20">
                  <c:v>178833.32366365363</c:v>
                </c:pt>
                <c:pt idx="21">
                  <c:v>67550.056729228236</c:v>
                </c:pt>
                <c:pt idx="22">
                  <c:v>1513971.5867407515</c:v>
                </c:pt>
                <c:pt idx="23">
                  <c:v>169096.11182949186</c:v>
                </c:pt>
                <c:pt idx="24">
                  <c:v>319377.48576056288</c:v>
                </c:pt>
                <c:pt idx="25">
                  <c:v>1178763.8843772744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77712"/>
        <c:axId val="-1281183152"/>
      </c:barChart>
      <c:catAx>
        <c:axId val="-12811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83152"/>
        <c:crosses val="autoZero"/>
        <c:auto val="1"/>
        <c:lblAlgn val="ctr"/>
        <c:lblOffset val="100"/>
        <c:noMultiLvlLbl val="0"/>
      </c:catAx>
      <c:valAx>
        <c:axId val="-128118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52615456554472E-2"/>
                  <c:y val="6.7019029245955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47486356305E-2"/>
                  <c:y val="8.4762158731216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60082615581E-2"/>
                  <c:y val="8.736216956459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Finan'!$F$24:$AB$24</c:f>
              <c:numCache>
                <c:formatCode>0.00%</c:formatCode>
                <c:ptCount val="23"/>
                <c:pt idx="0">
                  <c:v>5.4520858550502795E-2</c:v>
                </c:pt>
                <c:pt idx="1">
                  <c:v>0.10476983846672998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32E-2"/>
                  <c:y val="-7.8900675975038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-7.0833281249783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38602400702E-2"/>
                  <c:y val="-8.4104517102154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269469547362375E-2"/>
                  <c:y val="-7.926630249848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Finan'!$F$20:$AB$20</c:f>
              <c:numCache>
                <c:formatCode>0.00%</c:formatCode>
                <c:ptCount val="23"/>
                <c:pt idx="0">
                  <c:v>8.8100000000000012E-2</c:v>
                </c:pt>
                <c:pt idx="1">
                  <c:v>0.128</c:v>
                </c:pt>
                <c:pt idx="2">
                  <c:v>0.15970000000000001</c:v>
                </c:pt>
                <c:pt idx="3">
                  <c:v>0.20149999999999998</c:v>
                </c:pt>
                <c:pt idx="4">
                  <c:v>0.23910000000000001</c:v>
                </c:pt>
                <c:pt idx="5">
                  <c:v>0.27449999999999997</c:v>
                </c:pt>
                <c:pt idx="6">
                  <c:v>0.3075</c:v>
                </c:pt>
                <c:pt idx="7">
                  <c:v>0.34720000000000001</c:v>
                </c:pt>
                <c:pt idx="8">
                  <c:v>0.4032</c:v>
                </c:pt>
                <c:pt idx="9">
                  <c:v>0.4446</c:v>
                </c:pt>
                <c:pt idx="10">
                  <c:v>0.47249999999999998</c:v>
                </c:pt>
                <c:pt idx="11">
                  <c:v>0.50939999999999996</c:v>
                </c:pt>
                <c:pt idx="12">
                  <c:v>0.54559999999999997</c:v>
                </c:pt>
                <c:pt idx="13">
                  <c:v>0.5867</c:v>
                </c:pt>
                <c:pt idx="14">
                  <c:v>0.63170000000000004</c:v>
                </c:pt>
                <c:pt idx="15">
                  <c:v>0.67659999999999998</c:v>
                </c:pt>
                <c:pt idx="16">
                  <c:v>0.71290000000000009</c:v>
                </c:pt>
                <c:pt idx="17">
                  <c:v>0.76370000000000005</c:v>
                </c:pt>
                <c:pt idx="18">
                  <c:v>0.82650000000000001</c:v>
                </c:pt>
                <c:pt idx="19">
                  <c:v>0.88269999999999993</c:v>
                </c:pt>
                <c:pt idx="20">
                  <c:v>0.93340000000000001</c:v>
                </c:pt>
                <c:pt idx="21">
                  <c:v>0.97719999999999996</c:v>
                </c:pt>
                <c:pt idx="22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281169008"/>
        <c:axId val="-1281174448"/>
      </c:lineChart>
      <c:catAx>
        <c:axId val="-12811690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4448"/>
        <c:crossesAt val="0"/>
        <c:auto val="0"/>
        <c:lblAlgn val="ctr"/>
        <c:lblOffset val="100"/>
        <c:tickMarkSkip val="1"/>
        <c:noMultiLvlLbl val="0"/>
      </c:catAx>
      <c:valAx>
        <c:axId val="-1281174448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6900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Finan'!$F$23:$AB$23</c:f>
              <c:numCache>
                <c:formatCode>0.00%</c:formatCode>
                <c:ptCount val="23"/>
                <c:pt idx="0">
                  <c:v>6.5299999999999997E-2</c:v>
                </c:pt>
                <c:pt idx="1">
                  <c:v>5.0248979916227184E-2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Finan'!$F$19:$AB$19</c:f>
              <c:numCache>
                <c:formatCode>0.00%</c:formatCode>
                <c:ptCount val="23"/>
                <c:pt idx="0">
                  <c:v>7.2216209429785475E-2</c:v>
                </c:pt>
                <c:pt idx="1">
                  <c:v>3.9899999999999991E-2</c:v>
                </c:pt>
                <c:pt idx="2">
                  <c:v>3.1700000000000006E-2</c:v>
                </c:pt>
                <c:pt idx="3">
                  <c:v>4.1799999999999976E-2</c:v>
                </c:pt>
                <c:pt idx="4">
                  <c:v>3.7600000000000022E-2</c:v>
                </c:pt>
                <c:pt idx="5">
                  <c:v>3.5399999999999959E-2</c:v>
                </c:pt>
                <c:pt idx="6">
                  <c:v>3.3000000000000029E-2</c:v>
                </c:pt>
                <c:pt idx="7">
                  <c:v>3.9700000000000013E-2</c:v>
                </c:pt>
                <c:pt idx="8">
                  <c:v>5.5999999999999994E-2</c:v>
                </c:pt>
                <c:pt idx="9">
                  <c:v>4.1399999999999992E-2</c:v>
                </c:pt>
                <c:pt idx="10">
                  <c:v>2.789999999999998E-2</c:v>
                </c:pt>
                <c:pt idx="11">
                  <c:v>3.6899999999999988E-2</c:v>
                </c:pt>
                <c:pt idx="12">
                  <c:v>3.620000000000001E-2</c:v>
                </c:pt>
                <c:pt idx="13">
                  <c:v>4.1100000000000025E-2</c:v>
                </c:pt>
                <c:pt idx="14">
                  <c:v>4.500000000000004E-2</c:v>
                </c:pt>
                <c:pt idx="15">
                  <c:v>4.489999999999994E-2</c:v>
                </c:pt>
                <c:pt idx="16">
                  <c:v>3.630000000000011E-2</c:v>
                </c:pt>
                <c:pt idx="17">
                  <c:v>5.0799999999999956E-2</c:v>
                </c:pt>
                <c:pt idx="18">
                  <c:v>6.2799999999999967E-2</c:v>
                </c:pt>
                <c:pt idx="19">
                  <c:v>5.6199999999999917E-2</c:v>
                </c:pt>
                <c:pt idx="20">
                  <c:v>5.0700000000000078E-2</c:v>
                </c:pt>
                <c:pt idx="21">
                  <c:v>4.379999999999995E-2</c:v>
                </c:pt>
                <c:pt idx="22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281176624"/>
        <c:axId val="-1281173904"/>
      </c:barChart>
      <c:catAx>
        <c:axId val="-12811766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3904"/>
        <c:crosses val="autoZero"/>
        <c:auto val="0"/>
        <c:lblAlgn val="ctr"/>
        <c:lblOffset val="100"/>
        <c:tickMarkSkip val="1"/>
        <c:noMultiLvlLbl val="0"/>
      </c:catAx>
      <c:valAx>
        <c:axId val="-128117390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811766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chart" Target="../charts/chart3.xml"/><Relationship Id="rId7" Type="http://schemas.openxmlformats.org/officeDocument/2006/relationships/image" Target="../media/image4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jpeg"/><Relationship Id="rId5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8.png"/><Relationship Id="rId6" Type="http://schemas.openxmlformats.org/officeDocument/2006/relationships/image" Target="../media/image2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8.png"/><Relationship Id="rId5" Type="http://schemas.openxmlformats.org/officeDocument/2006/relationships/image" Target="../media/image2.png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9525</xdr:rowOff>
    </xdr:from>
    <xdr:to>
      <xdr:col>1</xdr:col>
      <xdr:colOff>1504950</xdr:colOff>
      <xdr:row>1</xdr:row>
      <xdr:rowOff>247650</xdr:rowOff>
    </xdr:to>
    <xdr:pic>
      <xdr:nvPicPr>
        <xdr:cNvPr id="4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525"/>
          <a:ext cx="1828800" cy="495300"/>
        </a:xfrm>
        <a:prstGeom prst="rect">
          <a:avLst/>
        </a:prstGeom>
        <a:noFill/>
        <a:ln w="9525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592668</xdr:colOff>
      <xdr:row>14</xdr:row>
      <xdr:rowOff>84669</xdr:rowOff>
    </xdr:from>
    <xdr:to>
      <xdr:col>4</xdr:col>
      <xdr:colOff>184150</xdr:colOff>
      <xdr:row>27</xdr:row>
      <xdr:rowOff>141818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668" y="4021669"/>
          <a:ext cx="3740149" cy="374014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127010</xdr:colOff>
      <xdr:row>86</xdr:row>
      <xdr:rowOff>137584</xdr:rowOff>
    </xdr:from>
    <xdr:to>
      <xdr:col>2</xdr:col>
      <xdr:colOff>1708160</xdr:colOff>
      <xdr:row>99</xdr:row>
      <xdr:rowOff>162984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0" y="19759084"/>
          <a:ext cx="2628900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1820343</xdr:colOff>
      <xdr:row>86</xdr:row>
      <xdr:rowOff>137584</xdr:rowOff>
    </xdr:from>
    <xdr:to>
      <xdr:col>5</xdr:col>
      <xdr:colOff>529176</xdr:colOff>
      <xdr:row>99</xdr:row>
      <xdr:rowOff>158750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93" y="19759084"/>
          <a:ext cx="2624666" cy="2624666"/>
        </a:xfrm>
        <a:prstGeom prst="rect">
          <a:avLst/>
        </a:prstGeom>
      </xdr:spPr>
    </xdr:pic>
    <xdr:clientData/>
  </xdr:twoCellAnchor>
  <xdr:twoCellAnchor editAs="oneCell">
    <xdr:from>
      <xdr:col>5</xdr:col>
      <xdr:colOff>656173</xdr:colOff>
      <xdr:row>86</xdr:row>
      <xdr:rowOff>116418</xdr:rowOff>
    </xdr:from>
    <xdr:to>
      <xdr:col>8</xdr:col>
      <xdr:colOff>592672</xdr:colOff>
      <xdr:row>99</xdr:row>
      <xdr:rowOff>158751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6" y="19737918"/>
          <a:ext cx="2645833" cy="2645833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91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2</xdr:row>
      <xdr:rowOff>327728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Out20/Apropria&#231;&#227;oContasPagasTreeOut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Out20/Apropria&#231;&#227;oContasAPagarTreeOut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Out20/Estoque-ComprometimentoTreeOut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02 </v>
          </cell>
          <cell r="B5" t="str">
            <v>02.000.000.003</v>
          </cell>
          <cell r="H5">
            <v>1954.8</v>
          </cell>
        </row>
        <row r="6">
          <cell r="A6" t="str">
            <v xml:space="preserve">02 </v>
          </cell>
          <cell r="B6" t="str">
            <v>02.000.000.003</v>
          </cell>
          <cell r="H6">
            <v>45.2</v>
          </cell>
        </row>
        <row r="7">
          <cell r="A7" t="str">
            <v xml:space="preserve">01 </v>
          </cell>
          <cell r="B7" t="str">
            <v>01.000.000.005</v>
          </cell>
          <cell r="H7">
            <v>19600</v>
          </cell>
        </row>
        <row r="8">
          <cell r="A8" t="str">
            <v xml:space="preserve"> </v>
          </cell>
        </row>
        <row r="9">
          <cell r="A9" t="str">
            <v xml:space="preserve">01 </v>
          </cell>
          <cell r="B9" t="str">
            <v>01.000.000.005</v>
          </cell>
          <cell r="H9">
            <v>400</v>
          </cell>
        </row>
        <row r="10">
          <cell r="A10" t="str">
            <v xml:space="preserve">01 </v>
          </cell>
          <cell r="B10" t="str">
            <v>01.000.000.008</v>
          </cell>
          <cell r="H10">
            <v>400.31</v>
          </cell>
        </row>
        <row r="11">
          <cell r="A11" t="str">
            <v xml:space="preserve"> </v>
          </cell>
        </row>
        <row r="12">
          <cell r="A12" t="str">
            <v xml:space="preserve"> </v>
          </cell>
        </row>
        <row r="13">
          <cell r="A13" t="str">
            <v xml:space="preserve">01 </v>
          </cell>
          <cell r="B13" t="str">
            <v>01.000.000.005</v>
          </cell>
          <cell r="H13">
            <v>19476</v>
          </cell>
        </row>
        <row r="14">
          <cell r="A14" t="str">
            <v xml:space="preserve"> </v>
          </cell>
        </row>
        <row r="15">
          <cell r="A15" t="str">
            <v xml:space="preserve">01 </v>
          </cell>
          <cell r="B15" t="str">
            <v>01.000.000.001</v>
          </cell>
          <cell r="H15">
            <v>4567.5</v>
          </cell>
        </row>
        <row r="16">
          <cell r="A16" t="str">
            <v xml:space="preserve"> </v>
          </cell>
        </row>
        <row r="17">
          <cell r="A17" t="str">
            <v xml:space="preserve">01 </v>
          </cell>
          <cell r="B17" t="str">
            <v>01.000.000.005</v>
          </cell>
          <cell r="H17">
            <v>524</v>
          </cell>
        </row>
        <row r="18">
          <cell r="A18" t="str">
            <v xml:space="preserve">01 </v>
          </cell>
          <cell r="B18" t="str">
            <v>01.000.000.006</v>
          </cell>
          <cell r="H18">
            <v>4110.75</v>
          </cell>
        </row>
        <row r="19">
          <cell r="A19" t="str">
            <v xml:space="preserve">02 </v>
          </cell>
          <cell r="B19" t="str">
            <v>02.000.000.005</v>
          </cell>
          <cell r="H19">
            <v>1715</v>
          </cell>
        </row>
        <row r="20">
          <cell r="A20" t="str">
            <v xml:space="preserve">01 </v>
          </cell>
          <cell r="B20" t="str">
            <v>01.000.000.001</v>
          </cell>
          <cell r="H20">
            <v>125</v>
          </cell>
        </row>
        <row r="21">
          <cell r="A21" t="str">
            <v xml:space="preserve">01 </v>
          </cell>
          <cell r="B21" t="str">
            <v>01.000.000.001</v>
          </cell>
          <cell r="H21">
            <v>3654</v>
          </cell>
        </row>
        <row r="22">
          <cell r="A22" t="str">
            <v xml:space="preserve">01 </v>
          </cell>
          <cell r="B22" t="str">
            <v>01.000.000.001</v>
          </cell>
          <cell r="H22">
            <v>3654</v>
          </cell>
        </row>
        <row r="23">
          <cell r="A23" t="str">
            <v xml:space="preserve">01 </v>
          </cell>
          <cell r="B23" t="str">
            <v>01.000.000.001</v>
          </cell>
          <cell r="H23">
            <v>3654</v>
          </cell>
        </row>
        <row r="24">
          <cell r="A24" t="str">
            <v xml:space="preserve">01 </v>
          </cell>
          <cell r="B24" t="str">
            <v>01.000.000.001</v>
          </cell>
          <cell r="H24">
            <v>232.5</v>
          </cell>
        </row>
        <row r="25">
          <cell r="A25" t="str">
            <v xml:space="preserve">01 </v>
          </cell>
          <cell r="B25" t="str">
            <v>01.000.000.001</v>
          </cell>
          <cell r="H25">
            <v>75</v>
          </cell>
        </row>
        <row r="26">
          <cell r="A26" t="str">
            <v xml:space="preserve"> </v>
          </cell>
        </row>
        <row r="27">
          <cell r="A27" t="str">
            <v xml:space="preserve"> </v>
          </cell>
        </row>
        <row r="28">
          <cell r="A28" t="str">
            <v xml:space="preserve"> </v>
          </cell>
        </row>
        <row r="29">
          <cell r="A29" t="str">
            <v xml:space="preserve">01 </v>
          </cell>
          <cell r="B29" t="str">
            <v>01.000.000.006</v>
          </cell>
          <cell r="H29">
            <v>112.5</v>
          </cell>
        </row>
        <row r="30">
          <cell r="A30" t="str">
            <v xml:space="preserve">01 </v>
          </cell>
          <cell r="B30" t="str">
            <v>01.000.000.006</v>
          </cell>
          <cell r="H30">
            <v>209.25</v>
          </cell>
        </row>
        <row r="31">
          <cell r="A31" t="str">
            <v xml:space="preserve">01 </v>
          </cell>
          <cell r="B31" t="str">
            <v>01.000.000.006</v>
          </cell>
          <cell r="H31">
            <v>67.5</v>
          </cell>
        </row>
        <row r="32">
          <cell r="A32" t="str">
            <v xml:space="preserve">02 </v>
          </cell>
          <cell r="B32" t="str">
            <v>02.000.000.005</v>
          </cell>
          <cell r="H32">
            <v>35</v>
          </cell>
        </row>
        <row r="33">
          <cell r="A33" t="str">
            <v xml:space="preserve">01 </v>
          </cell>
          <cell r="B33" t="str">
            <v>01.000.000.001</v>
          </cell>
          <cell r="H33">
            <v>3654</v>
          </cell>
        </row>
        <row r="34">
          <cell r="A34" t="str">
            <v xml:space="preserve">01 </v>
          </cell>
          <cell r="B34" t="str">
            <v>01.000.000.001</v>
          </cell>
          <cell r="H34">
            <v>3654</v>
          </cell>
        </row>
        <row r="35">
          <cell r="A35" t="str">
            <v xml:space="preserve">01 </v>
          </cell>
          <cell r="B35" t="str">
            <v>01.000.000.001</v>
          </cell>
          <cell r="H35">
            <v>3654</v>
          </cell>
        </row>
        <row r="36">
          <cell r="A36" t="str">
            <v xml:space="preserve">01 </v>
          </cell>
          <cell r="B36" t="str">
            <v>01.000.000.001</v>
          </cell>
          <cell r="H36">
            <v>100</v>
          </cell>
        </row>
        <row r="37">
          <cell r="A37" t="str">
            <v xml:space="preserve">01 </v>
          </cell>
          <cell r="B37" t="str">
            <v>01.000.000.001</v>
          </cell>
          <cell r="H37">
            <v>100</v>
          </cell>
        </row>
        <row r="38">
          <cell r="A38" t="str">
            <v xml:space="preserve">01 </v>
          </cell>
          <cell r="B38" t="str">
            <v>01.000.000.001</v>
          </cell>
          <cell r="H38">
            <v>100</v>
          </cell>
        </row>
        <row r="39">
          <cell r="A39" t="str">
            <v xml:space="preserve">01 </v>
          </cell>
          <cell r="B39" t="str">
            <v>01.000.000.001</v>
          </cell>
          <cell r="H39">
            <v>3654</v>
          </cell>
        </row>
        <row r="40">
          <cell r="A40" t="str">
            <v xml:space="preserve">01 </v>
          </cell>
          <cell r="B40" t="str">
            <v>01.000.000.001</v>
          </cell>
          <cell r="H40">
            <v>60</v>
          </cell>
        </row>
        <row r="41">
          <cell r="A41" t="str">
            <v xml:space="preserve">01 </v>
          </cell>
          <cell r="B41" t="str">
            <v>01.000.000.001</v>
          </cell>
          <cell r="H41">
            <v>60</v>
          </cell>
        </row>
        <row r="42">
          <cell r="A42" t="str">
            <v xml:space="preserve">01 </v>
          </cell>
          <cell r="B42" t="str">
            <v>01.000.000.001</v>
          </cell>
          <cell r="H42">
            <v>60</v>
          </cell>
        </row>
        <row r="43">
          <cell r="A43" t="str">
            <v xml:space="preserve">01 </v>
          </cell>
          <cell r="B43" t="str">
            <v>01.000.000.001</v>
          </cell>
          <cell r="H43">
            <v>186</v>
          </cell>
        </row>
        <row r="44">
          <cell r="A44" t="str">
            <v xml:space="preserve">01 </v>
          </cell>
          <cell r="B44" t="str">
            <v>01.000.000.001</v>
          </cell>
          <cell r="H44">
            <v>186</v>
          </cell>
        </row>
        <row r="45">
          <cell r="A45" t="str">
            <v xml:space="preserve">01 </v>
          </cell>
          <cell r="B45" t="str">
            <v>01.000.000.001</v>
          </cell>
          <cell r="H45">
            <v>186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02 </v>
          </cell>
          <cell r="B48" t="str">
            <v>02.000.000.005</v>
          </cell>
          <cell r="H48">
            <v>1715</v>
          </cell>
        </row>
        <row r="49">
          <cell r="A49" t="str">
            <v xml:space="preserve">01 </v>
          </cell>
          <cell r="B49" t="str">
            <v>01.000.000.001</v>
          </cell>
          <cell r="H49">
            <v>100</v>
          </cell>
        </row>
        <row r="50">
          <cell r="A50" t="str">
            <v xml:space="preserve">01 </v>
          </cell>
          <cell r="B50" t="str">
            <v>01.000.000.001</v>
          </cell>
          <cell r="H50">
            <v>100</v>
          </cell>
        </row>
        <row r="51">
          <cell r="A51" t="str">
            <v xml:space="preserve">01 </v>
          </cell>
          <cell r="B51" t="str">
            <v>01.000.000.001</v>
          </cell>
          <cell r="H51">
            <v>100</v>
          </cell>
        </row>
        <row r="52">
          <cell r="A52" t="str">
            <v xml:space="preserve">01 </v>
          </cell>
          <cell r="B52" t="str">
            <v>01.000.000.001</v>
          </cell>
          <cell r="H52">
            <v>100</v>
          </cell>
        </row>
        <row r="53">
          <cell r="A53" t="str">
            <v xml:space="preserve">01 </v>
          </cell>
          <cell r="B53" t="str">
            <v>01.000.000.001</v>
          </cell>
          <cell r="H53">
            <v>60</v>
          </cell>
        </row>
        <row r="54">
          <cell r="A54" t="str">
            <v xml:space="preserve">01 </v>
          </cell>
          <cell r="B54" t="str">
            <v>01.000.000.001</v>
          </cell>
          <cell r="H54">
            <v>60</v>
          </cell>
        </row>
        <row r="55">
          <cell r="A55" t="str">
            <v xml:space="preserve">01 </v>
          </cell>
          <cell r="B55" t="str">
            <v>01.000.000.001</v>
          </cell>
          <cell r="H55">
            <v>60</v>
          </cell>
        </row>
        <row r="56">
          <cell r="A56" t="str">
            <v xml:space="preserve">01 </v>
          </cell>
          <cell r="B56" t="str">
            <v>01.000.000.001</v>
          </cell>
          <cell r="H56">
            <v>186</v>
          </cell>
        </row>
        <row r="57">
          <cell r="A57" t="str">
            <v xml:space="preserve">01 </v>
          </cell>
          <cell r="B57" t="str">
            <v>01.000.000.001</v>
          </cell>
          <cell r="H57">
            <v>186</v>
          </cell>
        </row>
        <row r="58">
          <cell r="A58" t="str">
            <v xml:space="preserve">01 </v>
          </cell>
          <cell r="B58" t="str">
            <v>01.000.000.001</v>
          </cell>
          <cell r="H58">
            <v>60</v>
          </cell>
        </row>
        <row r="59">
          <cell r="A59" t="str">
            <v xml:space="preserve">01 </v>
          </cell>
          <cell r="B59" t="str">
            <v>01.000.000.001</v>
          </cell>
          <cell r="H59">
            <v>186</v>
          </cell>
        </row>
        <row r="60">
          <cell r="A60" t="str">
            <v xml:space="preserve">01 </v>
          </cell>
          <cell r="B60" t="str">
            <v>01.000.000.001</v>
          </cell>
          <cell r="H60">
            <v>186</v>
          </cell>
        </row>
        <row r="61">
          <cell r="A61" t="str">
            <v xml:space="preserve">01 </v>
          </cell>
          <cell r="B61" t="str">
            <v>01.000.000.005</v>
          </cell>
          <cell r="H61">
            <v>9678</v>
          </cell>
        </row>
        <row r="62">
          <cell r="A62" t="str">
            <v xml:space="preserve"> </v>
          </cell>
        </row>
        <row r="63">
          <cell r="A63" t="str">
            <v xml:space="preserve">01 </v>
          </cell>
          <cell r="B63" t="str">
            <v>01.000.000.006</v>
          </cell>
          <cell r="H63">
            <v>2740.5</v>
          </cell>
        </row>
        <row r="64">
          <cell r="A64" t="str">
            <v xml:space="preserve">01 </v>
          </cell>
          <cell r="B64" t="str">
            <v>01.000.000.006</v>
          </cell>
          <cell r="H64">
            <v>45</v>
          </cell>
        </row>
        <row r="65">
          <cell r="A65" t="str">
            <v xml:space="preserve">01 </v>
          </cell>
          <cell r="B65" t="str">
            <v>01.000.000.006</v>
          </cell>
          <cell r="H65">
            <v>139.5</v>
          </cell>
        </row>
        <row r="66">
          <cell r="A66" t="str">
            <v xml:space="preserve">01 </v>
          </cell>
          <cell r="B66" t="str">
            <v>01.000.000.010</v>
          </cell>
          <cell r="H66">
            <v>1009.68</v>
          </cell>
        </row>
        <row r="67">
          <cell r="A67" t="str">
            <v xml:space="preserve"> </v>
          </cell>
        </row>
        <row r="68">
          <cell r="A68" t="str">
            <v xml:space="preserve">02 </v>
          </cell>
          <cell r="B68" t="str">
            <v>02.000.000.005</v>
          </cell>
          <cell r="H68">
            <v>35</v>
          </cell>
        </row>
        <row r="69">
          <cell r="A69" t="str">
            <v xml:space="preserve">01 </v>
          </cell>
          <cell r="B69" t="str">
            <v>01.000.000.005</v>
          </cell>
          <cell r="H69">
            <v>322</v>
          </cell>
        </row>
        <row r="70">
          <cell r="A70" t="str">
            <v xml:space="preserve"> </v>
          </cell>
        </row>
        <row r="71">
          <cell r="A71" t="str">
            <v xml:space="preserve">01 </v>
          </cell>
          <cell r="B71" t="str">
            <v>01.000.000.006</v>
          </cell>
          <cell r="H71">
            <v>1370.25</v>
          </cell>
        </row>
        <row r="72">
          <cell r="A72" t="str">
            <v xml:space="preserve">01 </v>
          </cell>
          <cell r="B72" t="str">
            <v>01.000.000.006</v>
          </cell>
          <cell r="H72">
            <v>75</v>
          </cell>
        </row>
        <row r="73">
          <cell r="A73" t="str">
            <v xml:space="preserve">01 </v>
          </cell>
          <cell r="B73" t="str">
            <v>01.000.000.006</v>
          </cell>
          <cell r="H73">
            <v>69.75</v>
          </cell>
        </row>
        <row r="74">
          <cell r="A74" t="str">
            <v xml:space="preserve">01 </v>
          </cell>
          <cell r="B74" t="str">
            <v>01.000.000.006</v>
          </cell>
          <cell r="H74">
            <v>22.5</v>
          </cell>
        </row>
        <row r="75">
          <cell r="A75" t="str">
            <v xml:space="preserve">01 </v>
          </cell>
          <cell r="B75" t="str">
            <v>01.000.000.010</v>
          </cell>
          <cell r="H75">
            <v>40.32</v>
          </cell>
        </row>
        <row r="76">
          <cell r="A76" t="str">
            <v xml:space="preserve">02 </v>
          </cell>
          <cell r="B76" t="str">
            <v>02.000.000.001</v>
          </cell>
          <cell r="H76">
            <v>1661.98</v>
          </cell>
        </row>
        <row r="77">
          <cell r="A77" t="str">
            <v xml:space="preserve">03 </v>
          </cell>
          <cell r="B77" t="str">
            <v>03.000.000.004</v>
          </cell>
          <cell r="H77">
            <v>115.03</v>
          </cell>
        </row>
        <row r="78">
          <cell r="A78" t="str">
            <v xml:space="preserve">03 </v>
          </cell>
          <cell r="B78" t="str">
            <v>03.000.000.004</v>
          </cell>
          <cell r="H78">
            <v>503.73</v>
          </cell>
        </row>
        <row r="79">
          <cell r="A79" t="str">
            <v xml:space="preserve">03 </v>
          </cell>
          <cell r="B79" t="str">
            <v>03.001.000.007</v>
          </cell>
          <cell r="H79">
            <v>4060.07</v>
          </cell>
        </row>
        <row r="80">
          <cell r="A80" t="str">
            <v xml:space="preserve">03 </v>
          </cell>
          <cell r="B80" t="str">
            <v>03.002.000.001</v>
          </cell>
          <cell r="H80">
            <v>210</v>
          </cell>
        </row>
        <row r="81">
          <cell r="A81" t="str">
            <v xml:space="preserve">03 </v>
          </cell>
          <cell r="B81" t="str">
            <v>03.002.000.003</v>
          </cell>
          <cell r="H81">
            <v>361.19</v>
          </cell>
        </row>
        <row r="82">
          <cell r="A82" t="str">
            <v xml:space="preserve">03 </v>
          </cell>
          <cell r="B82" t="str">
            <v>03.002.000.004</v>
          </cell>
          <cell r="H82">
            <v>152.81</v>
          </cell>
        </row>
        <row r="83">
          <cell r="A83" t="str">
            <v xml:space="preserve">04 </v>
          </cell>
          <cell r="B83" t="str">
            <v>04.000.000.001</v>
          </cell>
          <cell r="H83">
            <v>23425.55</v>
          </cell>
        </row>
        <row r="84">
          <cell r="A84" t="str">
            <v xml:space="preserve">05 </v>
          </cell>
          <cell r="B84" t="str">
            <v>05.002.000.001</v>
          </cell>
          <cell r="H84">
            <v>2730</v>
          </cell>
        </row>
        <row r="85">
          <cell r="A85" t="str">
            <v xml:space="preserve">01 </v>
          </cell>
          <cell r="B85" t="str">
            <v>01.000.000.001</v>
          </cell>
          <cell r="H85">
            <v>7308</v>
          </cell>
        </row>
        <row r="86">
          <cell r="A86" t="str">
            <v xml:space="preserve">01 </v>
          </cell>
          <cell r="B86" t="str">
            <v>01.000.000.006</v>
          </cell>
          <cell r="H86">
            <v>37.5</v>
          </cell>
        </row>
        <row r="87">
          <cell r="A87" t="str">
            <v xml:space="preserve">02 </v>
          </cell>
          <cell r="B87" t="str">
            <v>02.000.000.001</v>
          </cell>
          <cell r="H87">
            <v>80.81</v>
          </cell>
        </row>
        <row r="88">
          <cell r="A88" t="str">
            <v xml:space="preserve">02 </v>
          </cell>
          <cell r="B88" t="str">
            <v>02.000.000.006</v>
          </cell>
          <cell r="H88">
            <v>1367.1</v>
          </cell>
        </row>
        <row r="89">
          <cell r="A89" t="str">
            <v xml:space="preserve">03 </v>
          </cell>
          <cell r="B89" t="str">
            <v>03.000.000.004</v>
          </cell>
          <cell r="H89">
            <v>1150.4000000000001</v>
          </cell>
        </row>
        <row r="90">
          <cell r="A90" t="str">
            <v xml:space="preserve">03 </v>
          </cell>
          <cell r="B90" t="str">
            <v>03.000.000.004</v>
          </cell>
          <cell r="H90">
            <v>1368.08</v>
          </cell>
        </row>
        <row r="91">
          <cell r="A91" t="str">
            <v xml:space="preserve">03 </v>
          </cell>
          <cell r="B91" t="str">
            <v>03.000.000.004</v>
          </cell>
          <cell r="H91">
            <v>721.47</v>
          </cell>
        </row>
        <row r="92">
          <cell r="A92" t="str">
            <v xml:space="preserve">03 </v>
          </cell>
          <cell r="B92" t="str">
            <v>03.000.000.004</v>
          </cell>
          <cell r="H92">
            <v>101.5</v>
          </cell>
        </row>
        <row r="93">
          <cell r="A93" t="str">
            <v xml:space="preserve">03 </v>
          </cell>
          <cell r="B93" t="str">
            <v>03.001.000.004</v>
          </cell>
          <cell r="H93">
            <v>163.28</v>
          </cell>
        </row>
        <row r="94">
          <cell r="A94" t="str">
            <v xml:space="preserve">03 </v>
          </cell>
          <cell r="B94" t="str">
            <v>03.001.000.005</v>
          </cell>
          <cell r="H94">
            <v>163.28</v>
          </cell>
        </row>
        <row r="95">
          <cell r="A95" t="str">
            <v xml:space="preserve">03 </v>
          </cell>
          <cell r="B95" t="str">
            <v>03.001.000.007</v>
          </cell>
          <cell r="H95">
            <v>269.62</v>
          </cell>
        </row>
        <row r="96">
          <cell r="A96" t="str">
            <v xml:space="preserve">03 </v>
          </cell>
          <cell r="B96" t="str">
            <v>03.001.000.007</v>
          </cell>
          <cell r="H96">
            <v>445.41</v>
          </cell>
        </row>
        <row r="97">
          <cell r="A97" t="str">
            <v xml:space="preserve">03 </v>
          </cell>
          <cell r="B97" t="str">
            <v>03.002.000.003</v>
          </cell>
          <cell r="H97">
            <v>221.94</v>
          </cell>
        </row>
        <row r="98">
          <cell r="A98" t="str">
            <v xml:space="preserve">03 </v>
          </cell>
          <cell r="B98" t="str">
            <v>03.002.000.003</v>
          </cell>
          <cell r="H98">
            <v>73.98</v>
          </cell>
        </row>
        <row r="99">
          <cell r="A99" t="str">
            <v xml:space="preserve">03 </v>
          </cell>
          <cell r="B99" t="str">
            <v>03.002.000.004</v>
          </cell>
          <cell r="H99">
            <v>576</v>
          </cell>
        </row>
        <row r="100">
          <cell r="A100" t="str">
            <v xml:space="preserve">03 </v>
          </cell>
          <cell r="B100" t="str">
            <v>03.002.000.004</v>
          </cell>
          <cell r="H100">
            <v>604</v>
          </cell>
        </row>
        <row r="101">
          <cell r="A101" t="str">
            <v xml:space="preserve">04 </v>
          </cell>
          <cell r="B101" t="str">
            <v>04.000.000.001</v>
          </cell>
          <cell r="H101">
            <v>1285</v>
          </cell>
        </row>
        <row r="102">
          <cell r="A102" t="str">
            <v xml:space="preserve">04 </v>
          </cell>
          <cell r="B102" t="str">
            <v>04.000.000.001</v>
          </cell>
          <cell r="H102">
            <v>989.45</v>
          </cell>
        </row>
        <row r="103">
          <cell r="A103" t="str">
            <v xml:space="preserve">05 </v>
          </cell>
          <cell r="B103" t="str">
            <v>05.002.000.003</v>
          </cell>
          <cell r="H103">
            <v>1239</v>
          </cell>
        </row>
        <row r="104">
          <cell r="A104" t="str">
            <v xml:space="preserve">01 </v>
          </cell>
          <cell r="B104" t="str">
            <v>01.000.000.001</v>
          </cell>
          <cell r="H104">
            <v>200</v>
          </cell>
        </row>
        <row r="105">
          <cell r="A105" t="str">
            <v xml:space="preserve">01 </v>
          </cell>
          <cell r="B105" t="str">
            <v>01.000.000.001</v>
          </cell>
          <cell r="H105">
            <v>120</v>
          </cell>
        </row>
        <row r="106">
          <cell r="A106" t="str">
            <v xml:space="preserve">01 </v>
          </cell>
          <cell r="B106" t="str">
            <v>01.000.000.001</v>
          </cell>
          <cell r="H106">
            <v>372</v>
          </cell>
        </row>
        <row r="107">
          <cell r="A107" t="str">
            <v xml:space="preserve">01 </v>
          </cell>
          <cell r="B107" t="str">
            <v xml:space="preserve">01.000.000.009 </v>
          </cell>
          <cell r="H107">
            <v>1398.37</v>
          </cell>
        </row>
        <row r="108">
          <cell r="A108" t="str">
            <v xml:space="preserve">02 </v>
          </cell>
          <cell r="B108" t="str">
            <v>02.000.000.006</v>
          </cell>
          <cell r="H108">
            <v>32.9</v>
          </cell>
        </row>
        <row r="109">
          <cell r="A109" t="str">
            <v xml:space="preserve">03 </v>
          </cell>
          <cell r="B109" t="str">
            <v>03.000.000.002</v>
          </cell>
          <cell r="H109">
            <v>1347.7</v>
          </cell>
        </row>
        <row r="110">
          <cell r="A110" t="str">
            <v xml:space="preserve">03 </v>
          </cell>
          <cell r="B110" t="str">
            <v>03.000.000.002</v>
          </cell>
          <cell r="H110">
            <v>1</v>
          </cell>
        </row>
        <row r="111">
          <cell r="A111" t="str">
            <v xml:space="preserve">03 </v>
          </cell>
          <cell r="B111" t="str">
            <v>03.000.000.004</v>
          </cell>
          <cell r="H111">
            <v>34.15</v>
          </cell>
        </row>
        <row r="112">
          <cell r="A112" t="str">
            <v xml:space="preserve">03 </v>
          </cell>
          <cell r="B112" t="str">
            <v>03.000.000.004</v>
          </cell>
          <cell r="H112">
            <v>60</v>
          </cell>
        </row>
        <row r="113">
          <cell r="A113" t="str">
            <v xml:space="preserve">03 </v>
          </cell>
          <cell r="B113" t="str">
            <v>03.000.000.004</v>
          </cell>
          <cell r="H113">
            <v>46.2</v>
          </cell>
        </row>
        <row r="114">
          <cell r="A114" t="str">
            <v xml:space="preserve">03 </v>
          </cell>
          <cell r="B114" t="str">
            <v>03.001.000.001</v>
          </cell>
          <cell r="H114">
            <v>271.04000000000002</v>
          </cell>
        </row>
        <row r="115">
          <cell r="A115" t="str">
            <v xml:space="preserve">03 </v>
          </cell>
          <cell r="B115" t="str">
            <v>03.001.000.003</v>
          </cell>
          <cell r="H115">
            <v>271.04000000000002</v>
          </cell>
        </row>
        <row r="116">
          <cell r="A116" t="str">
            <v xml:space="preserve">03 </v>
          </cell>
          <cell r="B116" t="str">
            <v>03.002.000.002</v>
          </cell>
        </row>
        <row r="117">
          <cell r="A117" t="str">
            <v xml:space="preserve">03 </v>
          </cell>
          <cell r="B117" t="str">
            <v>03.002.000.003</v>
          </cell>
          <cell r="H117">
            <v>962.38</v>
          </cell>
        </row>
        <row r="118">
          <cell r="A118" t="str">
            <v xml:space="preserve">03 </v>
          </cell>
          <cell r="B118" t="str">
            <v>03.002.000.004</v>
          </cell>
          <cell r="H118">
            <v>55.25</v>
          </cell>
        </row>
        <row r="119">
          <cell r="A119" t="str">
            <v xml:space="preserve">05 </v>
          </cell>
          <cell r="B119" t="str">
            <v xml:space="preserve">05.002.000.006 </v>
          </cell>
          <cell r="H119">
            <v>583.73</v>
          </cell>
        </row>
        <row r="120">
          <cell r="A120" t="str">
            <v xml:space="preserve">05 </v>
          </cell>
          <cell r="B120" t="str">
            <v xml:space="preserve">05.002.000.006 </v>
          </cell>
          <cell r="H120">
            <v>1427.02</v>
          </cell>
        </row>
        <row r="121">
          <cell r="A121" t="str">
            <v xml:space="preserve">05 </v>
          </cell>
          <cell r="B121" t="str">
            <v xml:space="preserve">05.002.000.006 </v>
          </cell>
          <cell r="H121">
            <v>1364.64</v>
          </cell>
        </row>
        <row r="122">
          <cell r="A122" t="str">
            <v xml:space="preserve">05 </v>
          </cell>
          <cell r="B122" t="str">
            <v>05.002.000.006</v>
          </cell>
          <cell r="H122">
            <v>4847.25</v>
          </cell>
        </row>
        <row r="123">
          <cell r="A123" t="str">
            <v xml:space="preserve">05 </v>
          </cell>
          <cell r="B123" t="str">
            <v>05.002.000.006</v>
          </cell>
          <cell r="H123">
            <v>1982.79</v>
          </cell>
        </row>
        <row r="124">
          <cell r="A124" t="str">
            <v xml:space="preserve">05 </v>
          </cell>
          <cell r="B124" t="str">
            <v>05.002.000.006</v>
          </cell>
          <cell r="H124">
            <v>4635.3599999999997</v>
          </cell>
        </row>
        <row r="125">
          <cell r="A125" t="str">
            <v xml:space="preserve">05 </v>
          </cell>
          <cell r="B125" t="str">
            <v>05.003.001.001</v>
          </cell>
          <cell r="H125">
            <v>950</v>
          </cell>
        </row>
        <row r="126">
          <cell r="A126" t="str">
            <v xml:space="preserve">05 </v>
          </cell>
          <cell r="B126" t="str">
            <v>05.003.001.001</v>
          </cell>
          <cell r="H126">
            <v>2577</v>
          </cell>
        </row>
        <row r="127">
          <cell r="A127" t="str">
            <v xml:space="preserve">05 </v>
          </cell>
          <cell r="B127" t="str">
            <v>05.003.001.002</v>
          </cell>
          <cell r="H127">
            <v>92.58</v>
          </cell>
        </row>
        <row r="128">
          <cell r="A128" t="str">
            <v xml:space="preserve">01 </v>
          </cell>
          <cell r="B128" t="str">
            <v>01.000.000.005</v>
          </cell>
          <cell r="H128">
            <v>4881.5</v>
          </cell>
        </row>
        <row r="129">
          <cell r="A129" t="str">
            <v xml:space="preserve">01 </v>
          </cell>
          <cell r="B129" t="str">
            <v xml:space="preserve">01.000.000.009 </v>
          </cell>
          <cell r="H129">
            <v>70.13</v>
          </cell>
        </row>
        <row r="130">
          <cell r="A130" t="str">
            <v xml:space="preserve">01 </v>
          </cell>
          <cell r="B130" t="str">
            <v xml:space="preserve">01.000.000.009 </v>
          </cell>
          <cell r="H130">
            <v>193.47</v>
          </cell>
        </row>
        <row r="131">
          <cell r="A131" t="str">
            <v xml:space="preserve">01 </v>
          </cell>
          <cell r="B131" t="str">
            <v>01.000.000.007</v>
          </cell>
          <cell r="H131">
            <v>1851.08</v>
          </cell>
        </row>
        <row r="132">
          <cell r="A132" t="str">
            <v xml:space="preserve">03 </v>
          </cell>
          <cell r="B132" t="str">
            <v>03.001.000.001</v>
          </cell>
          <cell r="H132">
            <v>714</v>
          </cell>
        </row>
        <row r="133">
          <cell r="A133" t="str">
            <v xml:space="preserve">03 </v>
          </cell>
          <cell r="B133" t="str">
            <v>03.001.000.005</v>
          </cell>
          <cell r="H133">
            <v>41.13</v>
          </cell>
        </row>
        <row r="134">
          <cell r="A134" t="str">
            <v xml:space="preserve">03 </v>
          </cell>
          <cell r="B134" t="str">
            <v>03.001.000.007</v>
          </cell>
          <cell r="H134">
            <v>83</v>
          </cell>
        </row>
        <row r="135">
          <cell r="A135" t="str">
            <v xml:space="preserve">03 </v>
          </cell>
          <cell r="B135" t="str">
            <v>03.001.000.007</v>
          </cell>
          <cell r="H135">
            <v>252.41</v>
          </cell>
        </row>
        <row r="136">
          <cell r="A136" t="str">
            <v xml:space="preserve">03 </v>
          </cell>
          <cell r="B136" t="str">
            <v>03.001.000.007</v>
          </cell>
          <cell r="H136">
            <v>343.4</v>
          </cell>
        </row>
        <row r="137">
          <cell r="A137" t="str">
            <v xml:space="preserve">03 </v>
          </cell>
          <cell r="B137" t="str">
            <v>03.001.000.007</v>
          </cell>
          <cell r="H137">
            <v>224.5</v>
          </cell>
        </row>
        <row r="138">
          <cell r="A138" t="str">
            <v xml:space="preserve">03 </v>
          </cell>
          <cell r="B138" t="str">
            <v>03.002.000.002</v>
          </cell>
        </row>
        <row r="139">
          <cell r="A139" t="str">
            <v xml:space="preserve">03 </v>
          </cell>
          <cell r="B139" t="str">
            <v>03.002.000.003</v>
          </cell>
          <cell r="H139">
            <v>27.62</v>
          </cell>
        </row>
        <row r="140">
          <cell r="A140" t="str">
            <v xml:space="preserve">03 </v>
          </cell>
          <cell r="B140" t="str">
            <v>03.002.000.004</v>
          </cell>
          <cell r="H140">
            <v>391.25</v>
          </cell>
        </row>
        <row r="141">
          <cell r="A141" t="str">
            <v xml:space="preserve">05 </v>
          </cell>
          <cell r="B141" t="str">
            <v xml:space="preserve">05.002.000.002 </v>
          </cell>
          <cell r="H141">
            <v>10682.63</v>
          </cell>
        </row>
        <row r="142">
          <cell r="A142" t="str">
            <v xml:space="preserve">05 </v>
          </cell>
          <cell r="B142" t="str">
            <v xml:space="preserve">05.002.000.006 </v>
          </cell>
          <cell r="H142">
            <v>34.75</v>
          </cell>
        </row>
        <row r="143">
          <cell r="A143" t="str">
            <v xml:space="preserve">05 </v>
          </cell>
          <cell r="B143" t="str">
            <v xml:space="preserve">05.002.000.006 </v>
          </cell>
          <cell r="H143">
            <v>79.16</v>
          </cell>
        </row>
        <row r="144">
          <cell r="A144" t="str">
            <v xml:space="preserve">05 </v>
          </cell>
          <cell r="B144" t="str">
            <v xml:space="preserve">05.002.000.002 </v>
          </cell>
          <cell r="H144">
            <v>15097.5</v>
          </cell>
        </row>
        <row r="145">
          <cell r="A145" t="str">
            <v xml:space="preserve">05 </v>
          </cell>
          <cell r="B145" t="str">
            <v>05.002.000.003</v>
          </cell>
          <cell r="H145">
            <v>177.75</v>
          </cell>
        </row>
        <row r="146">
          <cell r="A146" t="str">
            <v xml:space="preserve">05 </v>
          </cell>
          <cell r="B146" t="str">
            <v>05.002.000.003</v>
          </cell>
          <cell r="H146">
            <v>264.51</v>
          </cell>
        </row>
        <row r="147">
          <cell r="A147" t="str">
            <v xml:space="preserve">05 </v>
          </cell>
          <cell r="B147" t="str">
            <v>05.002.000.003</v>
          </cell>
          <cell r="H147">
            <v>520.83000000000004</v>
          </cell>
        </row>
        <row r="148">
          <cell r="A148" t="str">
            <v xml:space="preserve">05 </v>
          </cell>
          <cell r="B148" t="str">
            <v>05.002.000.004</v>
          </cell>
          <cell r="H148">
            <v>8089.28</v>
          </cell>
        </row>
        <row r="149">
          <cell r="A149" t="str">
            <v xml:space="preserve">05 </v>
          </cell>
          <cell r="B149" t="str">
            <v>05.002.000.006</v>
          </cell>
          <cell r="H149">
            <v>118.02</v>
          </cell>
        </row>
        <row r="150">
          <cell r="A150" t="str">
            <v xml:space="preserve">05 </v>
          </cell>
          <cell r="B150" t="str">
            <v>05.002.000.006</v>
          </cell>
          <cell r="H150">
            <v>268.89999999999998</v>
          </cell>
        </row>
        <row r="151">
          <cell r="A151" t="str">
            <v xml:space="preserve">05 </v>
          </cell>
          <cell r="B151" t="str">
            <v>05.003.001.001</v>
          </cell>
          <cell r="H151">
            <v>2070</v>
          </cell>
        </row>
        <row r="152">
          <cell r="A152" t="str">
            <v xml:space="preserve">05 </v>
          </cell>
          <cell r="B152" t="str">
            <v>05.003.001.002</v>
          </cell>
          <cell r="H152">
            <v>588.98</v>
          </cell>
        </row>
        <row r="153">
          <cell r="A153" t="str">
            <v xml:space="preserve">03 </v>
          </cell>
          <cell r="B153" t="str">
            <v xml:space="preserve">03.000.000.002 </v>
          </cell>
          <cell r="H153">
            <v>84</v>
          </cell>
        </row>
        <row r="154">
          <cell r="A154" t="str">
            <v xml:space="preserve">03 </v>
          </cell>
          <cell r="B154" t="str">
            <v xml:space="preserve">03.000.000.004 </v>
          </cell>
          <cell r="H154">
            <v>26.9</v>
          </cell>
        </row>
        <row r="155">
          <cell r="A155" t="str">
            <v xml:space="preserve">04 </v>
          </cell>
          <cell r="B155" t="str">
            <v>04.000.000.001</v>
          </cell>
          <cell r="H155">
            <v>840</v>
          </cell>
        </row>
        <row r="156">
          <cell r="A156" t="str">
            <v xml:space="preserve">16 </v>
          </cell>
          <cell r="B156" t="str">
            <v>16.000.000.011</v>
          </cell>
          <cell r="H156">
            <v>18545.7</v>
          </cell>
        </row>
        <row r="157">
          <cell r="A157" t="str">
            <v xml:space="preserve">20 </v>
          </cell>
          <cell r="B157" t="str">
            <v>20.002.000.002</v>
          </cell>
        </row>
        <row r="158">
          <cell r="A158" t="str">
            <v xml:space="preserve">01 </v>
          </cell>
          <cell r="B158" t="str">
            <v>01.000.000.002</v>
          </cell>
          <cell r="H158">
            <v>3083.05</v>
          </cell>
        </row>
        <row r="159">
          <cell r="A159" t="str">
            <v xml:space="preserve">01 </v>
          </cell>
          <cell r="B159" t="str">
            <v>01.000.000.005</v>
          </cell>
          <cell r="H159">
            <v>118.5</v>
          </cell>
        </row>
        <row r="160">
          <cell r="A160" t="str">
            <v xml:space="preserve">01 </v>
          </cell>
          <cell r="B160" t="str">
            <v>01.000.000.006</v>
          </cell>
          <cell r="H160">
            <v>8449.8700000000008</v>
          </cell>
        </row>
        <row r="161">
          <cell r="A161" t="str">
            <v xml:space="preserve">01 </v>
          </cell>
          <cell r="B161" t="str">
            <v>01.000.000.007</v>
          </cell>
          <cell r="H161">
            <v>73.92</v>
          </cell>
        </row>
        <row r="162">
          <cell r="A162" t="str">
            <v xml:space="preserve">03 </v>
          </cell>
          <cell r="B162" t="str">
            <v>03.000.000.002</v>
          </cell>
          <cell r="H162">
            <v>507.53</v>
          </cell>
        </row>
        <row r="163">
          <cell r="A163" t="str">
            <v xml:space="preserve">03 </v>
          </cell>
          <cell r="B163" t="str">
            <v>03.000.000.002</v>
          </cell>
          <cell r="H163">
            <v>64.36</v>
          </cell>
        </row>
        <row r="164">
          <cell r="A164" t="str">
            <v xml:space="preserve">03 </v>
          </cell>
          <cell r="B164" t="str">
            <v>03.000.000.004</v>
          </cell>
          <cell r="H164">
            <v>762.97</v>
          </cell>
        </row>
        <row r="165">
          <cell r="A165" t="str">
            <v xml:space="preserve">03 </v>
          </cell>
          <cell r="B165" t="str">
            <v>03.000.000.004</v>
          </cell>
          <cell r="H165">
            <v>764.73</v>
          </cell>
        </row>
        <row r="166">
          <cell r="A166" t="str">
            <v xml:space="preserve">03 </v>
          </cell>
          <cell r="B166" t="str">
            <v>03.001.000.001</v>
          </cell>
          <cell r="H166">
            <v>1784.27</v>
          </cell>
        </row>
        <row r="167">
          <cell r="A167" t="str">
            <v xml:space="preserve">03 </v>
          </cell>
          <cell r="B167" t="str">
            <v>03.001.000.003</v>
          </cell>
          <cell r="H167">
            <v>1564.21</v>
          </cell>
        </row>
        <row r="168">
          <cell r="A168" t="str">
            <v xml:space="preserve">03 </v>
          </cell>
          <cell r="B168" t="str">
            <v>03.001.000.004</v>
          </cell>
          <cell r="H168">
            <v>1124.08</v>
          </cell>
        </row>
        <row r="169">
          <cell r="A169" t="str">
            <v xml:space="preserve">03 </v>
          </cell>
          <cell r="B169" t="str">
            <v>03.001.000.007</v>
          </cell>
          <cell r="H169">
            <v>25.5</v>
          </cell>
        </row>
        <row r="170">
          <cell r="A170" t="str">
            <v xml:space="preserve">03 </v>
          </cell>
          <cell r="B170" t="str">
            <v>03.001.000.007</v>
          </cell>
          <cell r="H170">
            <v>685</v>
          </cell>
        </row>
        <row r="171">
          <cell r="A171" t="str">
            <v xml:space="preserve">03 </v>
          </cell>
          <cell r="B171" t="str">
            <v>03.001.000.007</v>
          </cell>
          <cell r="H171">
            <v>193.4</v>
          </cell>
        </row>
        <row r="172">
          <cell r="A172" t="str">
            <v xml:space="preserve">03 </v>
          </cell>
          <cell r="B172" t="str">
            <v>03.001.000.007</v>
          </cell>
          <cell r="H172">
            <v>237.86</v>
          </cell>
        </row>
        <row r="173">
          <cell r="A173" t="str">
            <v xml:space="preserve">03 </v>
          </cell>
          <cell r="B173" t="str">
            <v>03.001.000.007</v>
          </cell>
          <cell r="H173">
            <v>62.02</v>
          </cell>
        </row>
        <row r="174">
          <cell r="A174" t="str">
            <v xml:space="preserve">03 </v>
          </cell>
          <cell r="B174" t="str">
            <v>03.001.000.007</v>
          </cell>
          <cell r="H174">
            <v>276.44</v>
          </cell>
        </row>
        <row r="175">
          <cell r="A175" t="str">
            <v xml:space="preserve">03 </v>
          </cell>
          <cell r="B175" t="str">
            <v>03.002.000.002</v>
          </cell>
        </row>
        <row r="176">
          <cell r="A176" t="str">
            <v xml:space="preserve">03 </v>
          </cell>
          <cell r="B176" t="str">
            <v>03.002.000.003</v>
          </cell>
          <cell r="H176">
            <v>2153.7600000000002</v>
          </cell>
        </row>
        <row r="177">
          <cell r="A177" t="str">
            <v xml:space="preserve">03 </v>
          </cell>
          <cell r="B177" t="str">
            <v>03.002.000.004</v>
          </cell>
          <cell r="H177">
            <v>7526.16</v>
          </cell>
        </row>
        <row r="178">
          <cell r="A178" t="str">
            <v xml:space="preserve">04 </v>
          </cell>
          <cell r="B178" t="str">
            <v>04.000.000.001</v>
          </cell>
          <cell r="H178">
            <v>297.08999999999997</v>
          </cell>
        </row>
        <row r="179">
          <cell r="A179" t="str">
            <v xml:space="preserve">05 </v>
          </cell>
          <cell r="B179" t="str">
            <v xml:space="preserve">05.002.000.002 </v>
          </cell>
          <cell r="H179">
            <v>583.75</v>
          </cell>
        </row>
        <row r="180">
          <cell r="A180" t="str">
            <v xml:space="preserve">05 </v>
          </cell>
          <cell r="B180" t="str">
            <v xml:space="preserve">05.002.000.002 </v>
          </cell>
          <cell r="H180">
            <v>408.62</v>
          </cell>
        </row>
        <row r="181">
          <cell r="A181" t="str">
            <v xml:space="preserve">05 </v>
          </cell>
          <cell r="B181" t="str">
            <v xml:space="preserve">05.002.000.004 </v>
          </cell>
          <cell r="H181">
            <v>364</v>
          </cell>
        </row>
        <row r="182">
          <cell r="A182" t="str">
            <v xml:space="preserve">05 </v>
          </cell>
          <cell r="B182" t="str">
            <v xml:space="preserve">05.002.000.004 </v>
          </cell>
          <cell r="H182">
            <v>940.68</v>
          </cell>
        </row>
        <row r="183">
          <cell r="A183" t="str">
            <v xml:space="preserve">05 </v>
          </cell>
          <cell r="B183" t="str">
            <v xml:space="preserve">05.001.000.005 </v>
          </cell>
          <cell r="H183">
            <v>13679.98</v>
          </cell>
        </row>
        <row r="184">
          <cell r="A184" t="str">
            <v xml:space="preserve">05 </v>
          </cell>
          <cell r="B184" t="str">
            <v xml:space="preserve">05.001.000.005 </v>
          </cell>
          <cell r="H184">
            <v>5726.59</v>
          </cell>
        </row>
        <row r="185">
          <cell r="A185" t="str">
            <v xml:space="preserve">05 </v>
          </cell>
          <cell r="B185" t="str">
            <v xml:space="preserve">05.002.000.003 </v>
          </cell>
          <cell r="H185">
            <v>1982.68</v>
          </cell>
        </row>
        <row r="186">
          <cell r="A186" t="str">
            <v xml:space="preserve">05 </v>
          </cell>
          <cell r="B186" t="str">
            <v xml:space="preserve">05.002.000.003 </v>
          </cell>
          <cell r="H186">
            <v>530</v>
          </cell>
        </row>
        <row r="187">
          <cell r="A187" t="str">
            <v xml:space="preserve">05 </v>
          </cell>
          <cell r="B187" t="str">
            <v xml:space="preserve">05.002.000.006 </v>
          </cell>
          <cell r="H187">
            <v>397.86</v>
          </cell>
        </row>
        <row r="188">
          <cell r="A188" t="str">
            <v xml:space="preserve">05 </v>
          </cell>
          <cell r="B188" t="str">
            <v xml:space="preserve">05.002.000.006 </v>
          </cell>
          <cell r="H188">
            <v>1016.09</v>
          </cell>
        </row>
        <row r="189">
          <cell r="A189" t="str">
            <v xml:space="preserve">05 </v>
          </cell>
          <cell r="B189" t="str">
            <v>05.002.000.001</v>
          </cell>
          <cell r="H189">
            <v>825</v>
          </cell>
        </row>
        <row r="190">
          <cell r="A190" t="str">
            <v xml:space="preserve">05 </v>
          </cell>
          <cell r="B190" t="str">
            <v>05.002.000.001</v>
          </cell>
          <cell r="H190">
            <v>1700</v>
          </cell>
        </row>
        <row r="191">
          <cell r="A191" t="str">
            <v xml:space="preserve">05 </v>
          </cell>
          <cell r="B191" t="str">
            <v xml:space="preserve">05.002.000.002 </v>
          </cell>
          <cell r="H191">
            <v>10625.99</v>
          </cell>
        </row>
        <row r="192">
          <cell r="A192" t="str">
            <v xml:space="preserve">05 </v>
          </cell>
          <cell r="B192" t="str">
            <v xml:space="preserve">05.002.000.002 </v>
          </cell>
          <cell r="H192">
            <v>577.5</v>
          </cell>
        </row>
        <row r="193">
          <cell r="A193" t="str">
            <v xml:space="preserve">05 </v>
          </cell>
          <cell r="B193" t="str">
            <v>05.002.000.001</v>
          </cell>
          <cell r="H193">
            <v>17923.599999999999</v>
          </cell>
        </row>
        <row r="194">
          <cell r="A194" t="str">
            <v xml:space="preserve">05 </v>
          </cell>
          <cell r="B194" t="str">
            <v>05.002.000.002</v>
          </cell>
          <cell r="H194">
            <v>9150</v>
          </cell>
        </row>
        <row r="195">
          <cell r="A195" t="str">
            <v xml:space="preserve">05 </v>
          </cell>
          <cell r="B195" t="str">
            <v>05.002.000.003</v>
          </cell>
          <cell r="H195">
            <v>6319.94</v>
          </cell>
        </row>
        <row r="196">
          <cell r="A196" t="str">
            <v xml:space="preserve">05 </v>
          </cell>
          <cell r="B196" t="str">
            <v>05.002.000.003</v>
          </cell>
          <cell r="H196">
            <v>3492.47</v>
          </cell>
        </row>
        <row r="197">
          <cell r="A197" t="str">
            <v xml:space="preserve">05 </v>
          </cell>
          <cell r="B197" t="str">
            <v>05.002.000.003</v>
          </cell>
          <cell r="H197">
            <v>3761.22</v>
          </cell>
        </row>
        <row r="198">
          <cell r="A198" t="str">
            <v xml:space="preserve">05 </v>
          </cell>
          <cell r="B198" t="str">
            <v>05.002.000.003</v>
          </cell>
          <cell r="H198">
            <v>1449</v>
          </cell>
        </row>
        <row r="199">
          <cell r="A199" t="str">
            <v xml:space="preserve">05 </v>
          </cell>
          <cell r="B199" t="str">
            <v>05.002.000.003</v>
          </cell>
          <cell r="H199">
            <v>8396.18</v>
          </cell>
        </row>
        <row r="200">
          <cell r="A200" t="str">
            <v xml:space="preserve">05 </v>
          </cell>
          <cell r="B200" t="str">
            <v>05.002.000.003</v>
          </cell>
          <cell r="H200">
            <v>4746</v>
          </cell>
        </row>
        <row r="201">
          <cell r="A201" t="str">
            <v xml:space="preserve">05 </v>
          </cell>
          <cell r="B201" t="str">
            <v>05.002.000.003</v>
          </cell>
          <cell r="H201">
            <v>4443.49</v>
          </cell>
        </row>
        <row r="202">
          <cell r="A202" t="str">
            <v xml:space="preserve">05 </v>
          </cell>
          <cell r="B202" t="str">
            <v>05.002.000.003</v>
          </cell>
          <cell r="H202">
            <v>1519</v>
          </cell>
        </row>
        <row r="203">
          <cell r="A203" t="str">
            <v xml:space="preserve">05 </v>
          </cell>
          <cell r="B203" t="str">
            <v>05.002.000.003</v>
          </cell>
          <cell r="H203">
            <v>7178</v>
          </cell>
        </row>
        <row r="204">
          <cell r="A204" t="str">
            <v xml:space="preserve">05 </v>
          </cell>
          <cell r="B204" t="str">
            <v>05.002.000.004</v>
          </cell>
          <cell r="H204">
            <v>13679.98</v>
          </cell>
        </row>
        <row r="205">
          <cell r="A205" t="str">
            <v xml:space="preserve">05 </v>
          </cell>
          <cell r="B205" t="str">
            <v>05.002.000.004</v>
          </cell>
          <cell r="H205">
            <v>5726.59</v>
          </cell>
        </row>
        <row r="206">
          <cell r="A206" t="str">
            <v xml:space="preserve">05 </v>
          </cell>
          <cell r="B206" t="str">
            <v>05.002.000.006</v>
          </cell>
          <cell r="H206">
            <v>1351.45</v>
          </cell>
        </row>
        <row r="207">
          <cell r="A207" t="str">
            <v xml:space="preserve">05 </v>
          </cell>
          <cell r="B207" t="str">
            <v>05.002.000.006</v>
          </cell>
          <cell r="H207">
            <v>3451.41</v>
          </cell>
        </row>
        <row r="208">
          <cell r="A208" t="str">
            <v xml:space="preserve">05 </v>
          </cell>
          <cell r="B208" t="str">
            <v>05.003.001.001</v>
          </cell>
          <cell r="H208">
            <v>94.52</v>
          </cell>
        </row>
        <row r="209">
          <cell r="A209" t="str">
            <v xml:space="preserve">05 </v>
          </cell>
          <cell r="B209" t="str">
            <v>05.003.001.001</v>
          </cell>
          <cell r="H209">
            <v>684</v>
          </cell>
        </row>
        <row r="210">
          <cell r="A210" t="str">
            <v xml:space="preserve">05 </v>
          </cell>
          <cell r="B210" t="str">
            <v xml:space="preserve">05.002.000.004 </v>
          </cell>
          <cell r="H210">
            <v>524.37</v>
          </cell>
        </row>
        <row r="211">
          <cell r="A211" t="str">
            <v xml:space="preserve">03 </v>
          </cell>
          <cell r="B211" t="str">
            <v xml:space="preserve">03.000.000.002 </v>
          </cell>
          <cell r="H211">
            <v>3952.53</v>
          </cell>
        </row>
        <row r="212">
          <cell r="A212" t="str">
            <v xml:space="preserve">03 </v>
          </cell>
          <cell r="B212" t="str">
            <v xml:space="preserve">03.000.000.002 </v>
          </cell>
          <cell r="H212">
            <v>88.03</v>
          </cell>
        </row>
        <row r="213">
          <cell r="A213" t="str">
            <v xml:space="preserve">16 </v>
          </cell>
          <cell r="B213" t="str">
            <v>16.000.000.011</v>
          </cell>
          <cell r="H213">
            <v>18537.759999999998</v>
          </cell>
        </row>
        <row r="214">
          <cell r="A214" t="str">
            <v xml:space="preserve">02 </v>
          </cell>
          <cell r="B214" t="str">
            <v>02.000.000.004</v>
          </cell>
          <cell r="H214">
            <v>216.6</v>
          </cell>
        </row>
        <row r="215">
          <cell r="A215" t="str">
            <v xml:space="preserve">02 </v>
          </cell>
          <cell r="B215" t="str">
            <v>02.000.000.004</v>
          </cell>
          <cell r="H215">
            <v>228</v>
          </cell>
        </row>
        <row r="216">
          <cell r="A216" t="str">
            <v xml:space="preserve">03 </v>
          </cell>
          <cell r="B216" t="str">
            <v>03.000.000.004</v>
          </cell>
          <cell r="H216">
            <v>745.31</v>
          </cell>
        </row>
        <row r="217">
          <cell r="A217" t="str">
            <v xml:space="preserve">03 </v>
          </cell>
          <cell r="B217" t="str">
            <v>03.001.000.007</v>
          </cell>
          <cell r="H217">
            <v>165.96</v>
          </cell>
        </row>
        <row r="218">
          <cell r="A218" t="str">
            <v xml:space="preserve">05 </v>
          </cell>
          <cell r="B218" t="str">
            <v xml:space="preserve">05.002.000.002 </v>
          </cell>
          <cell r="H218">
            <v>4038</v>
          </cell>
        </row>
        <row r="219">
          <cell r="A219" t="str">
            <v xml:space="preserve">05 </v>
          </cell>
          <cell r="B219" t="str">
            <v>05.002.000.001</v>
          </cell>
          <cell r="H219">
            <v>10075.41</v>
          </cell>
        </row>
        <row r="220">
          <cell r="A220" t="str">
            <v xml:space="preserve">05 </v>
          </cell>
          <cell r="B220" t="str">
            <v>05.002.000.001</v>
          </cell>
          <cell r="H220">
            <v>1520</v>
          </cell>
        </row>
        <row r="221">
          <cell r="A221" t="str">
            <v xml:space="preserve">05 </v>
          </cell>
          <cell r="B221" t="str">
            <v>05.002.000.003</v>
          </cell>
          <cell r="H221">
            <v>11713.24</v>
          </cell>
        </row>
        <row r="222">
          <cell r="A222" t="str">
            <v xml:space="preserve">04 </v>
          </cell>
          <cell r="B222" t="str">
            <v>04.000.000.001</v>
          </cell>
          <cell r="H222">
            <v>400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  <row r="1089">
          <cell r="A1089" t="str">
            <v xml:space="preserve"> </v>
          </cell>
        </row>
        <row r="1090">
          <cell r="A1090" t="str">
            <v xml:space="preserve"> </v>
          </cell>
        </row>
        <row r="1091">
          <cell r="A1091" t="str">
            <v xml:space="preserve"> </v>
          </cell>
        </row>
        <row r="1092">
          <cell r="A1092" t="str">
            <v xml:space="preserve"> </v>
          </cell>
        </row>
        <row r="1093">
          <cell r="A1093" t="str">
            <v xml:space="preserve"> </v>
          </cell>
        </row>
        <row r="1094">
          <cell r="A1094" t="str">
            <v xml:space="preserve"> </v>
          </cell>
        </row>
        <row r="1095">
          <cell r="A1095" t="str">
            <v xml:space="preserve"> </v>
          </cell>
        </row>
        <row r="1096">
          <cell r="A1096" t="str">
            <v xml:space="preserve"> </v>
          </cell>
        </row>
        <row r="1097">
          <cell r="A1097" t="str">
            <v xml:space="preserve"> </v>
          </cell>
        </row>
        <row r="1098">
          <cell r="A1098" t="str">
            <v xml:space="preserve"> </v>
          </cell>
        </row>
        <row r="1099">
          <cell r="A1099" t="str">
            <v xml:space="preserve"> </v>
          </cell>
        </row>
        <row r="1100">
          <cell r="A1100" t="str">
            <v xml:space="preserve"> </v>
          </cell>
        </row>
        <row r="1101">
          <cell r="A1101" t="str">
            <v xml:space="preserve"> </v>
          </cell>
        </row>
        <row r="1102">
          <cell r="A1102" t="str">
            <v xml:space="preserve"> </v>
          </cell>
        </row>
        <row r="1103">
          <cell r="A1103" t="str">
            <v xml:space="preserve"> </v>
          </cell>
        </row>
        <row r="1104">
          <cell r="A1104" t="str">
            <v xml:space="preserve"> </v>
          </cell>
        </row>
        <row r="1105">
          <cell r="A1105" t="str">
            <v xml:space="preserve"> </v>
          </cell>
        </row>
        <row r="1106">
          <cell r="A1106" t="str">
            <v xml:space="preserve"> </v>
          </cell>
        </row>
        <row r="1107">
          <cell r="A1107" t="str">
            <v xml:space="preserve"> </v>
          </cell>
        </row>
        <row r="1108">
          <cell r="A1108" t="str">
            <v xml:space="preserve"> </v>
          </cell>
        </row>
        <row r="1109">
          <cell r="A1109" t="str">
            <v xml:space="preserve"> </v>
          </cell>
        </row>
        <row r="1110">
          <cell r="A1110" t="str">
            <v xml:space="preserve"> </v>
          </cell>
        </row>
        <row r="1111">
          <cell r="A1111" t="str">
            <v xml:space="preserve"> </v>
          </cell>
        </row>
        <row r="1112">
          <cell r="A1112" t="str">
            <v xml:space="preserve"> </v>
          </cell>
        </row>
        <row r="1113">
          <cell r="A1113" t="str">
            <v xml:space="preserve"> </v>
          </cell>
        </row>
        <row r="1114">
          <cell r="A1114" t="str">
            <v xml:space="preserve"> </v>
          </cell>
        </row>
        <row r="1115">
          <cell r="A1115" t="str">
            <v xml:space="preserve"> </v>
          </cell>
        </row>
        <row r="1116">
          <cell r="A1116" t="str">
            <v xml:space="preserve"> </v>
          </cell>
        </row>
        <row r="1117">
          <cell r="A1117" t="str">
            <v xml:space="preserve"> </v>
          </cell>
        </row>
        <row r="1118">
          <cell r="A1118" t="str">
            <v xml:space="preserve"> </v>
          </cell>
        </row>
        <row r="1119">
          <cell r="A1119" t="str">
            <v xml:space="preserve"> </v>
          </cell>
        </row>
        <row r="1120">
          <cell r="A1120" t="str">
            <v xml:space="preserve"> </v>
          </cell>
        </row>
        <row r="1121">
          <cell r="A1121" t="str">
            <v xml:space="preserve"> </v>
          </cell>
        </row>
        <row r="1122">
          <cell r="A1122" t="str">
            <v xml:space="preserve"> </v>
          </cell>
        </row>
        <row r="1123">
          <cell r="A1123" t="str">
            <v xml:space="preserve"> </v>
          </cell>
        </row>
        <row r="1124">
          <cell r="A1124" t="str">
            <v xml:space="preserve"> </v>
          </cell>
        </row>
        <row r="1125">
          <cell r="A1125" t="str">
            <v xml:space="preserve"> </v>
          </cell>
        </row>
        <row r="1126">
          <cell r="A1126" t="str">
            <v xml:space="preserve"> </v>
          </cell>
        </row>
        <row r="1127">
          <cell r="A1127" t="str">
            <v xml:space="preserve"> </v>
          </cell>
        </row>
        <row r="1128">
          <cell r="A1128" t="str">
            <v xml:space="preserve"> </v>
          </cell>
        </row>
        <row r="1129">
          <cell r="A1129" t="str">
            <v xml:space="preserve"> </v>
          </cell>
        </row>
        <row r="1130">
          <cell r="A1130" t="str">
            <v xml:space="preserve"> </v>
          </cell>
        </row>
        <row r="1131">
          <cell r="A1131" t="str">
            <v xml:space="preserve"> </v>
          </cell>
        </row>
        <row r="1132">
          <cell r="A1132" t="str">
            <v xml:space="preserve"> </v>
          </cell>
        </row>
        <row r="1133">
          <cell r="A1133" t="str">
            <v xml:space="preserve"> </v>
          </cell>
        </row>
        <row r="1134">
          <cell r="A1134" t="str">
            <v xml:space="preserve"> </v>
          </cell>
        </row>
        <row r="1135">
          <cell r="A1135" t="str">
            <v xml:space="preserve"> </v>
          </cell>
        </row>
        <row r="1136">
          <cell r="A1136" t="str">
            <v xml:space="preserve"> </v>
          </cell>
        </row>
        <row r="1137">
          <cell r="A1137" t="str">
            <v xml:space="preserve"> </v>
          </cell>
        </row>
        <row r="1138">
          <cell r="A1138" t="str">
            <v xml:space="preserve"> </v>
          </cell>
        </row>
        <row r="1139">
          <cell r="A1139" t="str">
            <v xml:space="preserve"> </v>
          </cell>
        </row>
        <row r="1140">
          <cell r="A1140" t="str">
            <v xml:space="preserve"> </v>
          </cell>
        </row>
        <row r="1141">
          <cell r="A1141" t="str">
            <v xml:space="preserve"> </v>
          </cell>
        </row>
        <row r="1142">
          <cell r="A1142" t="str">
            <v xml:space="preserve"> </v>
          </cell>
        </row>
        <row r="1143">
          <cell r="A1143" t="str">
            <v xml:space="preserve"> </v>
          </cell>
        </row>
        <row r="1144">
          <cell r="A1144" t="str">
            <v xml:space="preserve"> </v>
          </cell>
        </row>
        <row r="1145">
          <cell r="A1145" t="str">
            <v xml:space="preserve"> </v>
          </cell>
        </row>
        <row r="1146">
          <cell r="A1146" t="str">
            <v xml:space="preserve"> </v>
          </cell>
        </row>
        <row r="1147">
          <cell r="A1147" t="str">
            <v xml:space="preserve"> </v>
          </cell>
        </row>
        <row r="1148">
          <cell r="A1148" t="str">
            <v xml:space="preserve"> </v>
          </cell>
        </row>
        <row r="1149">
          <cell r="A1149" t="str">
            <v xml:space="preserve"> </v>
          </cell>
        </row>
        <row r="1150">
          <cell r="A1150" t="str">
            <v xml:space="preserve"> </v>
          </cell>
        </row>
        <row r="1151">
          <cell r="A1151" t="str">
            <v xml:space="preserve"> </v>
          </cell>
        </row>
        <row r="1152">
          <cell r="A1152" t="str">
            <v xml:space="preserve"> </v>
          </cell>
        </row>
        <row r="1153">
          <cell r="A1153" t="str">
            <v xml:space="preserve"> </v>
          </cell>
        </row>
        <row r="1154">
          <cell r="A1154" t="str">
            <v xml:space="preserve"> </v>
          </cell>
        </row>
        <row r="1155">
          <cell r="A1155" t="str">
            <v xml:space="preserve"> </v>
          </cell>
        </row>
        <row r="1156">
          <cell r="A1156" t="str">
            <v xml:space="preserve"> </v>
          </cell>
        </row>
        <row r="1157">
          <cell r="A1157" t="str">
            <v xml:space="preserve"> </v>
          </cell>
        </row>
        <row r="1158">
          <cell r="A1158" t="str">
            <v xml:space="preserve"> </v>
          </cell>
        </row>
        <row r="1159">
          <cell r="A1159" t="str">
            <v xml:space="preserve"> </v>
          </cell>
        </row>
        <row r="1160">
          <cell r="A1160" t="str">
            <v xml:space="preserve"> </v>
          </cell>
        </row>
        <row r="1161">
          <cell r="A1161" t="str">
            <v xml:space="preserve"> </v>
          </cell>
        </row>
        <row r="1162">
          <cell r="A1162" t="str">
            <v xml:space="preserve"> </v>
          </cell>
        </row>
        <row r="1163">
          <cell r="A1163" t="str">
            <v xml:space="preserve"> </v>
          </cell>
        </row>
        <row r="1164">
          <cell r="A1164" t="str">
            <v xml:space="preserve"> </v>
          </cell>
        </row>
        <row r="1165">
          <cell r="A1165" t="str">
            <v xml:space="preserve"> </v>
          </cell>
        </row>
        <row r="1166">
          <cell r="A1166" t="str">
            <v xml:space="preserve"> </v>
          </cell>
        </row>
        <row r="1167">
          <cell r="A1167" t="str">
            <v xml:space="preserve"> </v>
          </cell>
        </row>
        <row r="1168">
          <cell r="A1168" t="str">
            <v xml:space="preserve"> </v>
          </cell>
        </row>
        <row r="1169">
          <cell r="A1169" t="str">
            <v xml:space="preserve"> </v>
          </cell>
        </row>
        <row r="1170">
          <cell r="A1170" t="str">
            <v xml:space="preserve"> </v>
          </cell>
        </row>
        <row r="1171">
          <cell r="A1171" t="str">
            <v xml:space="preserve"> </v>
          </cell>
        </row>
        <row r="1172">
          <cell r="A1172" t="str">
            <v xml:space="preserve"> </v>
          </cell>
        </row>
        <row r="1173">
          <cell r="A1173" t="str">
            <v xml:space="preserve"> </v>
          </cell>
        </row>
        <row r="1174">
          <cell r="A1174" t="str">
            <v xml:space="preserve"> </v>
          </cell>
        </row>
        <row r="1175">
          <cell r="A1175" t="str">
            <v xml:space="preserve"> </v>
          </cell>
        </row>
        <row r="1176">
          <cell r="A1176" t="str">
            <v xml:space="preserve"> </v>
          </cell>
        </row>
        <row r="1177">
          <cell r="A1177" t="str">
            <v xml:space="preserve"> </v>
          </cell>
        </row>
        <row r="1178">
          <cell r="A1178" t="str">
            <v xml:space="preserve"> </v>
          </cell>
        </row>
        <row r="1179">
          <cell r="A1179" t="str">
            <v xml:space="preserve"> </v>
          </cell>
        </row>
        <row r="1180">
          <cell r="A1180" t="str">
            <v xml:space="preserve"> </v>
          </cell>
        </row>
        <row r="1181">
          <cell r="A1181" t="str">
            <v xml:space="preserve"> </v>
          </cell>
        </row>
        <row r="1182">
          <cell r="A1182" t="str">
            <v xml:space="preserve"> </v>
          </cell>
        </row>
        <row r="1183">
          <cell r="A1183" t="str">
            <v xml:space="preserve"> </v>
          </cell>
        </row>
        <row r="1184">
          <cell r="A1184" t="str">
            <v xml:space="preserve"> </v>
          </cell>
        </row>
        <row r="1185">
          <cell r="A1185" t="str">
            <v xml:space="preserve"> </v>
          </cell>
        </row>
        <row r="1186">
          <cell r="A1186" t="str">
            <v xml:space="preserve"> </v>
          </cell>
        </row>
        <row r="1187">
          <cell r="A1187" t="str">
            <v xml:space="preserve"> </v>
          </cell>
        </row>
        <row r="1188">
          <cell r="A1188" t="str">
            <v xml:space="preserve"> </v>
          </cell>
        </row>
        <row r="1189">
          <cell r="A1189" t="str">
            <v xml:space="preserve"> </v>
          </cell>
        </row>
        <row r="1190">
          <cell r="A1190" t="str">
            <v xml:space="preserve"> </v>
          </cell>
        </row>
        <row r="1191">
          <cell r="A1191" t="str">
            <v xml:space="preserve"> </v>
          </cell>
        </row>
        <row r="1192">
          <cell r="A1192" t="str">
            <v xml:space="preserve"> </v>
          </cell>
        </row>
        <row r="1193">
          <cell r="A1193" t="str">
            <v xml:space="preserve"> </v>
          </cell>
        </row>
        <row r="1194">
          <cell r="A1194" t="str">
            <v xml:space="preserve"> </v>
          </cell>
        </row>
        <row r="1195">
          <cell r="A1195" t="str">
            <v xml:space="preserve"> </v>
          </cell>
        </row>
        <row r="1196">
          <cell r="A1196" t="str">
            <v xml:space="preserve"> </v>
          </cell>
        </row>
        <row r="1197">
          <cell r="A1197" t="str">
            <v xml:space="preserve"> </v>
          </cell>
        </row>
        <row r="1198">
          <cell r="A1198" t="str">
            <v xml:space="preserve"> </v>
          </cell>
        </row>
        <row r="1199">
          <cell r="A1199" t="str">
            <v xml:space="preserve"> </v>
          </cell>
        </row>
        <row r="1200">
          <cell r="A1200" t="str">
            <v xml:space="preserve"> </v>
          </cell>
        </row>
        <row r="1201">
          <cell r="A1201" t="str">
            <v xml:space="preserve"> </v>
          </cell>
        </row>
        <row r="1202">
          <cell r="A1202" t="str">
            <v xml:space="preserve"> </v>
          </cell>
        </row>
        <row r="1203">
          <cell r="A1203" t="str">
            <v xml:space="preserve"> </v>
          </cell>
        </row>
        <row r="1204">
          <cell r="A1204" t="str">
            <v xml:space="preserve"> </v>
          </cell>
        </row>
        <row r="1205">
          <cell r="A1205" t="str">
            <v xml:space="preserve"> </v>
          </cell>
        </row>
        <row r="1206">
          <cell r="A1206" t="str">
            <v xml:space="preserve"> </v>
          </cell>
        </row>
        <row r="1207">
          <cell r="A1207" t="str">
            <v xml:space="preserve"> </v>
          </cell>
        </row>
        <row r="1208">
          <cell r="A1208" t="str">
            <v xml:space="preserve"> </v>
          </cell>
        </row>
        <row r="1209">
          <cell r="A1209" t="str">
            <v xml:space="preserve"> </v>
          </cell>
        </row>
        <row r="1210">
          <cell r="A1210" t="str">
            <v xml:space="preserve"> </v>
          </cell>
        </row>
        <row r="1211">
          <cell r="A1211" t="str">
            <v xml:space="preserve"> </v>
          </cell>
        </row>
        <row r="1212">
          <cell r="A1212" t="str">
            <v xml:space="preserve"> </v>
          </cell>
        </row>
        <row r="1213">
          <cell r="A1213" t="str">
            <v xml:space="preserve"> </v>
          </cell>
        </row>
        <row r="1214">
          <cell r="A1214" t="str">
            <v xml:space="preserve"> </v>
          </cell>
        </row>
        <row r="1215">
          <cell r="A1215" t="str">
            <v xml:space="preserve"> </v>
          </cell>
        </row>
        <row r="1216">
          <cell r="A1216" t="str">
            <v xml:space="preserve"> </v>
          </cell>
        </row>
        <row r="1217">
          <cell r="A1217" t="str">
            <v xml:space="preserve"> </v>
          </cell>
        </row>
        <row r="1218">
          <cell r="A1218" t="str">
            <v xml:space="preserve"> </v>
          </cell>
        </row>
        <row r="1219">
          <cell r="A1219" t="str">
            <v xml:space="preserve"> </v>
          </cell>
        </row>
        <row r="1220">
          <cell r="A1220" t="str">
            <v xml:space="preserve"> </v>
          </cell>
        </row>
        <row r="1221">
          <cell r="A1221" t="str">
            <v xml:space="preserve"> </v>
          </cell>
        </row>
        <row r="1222">
          <cell r="A1222" t="str">
            <v xml:space="preserve"> </v>
          </cell>
        </row>
        <row r="1223">
          <cell r="A1223" t="str">
            <v xml:space="preserve"> </v>
          </cell>
        </row>
        <row r="1224">
          <cell r="A1224" t="str">
            <v xml:space="preserve"> </v>
          </cell>
        </row>
        <row r="1225">
          <cell r="A1225" t="str">
            <v xml:space="preserve"> </v>
          </cell>
        </row>
        <row r="1226">
          <cell r="A1226" t="str">
            <v xml:space="preserve"> </v>
          </cell>
        </row>
        <row r="1227">
          <cell r="A1227" t="str">
            <v xml:space="preserve"> </v>
          </cell>
        </row>
        <row r="1228">
          <cell r="A1228" t="str">
            <v xml:space="preserve"> </v>
          </cell>
        </row>
        <row r="1229">
          <cell r="A1229" t="str">
            <v xml:space="preserve"> </v>
          </cell>
        </row>
        <row r="1230">
          <cell r="A1230" t="str">
            <v xml:space="preserve"> </v>
          </cell>
        </row>
        <row r="1231">
          <cell r="A1231" t="str">
            <v xml:space="preserve"> </v>
          </cell>
        </row>
        <row r="1232">
          <cell r="A1232" t="str">
            <v xml:space="preserve"> </v>
          </cell>
        </row>
        <row r="1233">
          <cell r="A1233" t="str">
            <v xml:space="preserve"> </v>
          </cell>
        </row>
        <row r="1234">
          <cell r="A1234" t="str">
            <v xml:space="preserve"> </v>
          </cell>
        </row>
        <row r="1235">
          <cell r="A1235" t="str">
            <v xml:space="preserve"> </v>
          </cell>
        </row>
        <row r="1236">
          <cell r="A1236" t="str">
            <v xml:space="preserve"> </v>
          </cell>
        </row>
        <row r="1237">
          <cell r="A1237" t="str">
            <v xml:space="preserve"> </v>
          </cell>
        </row>
        <row r="1238">
          <cell r="A1238" t="str">
            <v xml:space="preserve"> </v>
          </cell>
        </row>
        <row r="1239">
          <cell r="A1239" t="str">
            <v xml:space="preserve"> </v>
          </cell>
        </row>
        <row r="1240">
          <cell r="A1240" t="str">
            <v xml:space="preserve"> </v>
          </cell>
        </row>
        <row r="1241">
          <cell r="A1241" t="str">
            <v xml:space="preserve"> </v>
          </cell>
        </row>
        <row r="1242">
          <cell r="A1242" t="str">
            <v xml:space="preserve"> </v>
          </cell>
        </row>
        <row r="1243">
          <cell r="A1243" t="str">
            <v xml:space="preserve"> </v>
          </cell>
        </row>
        <row r="1244">
          <cell r="A1244" t="str">
            <v xml:space="preserve"> </v>
          </cell>
        </row>
        <row r="1245">
          <cell r="A1245" t="str">
            <v xml:space="preserve"> </v>
          </cell>
        </row>
        <row r="1246">
          <cell r="A1246" t="str">
            <v xml:space="preserve"> </v>
          </cell>
        </row>
        <row r="1247">
          <cell r="A1247" t="str">
            <v xml:space="preserve"> </v>
          </cell>
        </row>
        <row r="1248">
          <cell r="A1248" t="str">
            <v xml:space="preserve"> </v>
          </cell>
        </row>
        <row r="1249">
          <cell r="A1249" t="str">
            <v xml:space="preserve"> </v>
          </cell>
        </row>
        <row r="1250">
          <cell r="A1250" t="str">
            <v xml:space="preserve"> </v>
          </cell>
        </row>
        <row r="1251">
          <cell r="A1251" t="str">
            <v xml:space="preserve"> </v>
          </cell>
        </row>
        <row r="1252">
          <cell r="A1252" t="str">
            <v xml:space="preserve"> </v>
          </cell>
        </row>
        <row r="1253">
          <cell r="A1253" t="str">
            <v xml:space="preserve"> </v>
          </cell>
        </row>
        <row r="1254">
          <cell r="A1254" t="str">
            <v xml:space="preserve"> </v>
          </cell>
        </row>
        <row r="1255">
          <cell r="A1255" t="str">
            <v xml:space="preserve"> </v>
          </cell>
        </row>
        <row r="1256">
          <cell r="A1256" t="str">
            <v xml:space="preserve"> </v>
          </cell>
        </row>
        <row r="1257">
          <cell r="A1257" t="str">
            <v xml:space="preserve"> </v>
          </cell>
        </row>
        <row r="1258">
          <cell r="A1258" t="str">
            <v xml:space="preserve"> </v>
          </cell>
        </row>
        <row r="1259">
          <cell r="A1259" t="str">
            <v xml:space="preserve"> </v>
          </cell>
        </row>
        <row r="1260">
          <cell r="A1260" t="str">
            <v xml:space="preserve"> </v>
          </cell>
        </row>
        <row r="1261">
          <cell r="A1261" t="str">
            <v xml:space="preserve"> </v>
          </cell>
        </row>
        <row r="1262">
          <cell r="A1262" t="str">
            <v xml:space="preserve"> </v>
          </cell>
        </row>
        <row r="1263">
          <cell r="A1263" t="str">
            <v xml:space="preserve"> </v>
          </cell>
        </row>
        <row r="1264">
          <cell r="A1264" t="str">
            <v xml:space="preserve"> </v>
          </cell>
        </row>
        <row r="1265">
          <cell r="A1265" t="str">
            <v xml:space="preserve"> </v>
          </cell>
        </row>
        <row r="1266">
          <cell r="A1266" t="str">
            <v xml:space="preserve"> </v>
          </cell>
        </row>
        <row r="1267">
          <cell r="A1267" t="str">
            <v xml:space="preserve"> </v>
          </cell>
        </row>
        <row r="1268">
          <cell r="A1268" t="str">
            <v xml:space="preserve"> </v>
          </cell>
        </row>
        <row r="1269">
          <cell r="A1269" t="str">
            <v xml:space="preserve"> </v>
          </cell>
        </row>
        <row r="1270">
          <cell r="A1270" t="str">
            <v xml:space="preserve"> </v>
          </cell>
        </row>
        <row r="1271">
          <cell r="A1271" t="str">
            <v xml:space="preserve"> </v>
          </cell>
        </row>
        <row r="1272">
          <cell r="A1272" t="str">
            <v xml:space="preserve"> </v>
          </cell>
        </row>
        <row r="1273">
          <cell r="A1273" t="str">
            <v xml:space="preserve"> </v>
          </cell>
        </row>
        <row r="1274">
          <cell r="A1274" t="str">
            <v xml:space="preserve"> </v>
          </cell>
        </row>
        <row r="1275">
          <cell r="A1275" t="str">
            <v xml:space="preserve"> </v>
          </cell>
        </row>
        <row r="1276">
          <cell r="A1276" t="str">
            <v xml:space="preserve"> </v>
          </cell>
        </row>
        <row r="1277">
          <cell r="A1277" t="str">
            <v xml:space="preserve"> </v>
          </cell>
        </row>
        <row r="1278">
          <cell r="A1278" t="str">
            <v xml:space="preserve"> </v>
          </cell>
        </row>
        <row r="1279">
          <cell r="A1279" t="str">
            <v xml:space="preserve"> </v>
          </cell>
        </row>
        <row r="1280">
          <cell r="A1280" t="str">
            <v xml:space="preserve"> </v>
          </cell>
        </row>
        <row r="1281">
          <cell r="A1281" t="str">
            <v xml:space="preserve"> </v>
          </cell>
        </row>
        <row r="1282">
          <cell r="A1282" t="str">
            <v xml:space="preserve"> </v>
          </cell>
        </row>
        <row r="1283">
          <cell r="A1283" t="str">
            <v xml:space="preserve"> </v>
          </cell>
        </row>
        <row r="1284">
          <cell r="A1284" t="str">
            <v xml:space="preserve"> </v>
          </cell>
        </row>
        <row r="1285">
          <cell r="A1285" t="str">
            <v xml:space="preserve"> </v>
          </cell>
        </row>
        <row r="1286">
          <cell r="A1286" t="str">
            <v xml:space="preserve"> </v>
          </cell>
        </row>
        <row r="1287">
          <cell r="A1287" t="str">
            <v xml:space="preserve"> </v>
          </cell>
        </row>
        <row r="1288">
          <cell r="A1288" t="str">
            <v xml:space="preserve"> </v>
          </cell>
        </row>
        <row r="1289">
          <cell r="A1289" t="str">
            <v xml:space="preserve"> </v>
          </cell>
        </row>
        <row r="1290">
          <cell r="A1290" t="str">
            <v xml:space="preserve"> </v>
          </cell>
        </row>
        <row r="1291">
          <cell r="A1291" t="str">
            <v xml:space="preserve"> </v>
          </cell>
        </row>
        <row r="1292">
          <cell r="A1292" t="str">
            <v xml:space="preserve"> </v>
          </cell>
        </row>
        <row r="1293">
          <cell r="A1293" t="str">
            <v xml:space="preserve"> </v>
          </cell>
        </row>
        <row r="1294">
          <cell r="A1294" t="str">
            <v xml:space="preserve"> </v>
          </cell>
        </row>
        <row r="1295">
          <cell r="A1295" t="str">
            <v xml:space="preserve"> </v>
          </cell>
        </row>
        <row r="1296">
          <cell r="A1296" t="str">
            <v xml:space="preserve"> </v>
          </cell>
        </row>
        <row r="1297">
          <cell r="A1297" t="str">
            <v xml:space="preserve"> </v>
          </cell>
        </row>
        <row r="1298">
          <cell r="A1298" t="str">
            <v xml:space="preserve"> </v>
          </cell>
        </row>
        <row r="1299">
          <cell r="A1299" t="str">
            <v xml:space="preserve"> </v>
          </cell>
        </row>
        <row r="1300">
          <cell r="A1300" t="str">
            <v xml:space="preserve"> </v>
          </cell>
        </row>
        <row r="1301">
          <cell r="A1301" t="str">
            <v xml:space="preserve"> </v>
          </cell>
        </row>
        <row r="1302">
          <cell r="A1302" t="str">
            <v xml:space="preserve"> </v>
          </cell>
        </row>
        <row r="1303">
          <cell r="A1303" t="str">
            <v xml:space="preserve"> </v>
          </cell>
        </row>
        <row r="1304">
          <cell r="A1304" t="str">
            <v xml:space="preserve"> </v>
          </cell>
        </row>
        <row r="1305">
          <cell r="A1305" t="str">
            <v xml:space="preserve"> </v>
          </cell>
        </row>
        <row r="1306">
          <cell r="A1306" t="str">
            <v xml:space="preserve"> </v>
          </cell>
        </row>
        <row r="1307">
          <cell r="A1307" t="str">
            <v xml:space="preserve"> </v>
          </cell>
        </row>
        <row r="1308">
          <cell r="A1308" t="str">
            <v xml:space="preserve"> </v>
          </cell>
        </row>
        <row r="1309">
          <cell r="A1309" t="str">
            <v xml:space="preserve"> </v>
          </cell>
        </row>
        <row r="1310">
          <cell r="A1310" t="str">
            <v xml:space="preserve"> </v>
          </cell>
        </row>
        <row r="1311">
          <cell r="A1311" t="str">
            <v xml:space="preserve"> </v>
          </cell>
        </row>
        <row r="1312">
          <cell r="A1312" t="str">
            <v xml:space="preserve"> </v>
          </cell>
        </row>
        <row r="1313">
          <cell r="A1313" t="str">
            <v xml:space="preserve"> </v>
          </cell>
        </row>
        <row r="1314">
          <cell r="A1314" t="str">
            <v xml:space="preserve"> </v>
          </cell>
        </row>
        <row r="1315">
          <cell r="A1315" t="str">
            <v xml:space="preserve"> </v>
          </cell>
        </row>
        <row r="1316">
          <cell r="A1316" t="str">
            <v xml:space="preserve"> </v>
          </cell>
        </row>
        <row r="1317">
          <cell r="A1317" t="str">
            <v xml:space="preserve"> </v>
          </cell>
        </row>
        <row r="1318">
          <cell r="A1318" t="str">
            <v xml:space="preserve"> </v>
          </cell>
        </row>
        <row r="1319">
          <cell r="A1319" t="str">
            <v xml:space="preserve"> </v>
          </cell>
        </row>
        <row r="1320">
          <cell r="A1320" t="str">
            <v xml:space="preserve"> </v>
          </cell>
        </row>
        <row r="1321">
          <cell r="A1321" t="str">
            <v xml:space="preserve"> </v>
          </cell>
        </row>
        <row r="1322">
          <cell r="A1322" t="str">
            <v xml:space="preserve"> </v>
          </cell>
        </row>
        <row r="1323">
          <cell r="A1323" t="str">
            <v xml:space="preserve"> </v>
          </cell>
        </row>
        <row r="1324">
          <cell r="A1324" t="str">
            <v xml:space="preserve"> </v>
          </cell>
        </row>
        <row r="1325">
          <cell r="A1325" t="str">
            <v xml:space="preserve"> </v>
          </cell>
        </row>
        <row r="1326">
          <cell r="A1326" t="str">
            <v xml:space="preserve"> </v>
          </cell>
        </row>
        <row r="1327">
          <cell r="A1327" t="str">
            <v xml:space="preserve"> </v>
          </cell>
        </row>
        <row r="1328">
          <cell r="A1328" t="str">
            <v xml:space="preserve"> </v>
          </cell>
        </row>
        <row r="1329">
          <cell r="A1329" t="str">
            <v xml:space="preserve"> </v>
          </cell>
        </row>
        <row r="1330">
          <cell r="A1330" t="str">
            <v xml:space="preserve"> </v>
          </cell>
        </row>
        <row r="1331">
          <cell r="A1331" t="str">
            <v xml:space="preserve"> </v>
          </cell>
        </row>
        <row r="1332">
          <cell r="A1332" t="str">
            <v xml:space="preserve"> </v>
          </cell>
        </row>
        <row r="1333">
          <cell r="A1333" t="str">
            <v xml:space="preserve"> </v>
          </cell>
        </row>
        <row r="1334">
          <cell r="A1334" t="str">
            <v xml:space="preserve"> </v>
          </cell>
        </row>
        <row r="1335">
          <cell r="A1335" t="str">
            <v xml:space="preserve"> </v>
          </cell>
        </row>
        <row r="1336">
          <cell r="A1336" t="str">
            <v xml:space="preserve"> </v>
          </cell>
        </row>
        <row r="1337">
          <cell r="A1337" t="str">
            <v xml:space="preserve"> </v>
          </cell>
        </row>
        <row r="1338">
          <cell r="A1338" t="str">
            <v xml:space="preserve"> </v>
          </cell>
        </row>
        <row r="1339">
          <cell r="A1339" t="str">
            <v xml:space="preserve"> </v>
          </cell>
        </row>
        <row r="1340">
          <cell r="A1340" t="str">
            <v xml:space="preserve"> </v>
          </cell>
        </row>
        <row r="1341">
          <cell r="A1341" t="str">
            <v xml:space="preserve"> </v>
          </cell>
        </row>
        <row r="1342">
          <cell r="A1342" t="str">
            <v xml:space="preserve"> </v>
          </cell>
        </row>
        <row r="1343">
          <cell r="A1343" t="str">
            <v xml:space="preserve"> </v>
          </cell>
        </row>
        <row r="1344">
          <cell r="A1344" t="str">
            <v xml:space="preserve"> </v>
          </cell>
        </row>
        <row r="1345">
          <cell r="A1345" t="str">
            <v xml:space="preserve"> </v>
          </cell>
        </row>
        <row r="1346">
          <cell r="A1346" t="str">
            <v xml:space="preserve"> </v>
          </cell>
        </row>
        <row r="1347">
          <cell r="A1347" t="str">
            <v xml:space="preserve"> </v>
          </cell>
        </row>
        <row r="1348">
          <cell r="A1348" t="str">
            <v xml:space="preserve"> </v>
          </cell>
        </row>
        <row r="1349">
          <cell r="A1349" t="str">
            <v xml:space="preserve"> </v>
          </cell>
        </row>
        <row r="1350">
          <cell r="A1350" t="str">
            <v xml:space="preserve"> </v>
          </cell>
        </row>
        <row r="1351">
          <cell r="A1351" t="str">
            <v xml:space="preserve"> </v>
          </cell>
        </row>
        <row r="1352">
          <cell r="A1352" t="str">
            <v xml:space="preserve"> </v>
          </cell>
        </row>
        <row r="1353">
          <cell r="A1353" t="str">
            <v xml:space="preserve"> </v>
          </cell>
        </row>
        <row r="1354">
          <cell r="A1354" t="str">
            <v xml:space="preserve"> </v>
          </cell>
        </row>
        <row r="1355">
          <cell r="A1355" t="str">
            <v xml:space="preserve"> </v>
          </cell>
        </row>
        <row r="1356">
          <cell r="A1356" t="str">
            <v xml:space="preserve"> </v>
          </cell>
        </row>
        <row r="1357">
          <cell r="A1357" t="str">
            <v xml:space="preserve"> </v>
          </cell>
        </row>
        <row r="1358">
          <cell r="A1358" t="str">
            <v xml:space="preserve"> </v>
          </cell>
        </row>
        <row r="1359">
          <cell r="A1359" t="str">
            <v xml:space="preserve"> </v>
          </cell>
        </row>
        <row r="1360">
          <cell r="A1360" t="str">
            <v xml:space="preserve"> </v>
          </cell>
        </row>
        <row r="1361">
          <cell r="A1361" t="str">
            <v xml:space="preserve"> </v>
          </cell>
        </row>
        <row r="1362">
          <cell r="A1362" t="str">
            <v xml:space="preserve"> </v>
          </cell>
        </row>
        <row r="1363">
          <cell r="A1363" t="str">
            <v xml:space="preserve"> </v>
          </cell>
        </row>
        <row r="1364">
          <cell r="A1364" t="str">
            <v xml:space="preserve"> </v>
          </cell>
        </row>
        <row r="1365">
          <cell r="A1365" t="str">
            <v xml:space="preserve"> </v>
          </cell>
        </row>
        <row r="1366">
          <cell r="A1366" t="str">
            <v xml:space="preserve"> </v>
          </cell>
        </row>
        <row r="1367">
          <cell r="A1367" t="str">
            <v xml:space="preserve"> </v>
          </cell>
        </row>
        <row r="1368">
          <cell r="A1368" t="str">
            <v xml:space="preserve"> </v>
          </cell>
        </row>
        <row r="1369">
          <cell r="A1369" t="str">
            <v xml:space="preserve"> </v>
          </cell>
        </row>
        <row r="1370">
          <cell r="A1370" t="str">
            <v xml:space="preserve"> </v>
          </cell>
        </row>
        <row r="1371">
          <cell r="A1371" t="str">
            <v xml:space="preserve"> </v>
          </cell>
        </row>
        <row r="1372">
          <cell r="A1372" t="str">
            <v xml:space="preserve"> </v>
          </cell>
        </row>
        <row r="1373">
          <cell r="A1373" t="str">
            <v xml:space="preserve"> </v>
          </cell>
        </row>
        <row r="1374">
          <cell r="A1374" t="str">
            <v xml:space="preserve"> </v>
          </cell>
        </row>
        <row r="1375">
          <cell r="A1375" t="str">
            <v xml:space="preserve"> </v>
          </cell>
        </row>
        <row r="1376">
          <cell r="A1376" t="str">
            <v xml:space="preserve"> </v>
          </cell>
        </row>
        <row r="1377">
          <cell r="A1377" t="str">
            <v xml:space="preserve"> </v>
          </cell>
        </row>
        <row r="1378">
          <cell r="A1378" t="str">
            <v xml:space="preserve"> </v>
          </cell>
        </row>
        <row r="1379">
          <cell r="A1379" t="str">
            <v xml:space="preserve"> </v>
          </cell>
        </row>
        <row r="1380">
          <cell r="A1380" t="str">
            <v xml:space="preserve"> </v>
          </cell>
        </row>
        <row r="1381">
          <cell r="A1381" t="str">
            <v xml:space="preserve"> </v>
          </cell>
        </row>
        <row r="1382">
          <cell r="A1382" t="str">
            <v xml:space="preserve"> </v>
          </cell>
        </row>
        <row r="1383">
          <cell r="A1383" t="str">
            <v xml:space="preserve"> </v>
          </cell>
        </row>
        <row r="1384">
          <cell r="A1384" t="str">
            <v xml:space="preserve"> </v>
          </cell>
        </row>
        <row r="1385">
          <cell r="A1385" t="str">
            <v xml:space="preserve"> </v>
          </cell>
        </row>
        <row r="1386">
          <cell r="A1386" t="str">
            <v xml:space="preserve"> </v>
          </cell>
        </row>
        <row r="1387">
          <cell r="A1387" t="str">
            <v xml:space="preserve"> </v>
          </cell>
        </row>
        <row r="1388">
          <cell r="A1388" t="str">
            <v xml:space="preserve"> </v>
          </cell>
        </row>
        <row r="1389">
          <cell r="A1389" t="str">
            <v xml:space="preserve"> </v>
          </cell>
        </row>
        <row r="1390">
          <cell r="A1390" t="str">
            <v xml:space="preserve"> </v>
          </cell>
        </row>
        <row r="1391">
          <cell r="A1391" t="str">
            <v xml:space="preserve"> </v>
          </cell>
        </row>
        <row r="1392">
          <cell r="A1392" t="str">
            <v xml:space="preserve"> </v>
          </cell>
        </row>
        <row r="1393">
          <cell r="A1393" t="str">
            <v xml:space="preserve"> </v>
          </cell>
        </row>
        <row r="1394">
          <cell r="A1394" t="str">
            <v xml:space="preserve"> </v>
          </cell>
        </row>
        <row r="1395">
          <cell r="A1395" t="str">
            <v xml:space="preserve"> </v>
          </cell>
        </row>
        <row r="1396">
          <cell r="A1396" t="str">
            <v xml:space="preserve"> </v>
          </cell>
        </row>
        <row r="1397">
          <cell r="A1397" t="str">
            <v xml:space="preserve"> </v>
          </cell>
        </row>
        <row r="1398">
          <cell r="A1398" t="str">
            <v xml:space="preserve"> </v>
          </cell>
        </row>
        <row r="1399">
          <cell r="A1399" t="str">
            <v xml:space="preserve"> </v>
          </cell>
        </row>
        <row r="1400">
          <cell r="A1400" t="str">
            <v xml:space="preserve"> </v>
          </cell>
        </row>
        <row r="1401">
          <cell r="A1401" t="str">
            <v xml:space="preserve"> </v>
          </cell>
        </row>
        <row r="1402">
          <cell r="A1402" t="str">
            <v xml:space="preserve"> </v>
          </cell>
        </row>
        <row r="1403">
          <cell r="A1403" t="str">
            <v xml:space="preserve"> </v>
          </cell>
        </row>
        <row r="1404">
          <cell r="A1404" t="str">
            <v xml:space="preserve"> </v>
          </cell>
        </row>
        <row r="1405">
          <cell r="A1405" t="str">
            <v xml:space="preserve"> </v>
          </cell>
        </row>
        <row r="1406">
          <cell r="A1406" t="str">
            <v xml:space="preserve"> </v>
          </cell>
        </row>
        <row r="1407">
          <cell r="A1407" t="str">
            <v xml:space="preserve"> </v>
          </cell>
        </row>
        <row r="1408">
          <cell r="A1408" t="str">
            <v xml:space="preserve"> </v>
          </cell>
        </row>
        <row r="1409">
          <cell r="A1409" t="str">
            <v xml:space="preserve"> </v>
          </cell>
        </row>
        <row r="1410">
          <cell r="A1410" t="str">
            <v xml:space="preserve"> </v>
          </cell>
        </row>
        <row r="1411">
          <cell r="A1411" t="str">
            <v xml:space="preserve"> </v>
          </cell>
        </row>
        <row r="1412">
          <cell r="A1412" t="str">
            <v xml:space="preserve"> </v>
          </cell>
        </row>
        <row r="1413">
          <cell r="A1413" t="str">
            <v xml:space="preserve"> </v>
          </cell>
        </row>
        <row r="1414">
          <cell r="A1414" t="str">
            <v xml:space="preserve"> </v>
          </cell>
        </row>
        <row r="1415">
          <cell r="A1415" t="str">
            <v xml:space="preserve"> </v>
          </cell>
        </row>
        <row r="1416">
          <cell r="A1416" t="str">
            <v xml:space="preserve"> </v>
          </cell>
        </row>
        <row r="1417">
          <cell r="A1417" t="str">
            <v xml:space="preserve"> </v>
          </cell>
        </row>
        <row r="1418">
          <cell r="A1418" t="str">
            <v xml:space="preserve"> </v>
          </cell>
        </row>
        <row r="1419">
          <cell r="A1419" t="str">
            <v xml:space="preserve"> </v>
          </cell>
        </row>
        <row r="1420">
          <cell r="A1420" t="str">
            <v xml:space="preserve"> </v>
          </cell>
        </row>
        <row r="1421">
          <cell r="A1421" t="str">
            <v xml:space="preserve"> </v>
          </cell>
        </row>
        <row r="1422">
          <cell r="A1422" t="str">
            <v xml:space="preserve"> </v>
          </cell>
        </row>
        <row r="1423">
          <cell r="A1423" t="str">
            <v xml:space="preserve"> </v>
          </cell>
        </row>
        <row r="1424">
          <cell r="A1424" t="str">
            <v xml:space="preserve"> </v>
          </cell>
        </row>
        <row r="1425">
          <cell r="A1425" t="str">
            <v xml:space="preserve"> </v>
          </cell>
        </row>
        <row r="1426">
          <cell r="A1426" t="str">
            <v xml:space="preserve"> </v>
          </cell>
        </row>
        <row r="1427">
          <cell r="A1427" t="str">
            <v xml:space="preserve"> </v>
          </cell>
        </row>
        <row r="1428">
          <cell r="A1428" t="str">
            <v xml:space="preserve"> </v>
          </cell>
        </row>
        <row r="1429">
          <cell r="A1429" t="str">
            <v xml:space="preserve"> </v>
          </cell>
        </row>
        <row r="1430">
          <cell r="A1430" t="str">
            <v xml:space="preserve"> </v>
          </cell>
        </row>
        <row r="1431">
          <cell r="A1431" t="str">
            <v xml:space="preserve"> </v>
          </cell>
        </row>
        <row r="1432">
          <cell r="A1432" t="str">
            <v xml:space="preserve"> </v>
          </cell>
        </row>
        <row r="1433">
          <cell r="A1433" t="str">
            <v xml:space="preserve"> </v>
          </cell>
        </row>
        <row r="1434">
          <cell r="A1434" t="str">
            <v xml:space="preserve"> </v>
          </cell>
        </row>
        <row r="1435">
          <cell r="A1435" t="str">
            <v xml:space="preserve"> </v>
          </cell>
        </row>
        <row r="1436">
          <cell r="A1436" t="str">
            <v xml:space="preserve"> </v>
          </cell>
        </row>
        <row r="1437">
          <cell r="A1437" t="str">
            <v xml:space="preserve"> </v>
          </cell>
        </row>
        <row r="1438">
          <cell r="A1438" t="str">
            <v xml:space="preserve"> </v>
          </cell>
        </row>
        <row r="1439">
          <cell r="A1439" t="str">
            <v xml:space="preserve"> </v>
          </cell>
        </row>
        <row r="1440">
          <cell r="A1440" t="str">
            <v xml:space="preserve"> </v>
          </cell>
        </row>
        <row r="1441">
          <cell r="A1441" t="str">
            <v xml:space="preserve"> </v>
          </cell>
        </row>
        <row r="1442">
          <cell r="A1442" t="str">
            <v xml:space="preserve"> </v>
          </cell>
        </row>
        <row r="1443">
          <cell r="A1443" t="str">
            <v xml:space="preserve"> </v>
          </cell>
        </row>
        <row r="1444">
          <cell r="A1444" t="str">
            <v xml:space="preserve"> </v>
          </cell>
        </row>
        <row r="1445">
          <cell r="A1445" t="str">
            <v xml:space="preserve"> </v>
          </cell>
        </row>
        <row r="1446">
          <cell r="A1446" t="str">
            <v xml:space="preserve"> </v>
          </cell>
        </row>
        <row r="1447">
          <cell r="A1447" t="str">
            <v xml:space="preserve"> </v>
          </cell>
        </row>
        <row r="1448">
          <cell r="A1448" t="str">
            <v xml:space="preserve"> </v>
          </cell>
        </row>
        <row r="1449">
          <cell r="A1449" t="str">
            <v xml:space="preserve"> </v>
          </cell>
        </row>
        <row r="1450">
          <cell r="A1450" t="str">
            <v xml:space="preserve"> </v>
          </cell>
        </row>
        <row r="1451">
          <cell r="A1451" t="str">
            <v xml:space="preserve"> </v>
          </cell>
        </row>
        <row r="1452">
          <cell r="A1452" t="str">
            <v xml:space="preserve"> </v>
          </cell>
        </row>
        <row r="1453">
          <cell r="A1453" t="str">
            <v xml:space="preserve"> </v>
          </cell>
        </row>
        <row r="1454">
          <cell r="A1454" t="str">
            <v xml:space="preserve"> </v>
          </cell>
        </row>
        <row r="1455">
          <cell r="A1455" t="str">
            <v xml:space="preserve"> </v>
          </cell>
        </row>
        <row r="1456">
          <cell r="A1456" t="str">
            <v xml:space="preserve"> </v>
          </cell>
        </row>
        <row r="1457">
          <cell r="A1457" t="str">
            <v xml:space="preserve"> </v>
          </cell>
        </row>
        <row r="1458">
          <cell r="A1458" t="str">
            <v xml:space="preserve"> </v>
          </cell>
        </row>
        <row r="1459">
          <cell r="A1459" t="str">
            <v xml:space="preserve"> </v>
          </cell>
        </row>
        <row r="1460">
          <cell r="A1460" t="str">
            <v xml:space="preserve"> </v>
          </cell>
        </row>
        <row r="1461">
          <cell r="A1461" t="str">
            <v xml:space="preserve"> </v>
          </cell>
        </row>
        <row r="1462">
          <cell r="A1462" t="str">
            <v xml:space="preserve"> </v>
          </cell>
        </row>
        <row r="1463">
          <cell r="A1463" t="str">
            <v xml:space="preserve"> </v>
          </cell>
        </row>
        <row r="1464">
          <cell r="A1464" t="str">
            <v xml:space="preserve"> </v>
          </cell>
        </row>
        <row r="1465">
          <cell r="A1465" t="str">
            <v xml:space="preserve"> </v>
          </cell>
        </row>
        <row r="1466">
          <cell r="A1466" t="str">
            <v xml:space="preserve"> </v>
          </cell>
        </row>
        <row r="1467">
          <cell r="A1467" t="str">
            <v xml:space="preserve"> </v>
          </cell>
        </row>
        <row r="1468">
          <cell r="A1468" t="str">
            <v xml:space="preserve"> </v>
          </cell>
        </row>
        <row r="1469">
          <cell r="A1469" t="str">
            <v xml:space="preserve"> </v>
          </cell>
        </row>
        <row r="1470">
          <cell r="A1470" t="str">
            <v xml:space="preserve"> </v>
          </cell>
        </row>
        <row r="1471">
          <cell r="A1471" t="str">
            <v xml:space="preserve"> </v>
          </cell>
        </row>
        <row r="1472">
          <cell r="A1472" t="str">
            <v xml:space="preserve"> </v>
          </cell>
        </row>
        <row r="1473">
          <cell r="A1473" t="str">
            <v xml:space="preserve"> </v>
          </cell>
        </row>
        <row r="1474">
          <cell r="A1474" t="str">
            <v xml:space="preserve"> </v>
          </cell>
        </row>
        <row r="1475">
          <cell r="A1475" t="str">
            <v xml:space="preserve"> </v>
          </cell>
        </row>
        <row r="1476">
          <cell r="A1476" t="str">
            <v xml:space="preserve"> </v>
          </cell>
        </row>
        <row r="1477">
          <cell r="A1477" t="str">
            <v xml:space="preserve"> </v>
          </cell>
        </row>
        <row r="1478">
          <cell r="A1478" t="str">
            <v xml:space="preserve"> </v>
          </cell>
        </row>
        <row r="1479">
          <cell r="A1479" t="str">
            <v xml:space="preserve"> </v>
          </cell>
        </row>
        <row r="1480">
          <cell r="A1480" t="str">
            <v xml:space="preserve"> </v>
          </cell>
        </row>
        <row r="1481">
          <cell r="A1481" t="str">
            <v xml:space="preserve"> 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  <row r="2501">
          <cell r="A2501" t="str">
            <v xml:space="preserve"> </v>
          </cell>
        </row>
        <row r="2502">
          <cell r="A2502" t="str">
            <v xml:space="preserve"> </v>
          </cell>
        </row>
        <row r="2503">
          <cell r="A2503" t="str">
            <v xml:space="preserve"> </v>
          </cell>
        </row>
        <row r="2504">
          <cell r="A2504" t="str">
            <v xml:space="preserve"> </v>
          </cell>
        </row>
        <row r="2505">
          <cell r="A2505" t="str">
            <v xml:space="preserve"> </v>
          </cell>
        </row>
        <row r="2506">
          <cell r="A2506" t="str">
            <v xml:space="preserve"> </v>
          </cell>
        </row>
        <row r="2507">
          <cell r="A2507" t="str">
            <v xml:space="preserve"> </v>
          </cell>
        </row>
        <row r="2508">
          <cell r="A2508" t="str">
            <v xml:space="preserve"> </v>
          </cell>
        </row>
        <row r="2509">
          <cell r="A2509" t="str">
            <v xml:space="preserve"> </v>
          </cell>
        </row>
        <row r="2510">
          <cell r="A2510" t="str">
            <v xml:space="preserve"> </v>
          </cell>
        </row>
        <row r="2511">
          <cell r="A2511" t="str">
            <v xml:space="preserve"> </v>
          </cell>
        </row>
        <row r="2512">
          <cell r="A2512" t="str">
            <v xml:space="preserve"> </v>
          </cell>
        </row>
        <row r="2513">
          <cell r="A2513" t="str">
            <v xml:space="preserve"> </v>
          </cell>
        </row>
        <row r="2514">
          <cell r="A2514" t="str">
            <v xml:space="preserve"> </v>
          </cell>
        </row>
        <row r="2515">
          <cell r="A2515" t="str">
            <v xml:space="preserve"> </v>
          </cell>
        </row>
        <row r="2516">
          <cell r="A2516" t="str">
            <v xml:space="preserve"> </v>
          </cell>
        </row>
        <row r="2517">
          <cell r="A2517" t="str">
            <v xml:space="preserve"> </v>
          </cell>
        </row>
        <row r="2518">
          <cell r="A2518" t="str">
            <v xml:space="preserve"> </v>
          </cell>
        </row>
        <row r="2519">
          <cell r="A2519" t="str">
            <v xml:space="preserve"> </v>
          </cell>
        </row>
        <row r="2520">
          <cell r="A2520" t="str">
            <v xml:space="preserve"> </v>
          </cell>
        </row>
        <row r="2521">
          <cell r="A2521" t="str">
            <v xml:space="preserve"> </v>
          </cell>
        </row>
        <row r="2522">
          <cell r="A2522" t="str">
            <v xml:space="preserve"> </v>
          </cell>
        </row>
        <row r="2523">
          <cell r="A2523" t="str">
            <v xml:space="preserve"> </v>
          </cell>
        </row>
        <row r="2524">
          <cell r="A2524" t="str">
            <v xml:space="preserve"> </v>
          </cell>
        </row>
        <row r="2525">
          <cell r="A2525" t="str">
            <v xml:space="preserve"> </v>
          </cell>
        </row>
        <row r="2526">
          <cell r="A2526" t="str">
            <v xml:space="preserve"> </v>
          </cell>
        </row>
        <row r="2527">
          <cell r="A2527" t="str">
            <v xml:space="preserve"> </v>
          </cell>
        </row>
        <row r="2528">
          <cell r="A2528" t="str">
            <v xml:space="preserve"> </v>
          </cell>
        </row>
        <row r="2529">
          <cell r="A2529" t="str">
            <v xml:space="preserve"> </v>
          </cell>
        </row>
        <row r="2530">
          <cell r="A2530" t="str">
            <v xml:space="preserve"> </v>
          </cell>
        </row>
        <row r="2531">
          <cell r="A2531" t="str">
            <v xml:space="preserve"> </v>
          </cell>
        </row>
        <row r="2532">
          <cell r="A2532" t="str">
            <v xml:space="preserve"> </v>
          </cell>
        </row>
        <row r="2533">
          <cell r="A2533" t="str">
            <v xml:space="preserve"> </v>
          </cell>
        </row>
        <row r="2534">
          <cell r="A2534" t="str">
            <v xml:space="preserve"> </v>
          </cell>
        </row>
        <row r="2535">
          <cell r="A2535" t="str">
            <v xml:space="preserve"> </v>
          </cell>
        </row>
        <row r="2536">
          <cell r="A2536" t="str">
            <v xml:space="preserve"> </v>
          </cell>
        </row>
        <row r="2537">
          <cell r="A2537" t="str">
            <v xml:space="preserve"> </v>
          </cell>
        </row>
        <row r="2538">
          <cell r="A2538" t="str">
            <v xml:space="preserve"> </v>
          </cell>
        </row>
        <row r="2539">
          <cell r="A2539" t="str">
            <v xml:space="preserve"> </v>
          </cell>
        </row>
        <row r="2540">
          <cell r="A2540" t="str">
            <v xml:space="preserve"> </v>
          </cell>
        </row>
        <row r="2541">
          <cell r="A2541" t="str">
            <v xml:space="preserve"> </v>
          </cell>
        </row>
        <row r="2542">
          <cell r="A2542" t="str">
            <v xml:space="preserve"> </v>
          </cell>
        </row>
        <row r="2543">
          <cell r="A2543" t="str">
            <v xml:space="preserve"> </v>
          </cell>
        </row>
        <row r="2544">
          <cell r="A2544" t="str">
            <v xml:space="preserve"> </v>
          </cell>
        </row>
        <row r="2545">
          <cell r="A2545" t="str">
            <v xml:space="preserve"> </v>
          </cell>
        </row>
        <row r="2546">
          <cell r="A2546" t="str">
            <v xml:space="preserve"> </v>
          </cell>
        </row>
        <row r="2547">
          <cell r="A2547" t="str">
            <v xml:space="preserve"> </v>
          </cell>
        </row>
        <row r="2548">
          <cell r="A2548" t="str">
            <v xml:space="preserve"> </v>
          </cell>
        </row>
        <row r="2549">
          <cell r="A2549" t="str">
            <v xml:space="preserve"> </v>
          </cell>
        </row>
        <row r="2550">
          <cell r="A2550" t="str">
            <v xml:space="preserve"> </v>
          </cell>
        </row>
        <row r="2551">
          <cell r="A2551" t="str">
            <v xml:space="preserve"> </v>
          </cell>
        </row>
        <row r="2552">
          <cell r="A2552" t="str">
            <v xml:space="preserve"> </v>
          </cell>
        </row>
        <row r="2553">
          <cell r="A2553" t="str">
            <v xml:space="preserve"> </v>
          </cell>
        </row>
        <row r="2554">
          <cell r="A2554" t="str">
            <v xml:space="preserve"> </v>
          </cell>
        </row>
        <row r="2555">
          <cell r="A2555" t="str">
            <v xml:space="preserve"> </v>
          </cell>
        </row>
        <row r="2556">
          <cell r="A2556" t="str">
            <v xml:space="preserve"> </v>
          </cell>
        </row>
        <row r="2557">
          <cell r="A2557" t="str">
            <v xml:space="preserve"> </v>
          </cell>
        </row>
        <row r="2558">
          <cell r="A2558" t="str">
            <v xml:space="preserve"> </v>
          </cell>
        </row>
        <row r="2559">
          <cell r="A2559" t="str">
            <v xml:space="preserve"> </v>
          </cell>
        </row>
        <row r="2560">
          <cell r="A2560" t="str">
            <v xml:space="preserve"> </v>
          </cell>
        </row>
        <row r="2561">
          <cell r="A2561" t="str">
            <v xml:space="preserve"> </v>
          </cell>
        </row>
        <row r="2562">
          <cell r="A2562" t="str">
            <v xml:space="preserve"> </v>
          </cell>
        </row>
        <row r="2563">
          <cell r="A2563" t="str">
            <v xml:space="preserve"> </v>
          </cell>
        </row>
        <row r="2564">
          <cell r="A2564" t="str">
            <v xml:space="preserve"> </v>
          </cell>
        </row>
        <row r="2565">
          <cell r="A2565" t="str">
            <v xml:space="preserve"> </v>
          </cell>
        </row>
        <row r="2566">
          <cell r="A2566" t="str">
            <v xml:space="preserve"> </v>
          </cell>
        </row>
        <row r="2567">
          <cell r="A2567" t="str">
            <v xml:space="preserve"> </v>
          </cell>
        </row>
        <row r="2568">
          <cell r="A2568" t="str">
            <v xml:space="preserve"> </v>
          </cell>
        </row>
        <row r="2569">
          <cell r="A2569" t="str">
            <v xml:space="preserve"> </v>
          </cell>
        </row>
        <row r="2570">
          <cell r="A2570" t="str">
            <v xml:space="preserve"> </v>
          </cell>
        </row>
        <row r="2571">
          <cell r="A2571" t="str">
            <v xml:space="preserve"> </v>
          </cell>
        </row>
        <row r="2572">
          <cell r="A2572" t="str">
            <v xml:space="preserve"> </v>
          </cell>
        </row>
        <row r="2573">
          <cell r="A2573" t="str">
            <v xml:space="preserve"> </v>
          </cell>
        </row>
        <row r="2574">
          <cell r="A2574" t="str">
            <v xml:space="preserve"> </v>
          </cell>
        </row>
        <row r="2575">
          <cell r="A2575" t="str">
            <v xml:space="preserve"> </v>
          </cell>
        </row>
        <row r="2576">
          <cell r="A2576" t="str">
            <v xml:space="preserve"> </v>
          </cell>
        </row>
        <row r="2577">
          <cell r="A2577" t="str">
            <v xml:space="preserve"> </v>
          </cell>
        </row>
        <row r="2578">
          <cell r="A2578" t="str">
            <v xml:space="preserve"> </v>
          </cell>
        </row>
        <row r="2579">
          <cell r="A2579" t="str">
            <v xml:space="preserve"> </v>
          </cell>
        </row>
        <row r="2580">
          <cell r="A2580" t="str">
            <v xml:space="preserve"> </v>
          </cell>
        </row>
        <row r="2581">
          <cell r="A2581" t="str">
            <v xml:space="preserve"> </v>
          </cell>
        </row>
        <row r="2582">
          <cell r="A2582" t="str">
            <v xml:space="preserve"> </v>
          </cell>
        </row>
        <row r="2583">
          <cell r="A2583" t="str">
            <v xml:space="preserve"> </v>
          </cell>
        </row>
        <row r="2584">
          <cell r="A2584" t="str">
            <v xml:space="preserve"> </v>
          </cell>
        </row>
        <row r="2585">
          <cell r="A2585" t="str">
            <v xml:space="preserve"> </v>
          </cell>
        </row>
        <row r="2586">
          <cell r="A2586" t="str">
            <v xml:space="preserve"> </v>
          </cell>
        </row>
        <row r="2587">
          <cell r="A2587" t="str">
            <v xml:space="preserve"> </v>
          </cell>
        </row>
        <row r="2588">
          <cell r="A2588" t="str">
            <v xml:space="preserve"> </v>
          </cell>
        </row>
        <row r="2589">
          <cell r="A2589" t="str">
            <v xml:space="preserve"> </v>
          </cell>
        </row>
        <row r="2590">
          <cell r="A2590" t="str">
            <v xml:space="preserve"> </v>
          </cell>
        </row>
        <row r="2591">
          <cell r="A2591" t="str">
            <v xml:space="preserve"> </v>
          </cell>
        </row>
        <row r="2592">
          <cell r="A2592" t="str">
            <v xml:space="preserve"> </v>
          </cell>
        </row>
        <row r="2593">
          <cell r="A2593" t="str">
            <v xml:space="preserve"> </v>
          </cell>
        </row>
        <row r="2594">
          <cell r="A2594" t="str">
            <v xml:space="preserve"> </v>
          </cell>
        </row>
        <row r="2595">
          <cell r="A2595" t="str">
            <v xml:space="preserve"> </v>
          </cell>
        </row>
        <row r="2596">
          <cell r="A2596" t="str">
            <v xml:space="preserve"> </v>
          </cell>
        </row>
        <row r="2597">
          <cell r="A2597" t="str">
            <v xml:space="preserve"> </v>
          </cell>
        </row>
        <row r="2598">
          <cell r="A2598" t="str">
            <v xml:space="preserve"> </v>
          </cell>
        </row>
        <row r="2599">
          <cell r="A2599" t="str">
            <v xml:space="preserve"> </v>
          </cell>
        </row>
        <row r="2600">
          <cell r="A2600" t="str">
            <v xml:space="preserve"> </v>
          </cell>
        </row>
        <row r="2601">
          <cell r="A2601" t="str">
            <v xml:space="preserve"> </v>
          </cell>
        </row>
        <row r="2602">
          <cell r="A2602" t="str">
            <v xml:space="preserve"> </v>
          </cell>
        </row>
        <row r="2603">
          <cell r="A2603" t="str">
            <v xml:space="preserve"> </v>
          </cell>
        </row>
        <row r="2604">
          <cell r="A2604" t="str">
            <v xml:space="preserve"> </v>
          </cell>
        </row>
        <row r="2605">
          <cell r="A2605" t="str">
            <v xml:space="preserve"> </v>
          </cell>
        </row>
        <row r="2606">
          <cell r="A2606" t="str">
            <v xml:space="preserve"> </v>
          </cell>
        </row>
        <row r="2607">
          <cell r="A2607" t="str">
            <v xml:space="preserve"> </v>
          </cell>
        </row>
        <row r="2608">
          <cell r="A2608" t="str">
            <v xml:space="preserve"> </v>
          </cell>
        </row>
        <row r="2609">
          <cell r="A2609" t="str">
            <v xml:space="preserve"> </v>
          </cell>
        </row>
        <row r="2610">
          <cell r="A2610" t="str">
            <v xml:space="preserve"> </v>
          </cell>
        </row>
        <row r="2611">
          <cell r="A2611" t="str">
            <v xml:space="preserve"> </v>
          </cell>
        </row>
        <row r="2612">
          <cell r="A2612" t="str">
            <v xml:space="preserve"> </v>
          </cell>
        </row>
        <row r="2613">
          <cell r="A2613" t="str">
            <v xml:space="preserve"> </v>
          </cell>
        </row>
        <row r="2614">
          <cell r="A2614" t="str">
            <v xml:space="preserve"> </v>
          </cell>
        </row>
        <row r="2615">
          <cell r="A2615" t="str">
            <v xml:space="preserve"> </v>
          </cell>
        </row>
        <row r="2616">
          <cell r="A2616" t="str">
            <v xml:space="preserve"> </v>
          </cell>
        </row>
        <row r="2617">
          <cell r="A2617" t="str">
            <v xml:space="preserve"> </v>
          </cell>
        </row>
        <row r="2618">
          <cell r="A2618" t="str">
            <v xml:space="preserve"> </v>
          </cell>
        </row>
        <row r="2619">
          <cell r="A2619" t="str">
            <v xml:space="preserve"> </v>
          </cell>
        </row>
        <row r="2620">
          <cell r="A2620" t="str">
            <v xml:space="preserve"> </v>
          </cell>
        </row>
        <row r="2621">
          <cell r="A2621" t="str">
            <v xml:space="preserve"> </v>
          </cell>
        </row>
        <row r="2622">
          <cell r="A2622" t="str">
            <v xml:space="preserve"> </v>
          </cell>
        </row>
        <row r="2623">
          <cell r="A2623" t="str">
            <v xml:space="preserve"> </v>
          </cell>
        </row>
        <row r="2624">
          <cell r="A2624" t="str">
            <v xml:space="preserve"> </v>
          </cell>
        </row>
        <row r="2625">
          <cell r="A2625" t="str">
            <v xml:space="preserve"> </v>
          </cell>
        </row>
        <row r="2626">
          <cell r="A2626" t="str">
            <v xml:space="preserve"> </v>
          </cell>
        </row>
        <row r="2627">
          <cell r="A2627" t="str">
            <v xml:space="preserve"> </v>
          </cell>
        </row>
        <row r="2628">
          <cell r="A2628" t="str">
            <v xml:space="preserve"> </v>
          </cell>
        </row>
        <row r="2629">
          <cell r="A2629" t="str">
            <v xml:space="preserve"> </v>
          </cell>
        </row>
        <row r="2630">
          <cell r="A2630" t="str">
            <v xml:space="preserve"> </v>
          </cell>
        </row>
        <row r="2631">
          <cell r="A2631" t="str">
            <v xml:space="preserve"> </v>
          </cell>
        </row>
        <row r="2632">
          <cell r="A2632" t="str">
            <v xml:space="preserve"> </v>
          </cell>
        </row>
        <row r="2633">
          <cell r="A2633" t="str">
            <v xml:space="preserve"> </v>
          </cell>
        </row>
        <row r="2634">
          <cell r="A2634" t="str">
            <v xml:space="preserve"> </v>
          </cell>
        </row>
        <row r="2635">
          <cell r="A2635" t="str">
            <v xml:space="preserve"> </v>
          </cell>
        </row>
        <row r="2636">
          <cell r="A2636" t="str">
            <v xml:space="preserve"> </v>
          </cell>
        </row>
        <row r="2637">
          <cell r="A2637" t="str">
            <v xml:space="preserve"> </v>
          </cell>
        </row>
        <row r="2638">
          <cell r="A2638" t="str">
            <v xml:space="preserve"> </v>
          </cell>
        </row>
        <row r="2639">
          <cell r="A2639" t="str">
            <v xml:space="preserve"> </v>
          </cell>
        </row>
        <row r="2640">
          <cell r="A2640" t="str">
            <v xml:space="preserve"> </v>
          </cell>
        </row>
        <row r="2641">
          <cell r="A2641" t="str">
            <v xml:space="preserve"> </v>
          </cell>
        </row>
        <row r="2642">
          <cell r="A2642" t="str">
            <v xml:space="preserve"> </v>
          </cell>
        </row>
        <row r="2643">
          <cell r="A2643" t="str">
            <v xml:space="preserve"> </v>
          </cell>
        </row>
        <row r="2644">
          <cell r="A2644" t="str">
            <v xml:space="preserve"> </v>
          </cell>
        </row>
        <row r="2645">
          <cell r="A2645" t="str">
            <v xml:space="preserve"> </v>
          </cell>
        </row>
        <row r="2646">
          <cell r="A2646" t="str">
            <v xml:space="preserve"> </v>
          </cell>
        </row>
        <row r="2647">
          <cell r="A2647" t="str">
            <v xml:space="preserve"> </v>
          </cell>
        </row>
        <row r="2648">
          <cell r="A2648" t="str">
            <v xml:space="preserve"> </v>
          </cell>
        </row>
        <row r="2649">
          <cell r="A2649" t="str">
            <v xml:space="preserve"> </v>
          </cell>
        </row>
        <row r="2650">
          <cell r="A2650" t="str">
            <v xml:space="preserve"> </v>
          </cell>
        </row>
        <row r="2651">
          <cell r="A2651" t="str">
            <v xml:space="preserve"> </v>
          </cell>
        </row>
        <row r="2652">
          <cell r="A2652" t="str">
            <v xml:space="preserve"> </v>
          </cell>
        </row>
        <row r="2653">
          <cell r="A2653" t="str">
            <v xml:space="preserve"> </v>
          </cell>
        </row>
        <row r="2654">
          <cell r="A2654" t="str">
            <v xml:space="preserve"> </v>
          </cell>
        </row>
        <row r="2655">
          <cell r="A2655" t="str">
            <v xml:space="preserve"> </v>
          </cell>
        </row>
        <row r="2656">
          <cell r="A2656" t="str">
            <v xml:space="preserve"> </v>
          </cell>
        </row>
        <row r="2657">
          <cell r="A2657" t="str">
            <v xml:space="preserve"> </v>
          </cell>
        </row>
        <row r="2658">
          <cell r="A2658" t="str">
            <v xml:space="preserve"> </v>
          </cell>
        </row>
        <row r="2659">
          <cell r="A2659" t="str">
            <v xml:space="preserve"> </v>
          </cell>
        </row>
        <row r="2660">
          <cell r="A2660" t="str">
            <v xml:space="preserve"> </v>
          </cell>
        </row>
        <row r="2661">
          <cell r="A2661" t="str">
            <v xml:space="preserve"> </v>
          </cell>
        </row>
        <row r="2662">
          <cell r="A2662" t="str">
            <v xml:space="preserve"> </v>
          </cell>
        </row>
        <row r="2663">
          <cell r="A2663" t="str">
            <v xml:space="preserve"> </v>
          </cell>
        </row>
        <row r="2664">
          <cell r="A2664" t="str">
            <v xml:space="preserve"> </v>
          </cell>
        </row>
        <row r="2665">
          <cell r="A2665" t="str">
            <v xml:space="preserve"> </v>
          </cell>
        </row>
        <row r="2666">
          <cell r="A2666" t="str">
            <v xml:space="preserve"> </v>
          </cell>
        </row>
        <row r="2667">
          <cell r="A2667" t="str">
            <v xml:space="preserve"> </v>
          </cell>
        </row>
        <row r="2668">
          <cell r="A2668" t="str">
            <v xml:space="preserve"> </v>
          </cell>
        </row>
        <row r="2669">
          <cell r="A2669" t="str">
            <v xml:space="preserve"> </v>
          </cell>
        </row>
        <row r="2670">
          <cell r="A2670" t="str">
            <v xml:space="preserve"> </v>
          </cell>
        </row>
        <row r="2671">
          <cell r="A2671" t="str">
            <v xml:space="preserve"> </v>
          </cell>
        </row>
        <row r="2672">
          <cell r="A2672" t="str">
            <v xml:space="preserve"> </v>
          </cell>
        </row>
        <row r="2673">
          <cell r="A2673" t="str">
            <v xml:space="preserve"> </v>
          </cell>
        </row>
        <row r="2674">
          <cell r="A2674" t="str">
            <v xml:space="preserve"> </v>
          </cell>
        </row>
        <row r="2675">
          <cell r="A2675" t="str">
            <v xml:space="preserve"> </v>
          </cell>
        </row>
        <row r="2676">
          <cell r="A2676" t="str">
            <v xml:space="preserve"> </v>
          </cell>
        </row>
        <row r="2677">
          <cell r="A2677" t="str">
            <v xml:space="preserve"> </v>
          </cell>
        </row>
        <row r="2678">
          <cell r="A2678" t="str">
            <v xml:space="preserve"> </v>
          </cell>
        </row>
        <row r="2679">
          <cell r="A2679" t="str">
            <v xml:space="preserve"> </v>
          </cell>
        </row>
        <row r="2680">
          <cell r="A2680" t="str">
            <v xml:space="preserve"> </v>
          </cell>
        </row>
        <row r="2681">
          <cell r="A2681" t="str">
            <v xml:space="preserve"> </v>
          </cell>
        </row>
        <row r="2682">
          <cell r="A2682" t="str">
            <v xml:space="preserve"> </v>
          </cell>
        </row>
        <row r="2683">
          <cell r="A2683" t="str">
            <v xml:space="preserve"> </v>
          </cell>
        </row>
        <row r="2684">
          <cell r="A2684" t="str">
            <v xml:space="preserve"> </v>
          </cell>
        </row>
        <row r="2685">
          <cell r="A2685" t="str">
            <v xml:space="preserve"> </v>
          </cell>
        </row>
        <row r="2686">
          <cell r="A2686" t="str">
            <v xml:space="preserve"> </v>
          </cell>
        </row>
        <row r="2687">
          <cell r="A2687" t="str">
            <v xml:space="preserve"> </v>
          </cell>
        </row>
        <row r="2688">
          <cell r="A2688" t="str">
            <v xml:space="preserve"> </v>
          </cell>
        </row>
        <row r="2689">
          <cell r="A2689" t="str">
            <v xml:space="preserve"> </v>
          </cell>
        </row>
        <row r="2690">
          <cell r="A2690" t="str">
            <v xml:space="preserve"> </v>
          </cell>
        </row>
        <row r="2691">
          <cell r="A2691" t="str">
            <v xml:space="preserve"> </v>
          </cell>
        </row>
        <row r="2692">
          <cell r="A2692" t="str">
            <v xml:space="preserve"> </v>
          </cell>
        </row>
        <row r="2693">
          <cell r="A2693" t="str">
            <v xml:space="preserve"> </v>
          </cell>
        </row>
        <row r="2694">
          <cell r="A2694" t="str">
            <v xml:space="preserve"> </v>
          </cell>
        </row>
        <row r="2695">
          <cell r="A2695" t="str">
            <v xml:space="preserve"> </v>
          </cell>
        </row>
        <row r="2696">
          <cell r="A2696" t="str">
            <v xml:space="preserve"> </v>
          </cell>
        </row>
        <row r="2697">
          <cell r="A2697" t="str">
            <v xml:space="preserve"> </v>
          </cell>
        </row>
        <row r="2698">
          <cell r="A2698" t="str">
            <v xml:space="preserve"> </v>
          </cell>
        </row>
        <row r="2699">
          <cell r="A2699" t="str">
            <v xml:space="preserve"> </v>
          </cell>
        </row>
        <row r="2700">
          <cell r="A2700" t="str">
            <v xml:space="preserve"> </v>
          </cell>
        </row>
        <row r="2701">
          <cell r="A2701" t="str">
            <v xml:space="preserve"> </v>
          </cell>
        </row>
        <row r="2702">
          <cell r="A2702" t="str">
            <v xml:space="preserve"> </v>
          </cell>
        </row>
        <row r="2703">
          <cell r="A2703" t="str">
            <v xml:space="preserve"> </v>
          </cell>
        </row>
        <row r="2704">
          <cell r="A2704" t="str">
            <v xml:space="preserve"> </v>
          </cell>
        </row>
        <row r="2705">
          <cell r="A2705" t="str">
            <v xml:space="preserve"> </v>
          </cell>
        </row>
        <row r="2706">
          <cell r="A2706" t="str">
            <v xml:space="preserve"> </v>
          </cell>
        </row>
        <row r="2707">
          <cell r="A2707" t="str">
            <v xml:space="preserve"> </v>
          </cell>
        </row>
        <row r="2708">
          <cell r="A2708" t="str">
            <v xml:space="preserve"> </v>
          </cell>
        </row>
        <row r="2709">
          <cell r="A2709" t="str">
            <v xml:space="preserve"> </v>
          </cell>
        </row>
        <row r="2710">
          <cell r="A2710" t="str">
            <v xml:space="preserve"> </v>
          </cell>
        </row>
        <row r="2711">
          <cell r="A2711" t="str">
            <v xml:space="preserve"> </v>
          </cell>
        </row>
        <row r="2712">
          <cell r="A2712" t="str">
            <v xml:space="preserve"> </v>
          </cell>
        </row>
        <row r="2713">
          <cell r="A2713" t="str">
            <v xml:space="preserve"> </v>
          </cell>
        </row>
        <row r="2714">
          <cell r="A2714" t="str">
            <v xml:space="preserve"> </v>
          </cell>
        </row>
        <row r="2715">
          <cell r="A2715" t="str">
            <v xml:space="preserve"> </v>
          </cell>
        </row>
        <row r="2716">
          <cell r="A2716" t="str">
            <v xml:space="preserve"> </v>
          </cell>
        </row>
        <row r="2717">
          <cell r="A2717" t="str">
            <v xml:space="preserve"> </v>
          </cell>
        </row>
        <row r="2718">
          <cell r="A2718" t="str">
            <v xml:space="preserve"> </v>
          </cell>
        </row>
        <row r="2719">
          <cell r="A2719" t="str">
            <v xml:space="preserve"> </v>
          </cell>
        </row>
        <row r="2720">
          <cell r="A2720" t="str">
            <v xml:space="preserve"> </v>
          </cell>
        </row>
        <row r="2721">
          <cell r="A2721" t="str">
            <v xml:space="preserve"> </v>
          </cell>
        </row>
        <row r="2722">
          <cell r="A2722" t="str">
            <v xml:space="preserve"> </v>
          </cell>
        </row>
        <row r="2723">
          <cell r="A2723" t="str">
            <v xml:space="preserve"> </v>
          </cell>
        </row>
        <row r="2724">
          <cell r="A2724" t="str">
            <v xml:space="preserve"> </v>
          </cell>
        </row>
        <row r="2725">
          <cell r="A2725" t="str">
            <v xml:space="preserve"> </v>
          </cell>
        </row>
        <row r="2726">
          <cell r="A2726" t="str">
            <v xml:space="preserve"> </v>
          </cell>
        </row>
        <row r="2727">
          <cell r="A2727" t="str">
            <v xml:space="preserve"> </v>
          </cell>
        </row>
        <row r="2728">
          <cell r="A2728" t="str">
            <v xml:space="preserve"> </v>
          </cell>
        </row>
        <row r="2729">
          <cell r="A2729" t="str">
            <v xml:space="preserve"> </v>
          </cell>
        </row>
        <row r="2730">
          <cell r="A2730" t="str">
            <v xml:space="preserve"> </v>
          </cell>
        </row>
        <row r="2731">
          <cell r="A2731" t="str">
            <v xml:space="preserve"> </v>
          </cell>
        </row>
        <row r="2732">
          <cell r="A2732" t="str">
            <v xml:space="preserve"> </v>
          </cell>
        </row>
        <row r="2733">
          <cell r="A2733" t="str">
            <v xml:space="preserve"> </v>
          </cell>
        </row>
        <row r="2734">
          <cell r="A2734" t="str">
            <v xml:space="preserve"> </v>
          </cell>
        </row>
        <row r="2735">
          <cell r="A2735" t="str">
            <v xml:space="preserve"> </v>
          </cell>
        </row>
        <row r="2736">
          <cell r="A2736" t="str">
            <v xml:space="preserve"> </v>
          </cell>
        </row>
        <row r="2737">
          <cell r="A2737" t="str">
            <v xml:space="preserve"> </v>
          </cell>
        </row>
        <row r="2738">
          <cell r="A2738" t="str">
            <v xml:space="preserve"> </v>
          </cell>
        </row>
        <row r="2739">
          <cell r="A2739" t="str">
            <v xml:space="preserve"> </v>
          </cell>
        </row>
        <row r="2740">
          <cell r="A2740" t="str">
            <v xml:space="preserve"> </v>
          </cell>
        </row>
        <row r="2741">
          <cell r="A2741" t="str">
            <v xml:space="preserve"> </v>
          </cell>
        </row>
        <row r="2742">
          <cell r="A2742" t="str">
            <v xml:space="preserve"> </v>
          </cell>
        </row>
        <row r="2743">
          <cell r="A2743" t="str">
            <v xml:space="preserve"> </v>
          </cell>
        </row>
        <row r="2744">
          <cell r="A2744" t="str">
            <v xml:space="preserve"> </v>
          </cell>
        </row>
        <row r="2745">
          <cell r="A2745" t="str">
            <v xml:space="preserve"> </v>
          </cell>
        </row>
        <row r="2746">
          <cell r="A2746" t="str">
            <v xml:space="preserve"> </v>
          </cell>
        </row>
        <row r="2747">
          <cell r="A2747" t="str">
            <v xml:space="preserve"> </v>
          </cell>
        </row>
        <row r="2748">
          <cell r="A2748" t="str">
            <v xml:space="preserve"> </v>
          </cell>
        </row>
        <row r="2749">
          <cell r="A2749" t="str">
            <v xml:space="preserve"> </v>
          </cell>
        </row>
        <row r="2750">
          <cell r="A2750" t="str">
            <v xml:space="preserve"> </v>
          </cell>
        </row>
        <row r="2751">
          <cell r="A2751" t="str">
            <v xml:space="preserve"> </v>
          </cell>
        </row>
        <row r="2752">
          <cell r="A2752" t="str">
            <v xml:space="preserve"> </v>
          </cell>
        </row>
        <row r="2753">
          <cell r="A2753" t="str">
            <v xml:space="preserve"> </v>
          </cell>
        </row>
        <row r="2754">
          <cell r="A2754" t="str">
            <v xml:space="preserve"> </v>
          </cell>
        </row>
        <row r="2755">
          <cell r="A2755" t="str">
            <v xml:space="preserve"> </v>
          </cell>
        </row>
        <row r="2756">
          <cell r="A2756" t="str">
            <v xml:space="preserve"> </v>
          </cell>
        </row>
        <row r="2757">
          <cell r="A2757" t="str">
            <v xml:space="preserve"> </v>
          </cell>
        </row>
        <row r="2758">
          <cell r="A2758" t="str">
            <v xml:space="preserve"> </v>
          </cell>
        </row>
        <row r="2759">
          <cell r="A2759" t="str">
            <v xml:space="preserve"> </v>
          </cell>
        </row>
        <row r="2760">
          <cell r="A2760" t="str">
            <v xml:space="preserve"> </v>
          </cell>
        </row>
        <row r="2761">
          <cell r="A2761" t="str">
            <v xml:space="preserve"> </v>
          </cell>
        </row>
        <row r="2762">
          <cell r="A2762" t="str">
            <v xml:space="preserve"> </v>
          </cell>
        </row>
        <row r="2763">
          <cell r="A2763" t="str">
            <v xml:space="preserve"> </v>
          </cell>
        </row>
        <row r="2764">
          <cell r="A2764" t="str">
            <v xml:space="preserve"> </v>
          </cell>
        </row>
        <row r="2765">
          <cell r="A2765" t="str">
            <v xml:space="preserve"> </v>
          </cell>
        </row>
        <row r="2766">
          <cell r="A2766" t="str">
            <v xml:space="preserve"> </v>
          </cell>
        </row>
        <row r="2767">
          <cell r="A2767" t="str">
            <v xml:space="preserve"> </v>
          </cell>
        </row>
        <row r="2768">
          <cell r="A2768" t="str">
            <v xml:space="preserve"> </v>
          </cell>
        </row>
        <row r="2769">
          <cell r="A2769" t="str">
            <v xml:space="preserve"> </v>
          </cell>
        </row>
        <row r="2770">
          <cell r="A2770" t="str">
            <v xml:space="preserve"> </v>
          </cell>
        </row>
        <row r="2771">
          <cell r="A2771" t="str">
            <v xml:space="preserve"> </v>
          </cell>
        </row>
        <row r="2772">
          <cell r="A2772" t="str">
            <v xml:space="preserve"> </v>
          </cell>
        </row>
        <row r="2773">
          <cell r="A2773" t="str">
            <v xml:space="preserve"> </v>
          </cell>
        </row>
        <row r="2774">
          <cell r="A2774" t="str">
            <v xml:space="preserve"> </v>
          </cell>
        </row>
        <row r="2775">
          <cell r="A2775" t="str">
            <v xml:space="preserve"> </v>
          </cell>
        </row>
        <row r="2776">
          <cell r="A2776" t="str">
            <v xml:space="preserve"> </v>
          </cell>
        </row>
        <row r="2777">
          <cell r="A2777" t="str">
            <v xml:space="preserve"> </v>
          </cell>
        </row>
        <row r="2778">
          <cell r="A2778" t="str">
            <v xml:space="preserve"> </v>
          </cell>
        </row>
        <row r="2779">
          <cell r="A2779" t="str">
            <v xml:space="preserve"> </v>
          </cell>
        </row>
        <row r="2780">
          <cell r="A2780" t="str">
            <v xml:space="preserve"> </v>
          </cell>
        </row>
        <row r="2781">
          <cell r="A2781" t="str">
            <v xml:space="preserve"> </v>
          </cell>
        </row>
        <row r="2782">
          <cell r="A2782" t="str">
            <v xml:space="preserve"> </v>
          </cell>
        </row>
        <row r="2783">
          <cell r="A2783" t="str">
            <v xml:space="preserve"> </v>
          </cell>
        </row>
        <row r="2784">
          <cell r="A2784" t="str">
            <v xml:space="preserve"> </v>
          </cell>
        </row>
        <row r="2785">
          <cell r="A2785" t="str">
            <v xml:space="preserve"> </v>
          </cell>
        </row>
        <row r="2786">
          <cell r="A2786" t="str">
            <v xml:space="preserve"> </v>
          </cell>
        </row>
        <row r="2787">
          <cell r="A2787" t="str">
            <v xml:space="preserve"> </v>
          </cell>
        </row>
        <row r="2788">
          <cell r="A2788" t="str">
            <v xml:space="preserve"> </v>
          </cell>
        </row>
        <row r="2789">
          <cell r="A2789" t="str">
            <v xml:space="preserve"> </v>
          </cell>
        </row>
        <row r="2790">
          <cell r="A2790" t="str">
            <v xml:space="preserve"> </v>
          </cell>
        </row>
        <row r="2791">
          <cell r="A2791" t="str">
            <v xml:space="preserve"> </v>
          </cell>
        </row>
        <row r="2792">
          <cell r="A2792" t="str">
            <v xml:space="preserve"> </v>
          </cell>
        </row>
        <row r="2793">
          <cell r="A2793" t="str">
            <v xml:space="preserve"> </v>
          </cell>
        </row>
        <row r="2794">
          <cell r="A2794" t="str">
            <v xml:space="preserve"> </v>
          </cell>
        </row>
        <row r="2795">
          <cell r="A2795" t="str">
            <v xml:space="preserve"> </v>
          </cell>
        </row>
        <row r="2796">
          <cell r="A2796" t="str">
            <v xml:space="preserve"> </v>
          </cell>
        </row>
        <row r="2797">
          <cell r="A2797" t="str">
            <v xml:space="preserve"> </v>
          </cell>
        </row>
        <row r="2798">
          <cell r="A2798" t="str">
            <v xml:space="preserve"> </v>
          </cell>
        </row>
        <row r="2799">
          <cell r="A2799" t="str">
            <v xml:space="preserve"> </v>
          </cell>
        </row>
        <row r="2800">
          <cell r="A2800" t="str">
            <v xml:space="preserve"> </v>
          </cell>
        </row>
        <row r="2801">
          <cell r="A2801" t="str">
            <v xml:space="preserve"> </v>
          </cell>
        </row>
        <row r="2802">
          <cell r="A2802" t="str">
            <v xml:space="preserve"> </v>
          </cell>
        </row>
        <row r="2803">
          <cell r="A2803" t="str">
            <v xml:space="preserve"> </v>
          </cell>
        </row>
        <row r="2804">
          <cell r="A2804" t="str">
            <v xml:space="preserve"> </v>
          </cell>
        </row>
        <row r="2805">
          <cell r="A2805" t="str">
            <v xml:space="preserve"> </v>
          </cell>
        </row>
        <row r="2806">
          <cell r="A2806" t="str">
            <v xml:space="preserve"> </v>
          </cell>
        </row>
        <row r="2807">
          <cell r="A2807" t="str">
            <v xml:space="preserve"> </v>
          </cell>
        </row>
        <row r="2808">
          <cell r="A2808" t="str">
            <v xml:space="preserve"> </v>
          </cell>
        </row>
        <row r="2809">
          <cell r="A2809" t="str">
            <v xml:space="preserve"> </v>
          </cell>
        </row>
        <row r="2810">
          <cell r="A2810" t="str">
            <v xml:space="preserve"> </v>
          </cell>
        </row>
        <row r="2811">
          <cell r="A2811" t="str">
            <v xml:space="preserve"> </v>
          </cell>
        </row>
        <row r="2812">
          <cell r="A2812" t="str">
            <v xml:space="preserve"> </v>
          </cell>
        </row>
        <row r="2813">
          <cell r="A2813" t="str">
            <v xml:space="preserve"> </v>
          </cell>
        </row>
        <row r="2814">
          <cell r="A2814" t="str">
            <v xml:space="preserve"> </v>
          </cell>
        </row>
        <row r="2815">
          <cell r="A2815" t="str">
            <v xml:space="preserve"> </v>
          </cell>
        </row>
        <row r="2816">
          <cell r="A2816" t="str">
            <v xml:space="preserve"> </v>
          </cell>
        </row>
        <row r="2817">
          <cell r="A2817" t="str">
            <v xml:space="preserve"> </v>
          </cell>
        </row>
        <row r="2818">
          <cell r="A2818" t="str">
            <v xml:space="preserve"> </v>
          </cell>
        </row>
        <row r="2819">
          <cell r="A2819" t="str">
            <v xml:space="preserve"> </v>
          </cell>
        </row>
        <row r="2820">
          <cell r="A2820" t="str">
            <v xml:space="preserve"> </v>
          </cell>
        </row>
        <row r="2821">
          <cell r="A2821" t="str">
            <v xml:space="preserve"> </v>
          </cell>
        </row>
        <row r="2822">
          <cell r="A2822" t="str">
            <v xml:space="preserve"> </v>
          </cell>
        </row>
        <row r="2823">
          <cell r="A2823" t="str">
            <v xml:space="preserve"> </v>
          </cell>
        </row>
        <row r="2824">
          <cell r="A2824" t="str">
            <v xml:space="preserve"> </v>
          </cell>
        </row>
        <row r="2825">
          <cell r="A2825" t="str">
            <v xml:space="preserve"> </v>
          </cell>
        </row>
        <row r="2826">
          <cell r="A2826" t="str">
            <v xml:space="preserve"> </v>
          </cell>
        </row>
        <row r="2827">
          <cell r="A2827" t="str">
            <v xml:space="preserve"> </v>
          </cell>
        </row>
        <row r="2828">
          <cell r="A2828" t="str">
            <v xml:space="preserve"> </v>
          </cell>
        </row>
        <row r="2829">
          <cell r="A2829" t="str">
            <v xml:space="preserve"> </v>
          </cell>
        </row>
        <row r="2830">
          <cell r="A2830" t="str">
            <v xml:space="preserve"> </v>
          </cell>
        </row>
        <row r="2831">
          <cell r="A2831" t="str">
            <v xml:space="preserve"> </v>
          </cell>
        </row>
        <row r="2832">
          <cell r="A2832" t="str">
            <v xml:space="preserve"> </v>
          </cell>
        </row>
        <row r="2833">
          <cell r="A2833" t="str">
            <v xml:space="preserve"> </v>
          </cell>
        </row>
        <row r="2834">
          <cell r="A2834" t="str">
            <v xml:space="preserve"> </v>
          </cell>
        </row>
        <row r="2835">
          <cell r="A2835" t="str">
            <v xml:space="preserve"> </v>
          </cell>
        </row>
        <row r="2836">
          <cell r="A2836" t="str">
            <v xml:space="preserve"> </v>
          </cell>
        </row>
        <row r="2837">
          <cell r="A2837" t="str">
            <v xml:space="preserve"> </v>
          </cell>
        </row>
        <row r="2838">
          <cell r="A2838" t="str">
            <v xml:space="preserve"> </v>
          </cell>
        </row>
        <row r="2839">
          <cell r="A2839" t="str">
            <v xml:space="preserve"> </v>
          </cell>
        </row>
        <row r="2840">
          <cell r="A2840" t="str">
            <v xml:space="preserve"> </v>
          </cell>
        </row>
        <row r="2841">
          <cell r="A2841" t="str">
            <v xml:space="preserve"> </v>
          </cell>
        </row>
        <row r="2842">
          <cell r="A2842" t="str">
            <v xml:space="preserve"> </v>
          </cell>
        </row>
        <row r="2843">
          <cell r="A2843" t="str">
            <v xml:space="preserve"> </v>
          </cell>
        </row>
        <row r="2844">
          <cell r="A2844" t="str">
            <v xml:space="preserve"> </v>
          </cell>
        </row>
        <row r="2845">
          <cell r="A2845" t="str">
            <v xml:space="preserve"> </v>
          </cell>
        </row>
        <row r="2846">
          <cell r="A2846" t="str">
            <v xml:space="preserve"> </v>
          </cell>
        </row>
        <row r="2847">
          <cell r="A2847" t="str">
            <v xml:space="preserve"> </v>
          </cell>
        </row>
        <row r="2848">
          <cell r="A2848" t="str">
            <v xml:space="preserve"> </v>
          </cell>
        </row>
        <row r="2849">
          <cell r="A2849" t="str">
            <v xml:space="preserve"> </v>
          </cell>
        </row>
        <row r="2850">
          <cell r="A2850" t="str">
            <v xml:space="preserve"> </v>
          </cell>
        </row>
        <row r="2851">
          <cell r="A2851" t="str">
            <v xml:space="preserve"> </v>
          </cell>
        </row>
        <row r="2852">
          <cell r="A2852" t="str">
            <v xml:space="preserve"> </v>
          </cell>
        </row>
        <row r="2853">
          <cell r="A2853" t="str">
            <v xml:space="preserve"> </v>
          </cell>
        </row>
        <row r="2854">
          <cell r="A2854" t="str">
            <v xml:space="preserve"> </v>
          </cell>
        </row>
        <row r="2855">
          <cell r="A2855" t="str">
            <v xml:space="preserve"> </v>
          </cell>
        </row>
        <row r="2856">
          <cell r="A2856" t="str">
            <v xml:space="preserve"> </v>
          </cell>
        </row>
        <row r="2857">
          <cell r="A2857" t="str">
            <v xml:space="preserve"> </v>
          </cell>
        </row>
        <row r="2858">
          <cell r="A2858" t="str">
            <v xml:space="preserve"> </v>
          </cell>
        </row>
        <row r="2859">
          <cell r="A2859" t="str">
            <v xml:space="preserve"> </v>
          </cell>
        </row>
        <row r="2860">
          <cell r="A2860" t="str">
            <v xml:space="preserve"> </v>
          </cell>
        </row>
        <row r="2861">
          <cell r="A2861" t="str">
            <v xml:space="preserve"> </v>
          </cell>
        </row>
        <row r="2862">
          <cell r="A2862" t="str">
            <v xml:space="preserve"> </v>
          </cell>
        </row>
        <row r="2863">
          <cell r="A2863" t="str">
            <v xml:space="preserve"> </v>
          </cell>
        </row>
        <row r="2864">
          <cell r="A2864" t="str">
            <v xml:space="preserve"> </v>
          </cell>
        </row>
        <row r="2865">
          <cell r="A2865" t="str">
            <v xml:space="preserve"> </v>
          </cell>
        </row>
        <row r="2866">
          <cell r="A2866" t="str">
            <v xml:space="preserve"> </v>
          </cell>
        </row>
        <row r="2867">
          <cell r="A2867" t="str">
            <v xml:space="preserve"> </v>
          </cell>
        </row>
        <row r="2868">
          <cell r="A2868" t="str">
            <v xml:space="preserve"> </v>
          </cell>
        </row>
        <row r="2869">
          <cell r="A2869" t="str">
            <v xml:space="preserve"> </v>
          </cell>
        </row>
        <row r="2870">
          <cell r="A2870" t="str">
            <v xml:space="preserve"> </v>
          </cell>
        </row>
        <row r="2871">
          <cell r="A2871" t="str">
            <v xml:space="preserve"> </v>
          </cell>
        </row>
        <row r="2872">
          <cell r="A2872" t="str">
            <v xml:space="preserve"> </v>
          </cell>
        </row>
        <row r="2873">
          <cell r="A2873" t="str">
            <v xml:space="preserve"> </v>
          </cell>
        </row>
        <row r="2874">
          <cell r="A2874" t="str">
            <v xml:space="preserve"> </v>
          </cell>
        </row>
        <row r="2875">
          <cell r="A2875" t="str">
            <v xml:space="preserve"> </v>
          </cell>
        </row>
        <row r="2876">
          <cell r="A2876" t="str">
            <v xml:space="preserve"> </v>
          </cell>
        </row>
        <row r="2877">
          <cell r="A2877" t="str">
            <v xml:space="preserve"> </v>
          </cell>
        </row>
        <row r="2878">
          <cell r="A2878" t="str">
            <v xml:space="preserve"> </v>
          </cell>
        </row>
        <row r="2879">
          <cell r="A2879" t="str">
            <v xml:space="preserve"> </v>
          </cell>
        </row>
        <row r="2880">
          <cell r="A2880" t="str">
            <v xml:space="preserve"> </v>
          </cell>
        </row>
        <row r="2881">
          <cell r="A2881" t="str">
            <v xml:space="preserve"> </v>
          </cell>
        </row>
        <row r="2882">
          <cell r="A2882" t="str">
            <v xml:space="preserve"> </v>
          </cell>
        </row>
        <row r="2883">
          <cell r="A2883" t="str">
            <v xml:space="preserve"> </v>
          </cell>
        </row>
        <row r="2884">
          <cell r="A2884" t="str">
            <v xml:space="preserve"> </v>
          </cell>
        </row>
        <row r="2885">
          <cell r="A2885" t="str">
            <v xml:space="preserve"> </v>
          </cell>
        </row>
        <row r="2886">
          <cell r="A2886" t="str">
            <v xml:space="preserve"> </v>
          </cell>
        </row>
        <row r="2887">
          <cell r="A2887" t="str">
            <v xml:space="preserve"> </v>
          </cell>
        </row>
        <row r="2888">
          <cell r="A2888" t="str">
            <v xml:space="preserve"> </v>
          </cell>
        </row>
        <row r="2889">
          <cell r="A2889" t="str">
            <v xml:space="preserve"> </v>
          </cell>
        </row>
        <row r="2890">
          <cell r="A2890" t="str">
            <v xml:space="preserve"> </v>
          </cell>
        </row>
        <row r="2891">
          <cell r="A2891" t="str">
            <v xml:space="preserve"> </v>
          </cell>
        </row>
        <row r="2892">
          <cell r="A2892" t="str">
            <v xml:space="preserve"> </v>
          </cell>
        </row>
        <row r="2893">
          <cell r="A2893" t="str">
            <v xml:space="preserve"> </v>
          </cell>
        </row>
        <row r="2894">
          <cell r="A2894" t="str">
            <v xml:space="preserve"> </v>
          </cell>
        </row>
        <row r="2895">
          <cell r="A2895" t="str">
            <v xml:space="preserve"> </v>
          </cell>
        </row>
        <row r="2896">
          <cell r="A2896" t="str">
            <v xml:space="preserve"> </v>
          </cell>
        </row>
        <row r="2897">
          <cell r="A2897" t="str">
            <v xml:space="preserve"> </v>
          </cell>
        </row>
        <row r="2898">
          <cell r="A2898" t="str">
            <v xml:space="preserve"> </v>
          </cell>
        </row>
        <row r="2899">
          <cell r="A2899" t="str">
            <v xml:space="preserve"> </v>
          </cell>
        </row>
        <row r="2900">
          <cell r="A2900" t="str">
            <v xml:space="preserve"> </v>
          </cell>
        </row>
        <row r="2901">
          <cell r="A2901" t="str">
            <v xml:space="preserve"> </v>
          </cell>
        </row>
        <row r="2902">
          <cell r="A2902" t="str">
            <v xml:space="preserve"> </v>
          </cell>
        </row>
        <row r="2903">
          <cell r="A2903" t="str">
            <v xml:space="preserve"> </v>
          </cell>
        </row>
        <row r="2904">
          <cell r="A2904" t="str">
            <v xml:space="preserve"> </v>
          </cell>
        </row>
        <row r="2905">
          <cell r="A2905" t="str">
            <v xml:space="preserve"> </v>
          </cell>
        </row>
        <row r="2906">
          <cell r="A2906" t="str">
            <v xml:space="preserve"> </v>
          </cell>
        </row>
        <row r="2907">
          <cell r="A2907" t="str">
            <v xml:space="preserve"> </v>
          </cell>
        </row>
        <row r="2908">
          <cell r="A2908" t="str">
            <v xml:space="preserve"> </v>
          </cell>
        </row>
        <row r="2909">
          <cell r="A2909" t="str">
            <v xml:space="preserve"> </v>
          </cell>
        </row>
        <row r="2910">
          <cell r="A2910" t="str">
            <v xml:space="preserve"> </v>
          </cell>
        </row>
        <row r="2911">
          <cell r="A2911" t="str">
            <v xml:space="preserve"> </v>
          </cell>
        </row>
        <row r="2912">
          <cell r="A2912" t="str">
            <v xml:space="preserve"> </v>
          </cell>
        </row>
        <row r="2913">
          <cell r="A2913" t="str">
            <v xml:space="preserve"> </v>
          </cell>
        </row>
        <row r="2914">
          <cell r="A2914" t="str">
            <v xml:space="preserve"> </v>
          </cell>
        </row>
        <row r="2915">
          <cell r="A2915" t="str">
            <v xml:space="preserve"> </v>
          </cell>
        </row>
        <row r="2916">
          <cell r="A2916" t="str">
            <v xml:space="preserve"> </v>
          </cell>
        </row>
        <row r="2917">
          <cell r="A2917" t="str">
            <v xml:space="preserve"> </v>
          </cell>
        </row>
        <row r="2918">
          <cell r="A2918" t="str">
            <v xml:space="preserve"> </v>
          </cell>
        </row>
        <row r="2919">
          <cell r="A2919" t="str">
            <v xml:space="preserve"> </v>
          </cell>
        </row>
        <row r="2920">
          <cell r="A2920" t="str">
            <v xml:space="preserve"> </v>
          </cell>
        </row>
        <row r="2921">
          <cell r="A2921" t="str">
            <v xml:space="preserve"> </v>
          </cell>
        </row>
        <row r="2922">
          <cell r="A2922" t="str">
            <v xml:space="preserve"> </v>
          </cell>
        </row>
        <row r="2923">
          <cell r="A2923" t="str">
            <v xml:space="preserve"> </v>
          </cell>
        </row>
        <row r="2924">
          <cell r="A2924" t="str">
            <v xml:space="preserve"> </v>
          </cell>
        </row>
        <row r="2925">
          <cell r="A2925" t="str">
            <v xml:space="preserve"> </v>
          </cell>
        </row>
        <row r="2926">
          <cell r="A2926" t="str">
            <v xml:space="preserve"> </v>
          </cell>
        </row>
        <row r="2927">
          <cell r="A2927" t="str">
            <v xml:space="preserve"> </v>
          </cell>
        </row>
        <row r="2928">
          <cell r="A2928" t="str">
            <v xml:space="preserve"> </v>
          </cell>
        </row>
        <row r="2929">
          <cell r="A2929" t="str">
            <v xml:space="preserve"> </v>
          </cell>
        </row>
        <row r="2930">
          <cell r="A2930" t="str">
            <v xml:space="preserve"> </v>
          </cell>
        </row>
        <row r="2931">
          <cell r="A2931" t="str">
            <v xml:space="preserve"> </v>
          </cell>
        </row>
        <row r="2932">
          <cell r="A2932" t="str">
            <v xml:space="preserve"> </v>
          </cell>
        </row>
        <row r="2933">
          <cell r="A2933" t="str">
            <v xml:space="preserve"> </v>
          </cell>
        </row>
        <row r="2934">
          <cell r="A2934" t="str">
            <v xml:space="preserve"> </v>
          </cell>
        </row>
        <row r="2935">
          <cell r="A2935" t="str">
            <v xml:space="preserve"> </v>
          </cell>
        </row>
        <row r="2936">
          <cell r="A2936" t="str">
            <v xml:space="preserve"> </v>
          </cell>
        </row>
        <row r="2937">
          <cell r="A2937" t="str">
            <v xml:space="preserve"> </v>
          </cell>
        </row>
        <row r="2938">
          <cell r="A2938" t="str">
            <v xml:space="preserve"> </v>
          </cell>
        </row>
        <row r="2939">
          <cell r="A2939" t="str">
            <v xml:space="preserve"> </v>
          </cell>
        </row>
        <row r="2940">
          <cell r="A2940" t="str">
            <v xml:space="preserve"> </v>
          </cell>
        </row>
        <row r="2941">
          <cell r="A2941" t="str">
            <v xml:space="preserve"> </v>
          </cell>
        </row>
        <row r="2942">
          <cell r="A2942" t="str">
            <v xml:space="preserve"> </v>
          </cell>
        </row>
        <row r="2943">
          <cell r="A2943" t="str">
            <v xml:space="preserve"> </v>
          </cell>
        </row>
        <row r="2944">
          <cell r="A2944" t="str">
            <v xml:space="preserve"> </v>
          </cell>
        </row>
        <row r="2945">
          <cell r="A2945" t="str">
            <v xml:space="preserve"> </v>
          </cell>
        </row>
        <row r="2946">
          <cell r="A2946" t="str">
            <v xml:space="preserve"> </v>
          </cell>
        </row>
        <row r="2947">
          <cell r="A2947" t="str">
            <v xml:space="preserve"> </v>
          </cell>
        </row>
        <row r="2948">
          <cell r="A2948" t="str">
            <v xml:space="preserve"> </v>
          </cell>
        </row>
        <row r="2949">
          <cell r="A2949" t="str">
            <v xml:space="preserve"> </v>
          </cell>
        </row>
        <row r="2950">
          <cell r="A2950" t="str">
            <v xml:space="preserve"> </v>
          </cell>
        </row>
        <row r="2951">
          <cell r="A2951" t="str">
            <v xml:space="preserve"> </v>
          </cell>
        </row>
        <row r="2952">
          <cell r="A2952" t="str">
            <v xml:space="preserve"> </v>
          </cell>
        </row>
        <row r="2953">
          <cell r="A2953" t="str">
            <v xml:space="preserve"> </v>
          </cell>
        </row>
        <row r="2954">
          <cell r="A2954" t="str">
            <v xml:space="preserve"> </v>
          </cell>
        </row>
        <row r="2955">
          <cell r="A2955" t="str">
            <v xml:space="preserve"> </v>
          </cell>
        </row>
        <row r="2956">
          <cell r="A2956" t="str">
            <v xml:space="preserve"> </v>
          </cell>
        </row>
        <row r="2957">
          <cell r="A2957" t="str">
            <v xml:space="preserve"> </v>
          </cell>
        </row>
        <row r="2958">
          <cell r="A2958" t="str">
            <v xml:space="preserve"> </v>
          </cell>
        </row>
        <row r="2959">
          <cell r="A2959" t="str">
            <v xml:space="preserve"> </v>
          </cell>
        </row>
        <row r="2960">
          <cell r="A2960" t="str">
            <v xml:space="preserve"> </v>
          </cell>
        </row>
        <row r="2961">
          <cell r="A2961" t="str">
            <v xml:space="preserve"> </v>
          </cell>
        </row>
        <row r="2962">
          <cell r="A2962" t="str">
            <v xml:space="preserve"> </v>
          </cell>
        </row>
        <row r="2963">
          <cell r="A2963" t="str">
            <v xml:space="preserve"> </v>
          </cell>
        </row>
        <row r="2964">
          <cell r="A2964" t="str">
            <v xml:space="preserve"> </v>
          </cell>
        </row>
        <row r="2965">
          <cell r="A2965" t="str">
            <v xml:space="preserve"> </v>
          </cell>
        </row>
        <row r="2966">
          <cell r="A2966" t="str">
            <v xml:space="preserve"> </v>
          </cell>
        </row>
        <row r="2967">
          <cell r="A2967" t="str">
            <v xml:space="preserve"> </v>
          </cell>
        </row>
        <row r="2968">
          <cell r="A2968" t="str">
            <v xml:space="preserve"> </v>
          </cell>
        </row>
        <row r="2969">
          <cell r="A2969" t="str">
            <v xml:space="preserve"> </v>
          </cell>
        </row>
        <row r="2970">
          <cell r="A2970" t="str">
            <v xml:space="preserve"> </v>
          </cell>
        </row>
        <row r="2971">
          <cell r="A2971" t="str">
            <v xml:space="preserve"> </v>
          </cell>
        </row>
        <row r="2972">
          <cell r="A2972" t="str">
            <v xml:space="preserve"> </v>
          </cell>
        </row>
        <row r="2973">
          <cell r="A2973" t="str">
            <v xml:space="preserve"> </v>
          </cell>
        </row>
        <row r="2974">
          <cell r="A2974" t="str">
            <v xml:space="preserve"> </v>
          </cell>
        </row>
        <row r="2975">
          <cell r="A2975" t="str">
            <v xml:space="preserve"> </v>
          </cell>
        </row>
        <row r="2976">
          <cell r="A2976" t="str">
            <v xml:space="preserve"> </v>
          </cell>
        </row>
        <row r="2977">
          <cell r="A2977" t="str">
            <v xml:space="preserve"> </v>
          </cell>
        </row>
        <row r="2978">
          <cell r="A2978" t="str">
            <v xml:space="preserve"> </v>
          </cell>
        </row>
        <row r="2979">
          <cell r="A2979" t="str">
            <v xml:space="preserve"> </v>
          </cell>
        </row>
        <row r="2980">
          <cell r="A2980" t="str">
            <v xml:space="preserve"> </v>
          </cell>
        </row>
        <row r="2981">
          <cell r="A2981" t="str">
            <v xml:space="preserve"> </v>
          </cell>
        </row>
        <row r="2982">
          <cell r="A2982" t="str">
            <v xml:space="preserve"> </v>
          </cell>
        </row>
        <row r="2983">
          <cell r="A2983" t="str">
            <v xml:space="preserve"> </v>
          </cell>
        </row>
        <row r="2984">
          <cell r="A2984" t="str">
            <v xml:space="preserve"> </v>
          </cell>
        </row>
        <row r="2985">
          <cell r="A2985" t="str">
            <v xml:space="preserve"> </v>
          </cell>
        </row>
        <row r="2986">
          <cell r="A2986" t="str">
            <v xml:space="preserve"> </v>
          </cell>
        </row>
        <row r="2987">
          <cell r="A2987" t="str">
            <v xml:space="preserve"> </v>
          </cell>
        </row>
        <row r="2988">
          <cell r="A2988" t="str">
            <v xml:space="preserve"> </v>
          </cell>
        </row>
        <row r="2989">
          <cell r="A2989" t="str">
            <v xml:space="preserve"> </v>
          </cell>
        </row>
        <row r="2990">
          <cell r="A2990" t="str">
            <v xml:space="preserve"> </v>
          </cell>
        </row>
        <row r="2991">
          <cell r="A2991" t="str">
            <v xml:space="preserve"> </v>
          </cell>
        </row>
        <row r="2992">
          <cell r="A2992" t="str">
            <v xml:space="preserve"> </v>
          </cell>
        </row>
        <row r="2993">
          <cell r="A2993" t="str">
            <v xml:space="preserve"> </v>
          </cell>
        </row>
        <row r="2994">
          <cell r="A2994" t="str">
            <v xml:space="preserve"> </v>
          </cell>
        </row>
        <row r="2995">
          <cell r="A2995" t="str">
            <v xml:space="preserve"> </v>
          </cell>
        </row>
        <row r="2996">
          <cell r="A2996" t="str">
            <v xml:space="preserve"> </v>
          </cell>
        </row>
        <row r="2997">
          <cell r="A2997" t="str">
            <v xml:space="preserve"> </v>
          </cell>
        </row>
        <row r="2998">
          <cell r="A2998" t="str">
            <v xml:space="preserve"> </v>
          </cell>
        </row>
        <row r="2999">
          <cell r="A2999" t="str">
            <v xml:space="preserve"> </v>
          </cell>
        </row>
        <row r="3000">
          <cell r="A3000" t="str">
            <v xml:space="preserve"> </v>
          </cell>
        </row>
        <row r="3001">
          <cell r="A3001" t="str">
            <v xml:space="preserve"> </v>
          </cell>
        </row>
        <row r="3002">
          <cell r="A3002" t="str">
            <v xml:space="preserve"> </v>
          </cell>
        </row>
        <row r="3003">
          <cell r="A3003" t="str">
            <v xml:space="preserve"> </v>
          </cell>
        </row>
        <row r="3004">
          <cell r="A3004" t="str">
            <v xml:space="preserve"> </v>
          </cell>
        </row>
        <row r="3005">
          <cell r="A3005" t="str">
            <v xml:space="preserve"> </v>
          </cell>
        </row>
        <row r="3006">
          <cell r="A3006" t="str">
            <v xml:space="preserve"> </v>
          </cell>
        </row>
        <row r="3007">
          <cell r="A3007" t="str">
            <v xml:space="preserve"> </v>
          </cell>
        </row>
        <row r="3008">
          <cell r="A3008" t="str">
            <v xml:space="preserve"> </v>
          </cell>
        </row>
        <row r="3009">
          <cell r="A3009" t="str">
            <v xml:space="preserve"> </v>
          </cell>
        </row>
        <row r="3010">
          <cell r="A3010" t="str">
            <v xml:space="preserve"> </v>
          </cell>
        </row>
        <row r="3011">
          <cell r="A3011" t="str">
            <v xml:space="preserve"> </v>
          </cell>
        </row>
        <row r="3012">
          <cell r="A3012" t="str">
            <v xml:space="preserve"> </v>
          </cell>
        </row>
        <row r="3013">
          <cell r="A3013" t="str">
            <v xml:space="preserve"> </v>
          </cell>
        </row>
        <row r="3014">
          <cell r="A3014" t="str">
            <v xml:space="preserve"> </v>
          </cell>
        </row>
        <row r="3015">
          <cell r="A3015" t="str">
            <v xml:space="preserve"> </v>
          </cell>
        </row>
        <row r="3016">
          <cell r="A3016" t="str">
            <v xml:space="preserve"> </v>
          </cell>
        </row>
        <row r="3017">
          <cell r="A3017" t="str">
            <v xml:space="preserve"> </v>
          </cell>
        </row>
        <row r="3018">
          <cell r="A3018" t="str">
            <v xml:space="preserve"> </v>
          </cell>
        </row>
        <row r="3019">
          <cell r="A3019" t="str">
            <v xml:space="preserve"> </v>
          </cell>
        </row>
        <row r="3020">
          <cell r="A3020" t="str">
            <v xml:space="preserve"> </v>
          </cell>
        </row>
        <row r="3021">
          <cell r="A3021" t="str">
            <v xml:space="preserve"> </v>
          </cell>
        </row>
        <row r="3022">
          <cell r="A3022" t="str">
            <v xml:space="preserve"> </v>
          </cell>
        </row>
        <row r="3023">
          <cell r="A3023" t="str">
            <v xml:space="preserve"> </v>
          </cell>
        </row>
        <row r="3024">
          <cell r="A3024" t="str">
            <v xml:space="preserve"> </v>
          </cell>
        </row>
        <row r="3025">
          <cell r="A3025" t="str">
            <v xml:space="preserve"> </v>
          </cell>
        </row>
        <row r="3026">
          <cell r="A3026" t="str">
            <v xml:space="preserve"> </v>
          </cell>
        </row>
        <row r="3027">
          <cell r="A3027" t="str">
            <v xml:space="preserve"> </v>
          </cell>
        </row>
        <row r="3028">
          <cell r="A3028" t="str">
            <v xml:space="preserve"> </v>
          </cell>
        </row>
        <row r="3029">
          <cell r="A3029" t="str">
            <v xml:space="preserve"> </v>
          </cell>
        </row>
        <row r="3030">
          <cell r="A3030" t="str">
            <v xml:space="preserve"> </v>
          </cell>
        </row>
        <row r="3031">
          <cell r="A3031" t="str">
            <v xml:space="preserve"> </v>
          </cell>
        </row>
        <row r="3032">
          <cell r="A3032" t="str">
            <v xml:space="preserve"> </v>
          </cell>
        </row>
        <row r="3033">
          <cell r="A3033" t="str">
            <v xml:space="preserve"> </v>
          </cell>
        </row>
        <row r="3034">
          <cell r="A3034" t="str">
            <v xml:space="preserve"> </v>
          </cell>
        </row>
        <row r="3035">
          <cell r="A3035" t="str">
            <v xml:space="preserve"> </v>
          </cell>
        </row>
        <row r="3036">
          <cell r="A3036" t="str">
            <v xml:space="preserve"> </v>
          </cell>
        </row>
        <row r="3037">
          <cell r="A3037" t="str">
            <v xml:space="preserve"> </v>
          </cell>
        </row>
        <row r="3038">
          <cell r="A3038" t="str">
            <v xml:space="preserve"> </v>
          </cell>
        </row>
        <row r="3039">
          <cell r="A3039" t="str">
            <v xml:space="preserve"> </v>
          </cell>
        </row>
        <row r="3040">
          <cell r="A3040" t="str">
            <v xml:space="preserve"> </v>
          </cell>
        </row>
        <row r="3041">
          <cell r="A3041" t="str">
            <v xml:space="preserve"> </v>
          </cell>
        </row>
        <row r="3042">
          <cell r="A3042" t="str">
            <v xml:space="preserve"> </v>
          </cell>
        </row>
        <row r="3043">
          <cell r="A3043" t="str">
            <v xml:space="preserve"> </v>
          </cell>
        </row>
        <row r="3044">
          <cell r="A3044" t="str">
            <v xml:space="preserve"> </v>
          </cell>
        </row>
        <row r="3045">
          <cell r="A3045" t="str">
            <v xml:space="preserve"> </v>
          </cell>
        </row>
        <row r="3046">
          <cell r="A3046" t="str">
            <v xml:space="preserve"> </v>
          </cell>
        </row>
        <row r="3047">
          <cell r="A3047" t="str">
            <v xml:space="preserve"> </v>
          </cell>
        </row>
        <row r="3048">
          <cell r="A3048" t="str">
            <v xml:space="preserve"> </v>
          </cell>
        </row>
        <row r="3049">
          <cell r="A3049" t="str">
            <v xml:space="preserve"> </v>
          </cell>
        </row>
        <row r="3050">
          <cell r="A3050" t="str">
            <v xml:space="preserve"> </v>
          </cell>
        </row>
        <row r="3051">
          <cell r="A3051" t="str">
            <v xml:space="preserve"> </v>
          </cell>
        </row>
        <row r="3052">
          <cell r="A3052" t="str">
            <v xml:space="preserve"> </v>
          </cell>
        </row>
        <row r="3053">
          <cell r="A3053" t="str">
            <v xml:space="preserve"> </v>
          </cell>
        </row>
        <row r="3054">
          <cell r="A3054" t="str">
            <v xml:space="preserve"> </v>
          </cell>
        </row>
        <row r="3055">
          <cell r="A3055" t="str">
            <v xml:space="preserve"> </v>
          </cell>
        </row>
        <row r="3056">
          <cell r="A3056" t="str">
            <v xml:space="preserve"> </v>
          </cell>
        </row>
        <row r="3057">
          <cell r="A3057" t="str">
            <v xml:space="preserve"> </v>
          </cell>
        </row>
        <row r="3058">
          <cell r="A3058" t="str">
            <v xml:space="preserve"> </v>
          </cell>
        </row>
        <row r="3059">
          <cell r="A3059" t="str">
            <v xml:space="preserve"> </v>
          </cell>
        </row>
        <row r="3060">
          <cell r="A3060" t="str">
            <v xml:space="preserve"> </v>
          </cell>
        </row>
        <row r="3061">
          <cell r="A3061" t="str">
            <v xml:space="preserve"> </v>
          </cell>
        </row>
        <row r="3062">
          <cell r="A3062" t="str">
            <v xml:space="preserve"> </v>
          </cell>
        </row>
        <row r="3063">
          <cell r="A3063" t="str">
            <v xml:space="preserve"> </v>
          </cell>
        </row>
        <row r="3064">
          <cell r="A3064" t="str">
            <v xml:space="preserve"> </v>
          </cell>
        </row>
        <row r="3065">
          <cell r="A3065" t="str">
            <v xml:space="preserve"> </v>
          </cell>
        </row>
        <row r="3066">
          <cell r="A3066" t="str">
            <v xml:space="preserve"> </v>
          </cell>
        </row>
        <row r="3067">
          <cell r="A3067" t="str">
            <v xml:space="preserve"> </v>
          </cell>
        </row>
        <row r="3068">
          <cell r="A3068" t="str">
            <v xml:space="preserve"> </v>
          </cell>
        </row>
        <row r="3069">
          <cell r="A3069" t="str">
            <v xml:space="preserve"> </v>
          </cell>
        </row>
        <row r="3070">
          <cell r="A3070" t="str">
            <v xml:space="preserve"> </v>
          </cell>
        </row>
        <row r="3071">
          <cell r="A3071" t="str">
            <v xml:space="preserve"> </v>
          </cell>
        </row>
        <row r="3072">
          <cell r="A3072" t="str">
            <v xml:space="preserve"> </v>
          </cell>
        </row>
        <row r="3073">
          <cell r="A3073" t="str">
            <v xml:space="preserve"> </v>
          </cell>
        </row>
        <row r="3074">
          <cell r="A3074" t="str">
            <v xml:space="preserve"> </v>
          </cell>
        </row>
        <row r="3075">
          <cell r="A3075" t="str">
            <v xml:space="preserve"> </v>
          </cell>
        </row>
        <row r="3076">
          <cell r="A3076" t="str">
            <v xml:space="preserve"> </v>
          </cell>
        </row>
        <row r="3077">
          <cell r="A3077" t="str">
            <v xml:space="preserve"> </v>
          </cell>
        </row>
        <row r="3078">
          <cell r="A3078" t="str">
            <v xml:space="preserve"> </v>
          </cell>
        </row>
        <row r="3079">
          <cell r="A3079" t="str">
            <v xml:space="preserve"> </v>
          </cell>
        </row>
        <row r="3080">
          <cell r="A3080" t="str">
            <v xml:space="preserve"> </v>
          </cell>
        </row>
        <row r="3081">
          <cell r="A3081" t="str">
            <v xml:space="preserve"> </v>
          </cell>
        </row>
        <row r="3082">
          <cell r="A3082" t="str">
            <v xml:space="preserve"> </v>
          </cell>
        </row>
        <row r="3083">
          <cell r="A3083" t="str">
            <v xml:space="preserve"> </v>
          </cell>
        </row>
        <row r="3084">
          <cell r="A3084" t="str">
            <v xml:space="preserve"> </v>
          </cell>
        </row>
        <row r="3085">
          <cell r="A3085" t="str">
            <v xml:space="preserve"> </v>
          </cell>
        </row>
        <row r="3086">
          <cell r="A3086" t="str">
            <v xml:space="preserve"> </v>
          </cell>
        </row>
        <row r="3087">
          <cell r="A3087" t="str">
            <v xml:space="preserve"> </v>
          </cell>
        </row>
        <row r="3088">
          <cell r="A3088" t="str">
            <v xml:space="preserve"> </v>
          </cell>
        </row>
        <row r="3089">
          <cell r="A3089" t="str">
            <v xml:space="preserve"> </v>
          </cell>
        </row>
        <row r="3090">
          <cell r="A3090" t="str">
            <v xml:space="preserve"> </v>
          </cell>
        </row>
        <row r="3091">
          <cell r="A3091" t="str">
            <v xml:space="preserve"> </v>
          </cell>
        </row>
        <row r="3092">
          <cell r="A3092" t="str">
            <v xml:space="preserve"> </v>
          </cell>
        </row>
        <row r="3093">
          <cell r="A3093" t="str">
            <v xml:space="preserve"> </v>
          </cell>
        </row>
        <row r="3094">
          <cell r="A3094" t="str">
            <v xml:space="preserve"> </v>
          </cell>
        </row>
        <row r="3095">
          <cell r="A3095" t="str">
            <v xml:space="preserve"> </v>
          </cell>
        </row>
        <row r="3096">
          <cell r="A3096" t="str">
            <v xml:space="preserve"> </v>
          </cell>
        </row>
        <row r="3097">
          <cell r="A3097" t="str">
            <v xml:space="preserve"> </v>
          </cell>
        </row>
        <row r="3098">
          <cell r="A3098" t="str">
            <v xml:space="preserve"> </v>
          </cell>
        </row>
        <row r="3099">
          <cell r="A3099" t="str">
            <v xml:space="preserve"> </v>
          </cell>
        </row>
        <row r="3100">
          <cell r="A3100" t="str">
            <v xml:space="preserve"> </v>
          </cell>
        </row>
        <row r="3101">
          <cell r="A3101" t="str">
            <v xml:space="preserve"> </v>
          </cell>
        </row>
        <row r="3102">
          <cell r="A3102" t="str">
            <v xml:space="preserve"> </v>
          </cell>
        </row>
        <row r="3103">
          <cell r="A3103" t="str">
            <v xml:space="preserve"> </v>
          </cell>
        </row>
        <row r="3104">
          <cell r="A3104" t="str">
            <v xml:space="preserve"> </v>
          </cell>
        </row>
        <row r="3105">
          <cell r="A3105" t="str">
            <v xml:space="preserve"> </v>
          </cell>
        </row>
        <row r="3106">
          <cell r="A3106" t="str">
            <v xml:space="preserve"> </v>
          </cell>
        </row>
        <row r="3107">
          <cell r="A3107" t="str">
            <v xml:space="preserve"> </v>
          </cell>
        </row>
        <row r="3108">
          <cell r="A3108" t="str">
            <v xml:space="preserve"> </v>
          </cell>
        </row>
        <row r="3109">
          <cell r="A3109" t="str">
            <v xml:space="preserve"> </v>
          </cell>
        </row>
        <row r="3110">
          <cell r="A3110" t="str">
            <v xml:space="preserve"> </v>
          </cell>
        </row>
        <row r="3111">
          <cell r="A3111" t="str">
            <v xml:space="preserve"> </v>
          </cell>
        </row>
        <row r="3112">
          <cell r="A3112" t="str">
            <v xml:space="preserve"> </v>
          </cell>
        </row>
        <row r="3113">
          <cell r="A3113" t="str">
            <v xml:space="preserve"> </v>
          </cell>
        </row>
        <row r="3114">
          <cell r="A3114" t="str">
            <v xml:space="preserve"> </v>
          </cell>
        </row>
        <row r="3115">
          <cell r="A3115" t="str">
            <v xml:space="preserve"> </v>
          </cell>
        </row>
        <row r="3116">
          <cell r="A3116" t="str">
            <v xml:space="preserve"> </v>
          </cell>
        </row>
        <row r="3117">
          <cell r="A3117" t="str">
            <v xml:space="preserve"> </v>
          </cell>
        </row>
        <row r="3118">
          <cell r="A3118" t="str">
            <v xml:space="preserve"> </v>
          </cell>
        </row>
        <row r="3119">
          <cell r="A3119" t="str">
            <v xml:space="preserve"> </v>
          </cell>
        </row>
        <row r="3120">
          <cell r="A3120" t="str">
            <v xml:space="preserve"> </v>
          </cell>
        </row>
        <row r="3121">
          <cell r="A3121" t="str">
            <v xml:space="preserve"> </v>
          </cell>
        </row>
        <row r="3122">
          <cell r="A3122" t="str">
            <v xml:space="preserve"> </v>
          </cell>
        </row>
        <row r="3123">
          <cell r="A3123" t="str">
            <v xml:space="preserve"> </v>
          </cell>
        </row>
        <row r="3124">
          <cell r="A3124" t="str">
            <v xml:space="preserve"> </v>
          </cell>
        </row>
        <row r="3125">
          <cell r="A3125" t="str">
            <v xml:space="preserve"> </v>
          </cell>
        </row>
        <row r="3126">
          <cell r="A3126" t="str">
            <v xml:space="preserve"> </v>
          </cell>
        </row>
        <row r="3127">
          <cell r="A3127" t="str">
            <v xml:space="preserve"> </v>
          </cell>
        </row>
        <row r="3128">
          <cell r="A3128" t="str">
            <v xml:space="preserve"> </v>
          </cell>
        </row>
        <row r="3129">
          <cell r="A3129" t="str">
            <v xml:space="preserve"> </v>
          </cell>
        </row>
        <row r="3130">
          <cell r="A3130" t="str">
            <v xml:space="preserve"> </v>
          </cell>
        </row>
        <row r="3131">
          <cell r="A3131" t="str">
            <v xml:space="preserve"> </v>
          </cell>
        </row>
        <row r="3132">
          <cell r="A3132" t="str">
            <v xml:space="preserve"> </v>
          </cell>
        </row>
        <row r="3133">
          <cell r="A3133" t="str">
            <v xml:space="preserve"> </v>
          </cell>
        </row>
        <row r="3134">
          <cell r="A3134" t="str">
            <v xml:space="preserve"> </v>
          </cell>
        </row>
        <row r="3135">
          <cell r="A3135" t="str">
            <v xml:space="preserve"> </v>
          </cell>
        </row>
        <row r="3136">
          <cell r="A3136" t="str">
            <v xml:space="preserve"> </v>
          </cell>
        </row>
        <row r="3137">
          <cell r="A3137" t="str">
            <v xml:space="preserve"> </v>
          </cell>
        </row>
        <row r="3138">
          <cell r="A3138" t="str">
            <v xml:space="preserve"> </v>
          </cell>
        </row>
        <row r="3139">
          <cell r="A3139" t="str">
            <v xml:space="preserve"> </v>
          </cell>
        </row>
        <row r="3140">
          <cell r="A3140" t="str">
            <v xml:space="preserve"> </v>
          </cell>
        </row>
        <row r="3141">
          <cell r="A3141" t="str">
            <v xml:space="preserve"> </v>
          </cell>
        </row>
        <row r="3142">
          <cell r="A3142" t="str">
            <v xml:space="preserve"> </v>
          </cell>
        </row>
        <row r="3143">
          <cell r="A3143" t="str">
            <v xml:space="preserve"> </v>
          </cell>
        </row>
        <row r="3144">
          <cell r="A3144" t="str">
            <v xml:space="preserve"> </v>
          </cell>
        </row>
        <row r="3145">
          <cell r="A3145" t="str">
            <v xml:space="preserve"> </v>
          </cell>
        </row>
        <row r="3146">
          <cell r="A3146" t="str">
            <v xml:space="preserve"> </v>
          </cell>
        </row>
        <row r="3147">
          <cell r="A3147" t="str">
            <v xml:space="preserve"> </v>
          </cell>
        </row>
        <row r="3148">
          <cell r="A3148" t="str">
            <v xml:space="preserve"> </v>
          </cell>
        </row>
        <row r="3149">
          <cell r="A3149" t="str">
            <v xml:space="preserve"> </v>
          </cell>
        </row>
        <row r="3150">
          <cell r="A3150" t="str">
            <v xml:space="preserve"> </v>
          </cell>
        </row>
        <row r="3151">
          <cell r="A3151" t="str">
            <v xml:space="preserve"> </v>
          </cell>
        </row>
        <row r="3152">
          <cell r="A3152" t="str">
            <v xml:space="preserve"> </v>
          </cell>
        </row>
        <row r="3153">
          <cell r="A3153" t="str">
            <v xml:space="preserve"> </v>
          </cell>
        </row>
        <row r="3154">
          <cell r="A3154" t="str">
            <v xml:space="preserve"> </v>
          </cell>
        </row>
        <row r="3155">
          <cell r="A3155" t="str">
            <v xml:space="preserve"> </v>
          </cell>
        </row>
        <row r="3156">
          <cell r="A3156" t="str">
            <v xml:space="preserve"> </v>
          </cell>
        </row>
        <row r="3157">
          <cell r="A3157" t="str">
            <v xml:space="preserve"> </v>
          </cell>
        </row>
        <row r="3158">
          <cell r="A3158" t="str">
            <v xml:space="preserve"> </v>
          </cell>
        </row>
        <row r="3159">
          <cell r="A3159" t="str">
            <v xml:space="preserve"> </v>
          </cell>
        </row>
        <row r="3160">
          <cell r="A3160" t="str">
            <v xml:space="preserve"> </v>
          </cell>
        </row>
        <row r="3161">
          <cell r="A3161" t="str">
            <v xml:space="preserve"> </v>
          </cell>
        </row>
        <row r="3162">
          <cell r="A3162" t="str">
            <v xml:space="preserve"> </v>
          </cell>
        </row>
        <row r="3163">
          <cell r="A3163" t="str">
            <v xml:space="preserve"> </v>
          </cell>
        </row>
        <row r="3164">
          <cell r="A3164" t="str">
            <v xml:space="preserve"> </v>
          </cell>
        </row>
        <row r="3165">
          <cell r="A3165" t="str">
            <v xml:space="preserve"> </v>
          </cell>
        </row>
        <row r="3166">
          <cell r="A3166" t="str">
            <v xml:space="preserve"> </v>
          </cell>
        </row>
        <row r="3167">
          <cell r="A3167" t="str">
            <v xml:space="preserve"> </v>
          </cell>
        </row>
        <row r="3168">
          <cell r="A3168" t="str">
            <v xml:space="preserve"> </v>
          </cell>
        </row>
        <row r="3169">
          <cell r="A3169" t="str">
            <v xml:space="preserve"> </v>
          </cell>
        </row>
        <row r="3170">
          <cell r="A3170" t="str">
            <v xml:space="preserve"> </v>
          </cell>
        </row>
        <row r="3171">
          <cell r="A3171" t="str">
            <v xml:space="preserve"> </v>
          </cell>
        </row>
        <row r="3172">
          <cell r="A3172" t="str">
            <v xml:space="preserve"> </v>
          </cell>
        </row>
        <row r="3173">
          <cell r="A3173" t="str">
            <v xml:space="preserve"> </v>
          </cell>
        </row>
        <row r="3174">
          <cell r="A3174" t="str">
            <v xml:space="preserve"> </v>
          </cell>
        </row>
        <row r="3175">
          <cell r="A3175" t="str">
            <v xml:space="preserve"> </v>
          </cell>
        </row>
        <row r="3176">
          <cell r="A3176" t="str">
            <v xml:space="preserve"> </v>
          </cell>
        </row>
        <row r="3177">
          <cell r="A3177" t="str">
            <v xml:space="preserve"> </v>
          </cell>
        </row>
        <row r="3178">
          <cell r="A3178" t="str">
            <v xml:space="preserve"> </v>
          </cell>
        </row>
        <row r="3179">
          <cell r="A3179" t="str">
            <v xml:space="preserve"> </v>
          </cell>
        </row>
        <row r="3180">
          <cell r="A3180" t="str">
            <v xml:space="preserve"> </v>
          </cell>
        </row>
        <row r="3181">
          <cell r="A3181" t="str">
            <v xml:space="preserve"> </v>
          </cell>
        </row>
        <row r="3182">
          <cell r="A3182" t="str">
            <v xml:space="preserve"> </v>
          </cell>
        </row>
        <row r="3183">
          <cell r="A3183" t="str">
            <v xml:space="preserve"> </v>
          </cell>
        </row>
        <row r="3184">
          <cell r="A3184" t="str">
            <v xml:space="preserve"> </v>
          </cell>
        </row>
        <row r="3185">
          <cell r="A3185" t="str">
            <v xml:space="preserve"> </v>
          </cell>
        </row>
        <row r="3186">
          <cell r="A3186" t="str">
            <v xml:space="preserve"> </v>
          </cell>
        </row>
        <row r="3187">
          <cell r="A3187" t="str">
            <v xml:space="preserve"> </v>
          </cell>
        </row>
        <row r="3188">
          <cell r="A3188" t="str">
            <v xml:space="preserve"> </v>
          </cell>
        </row>
        <row r="3189">
          <cell r="A3189" t="str">
            <v xml:space="preserve"> </v>
          </cell>
        </row>
        <row r="3190">
          <cell r="A3190" t="str">
            <v xml:space="preserve"> </v>
          </cell>
        </row>
        <row r="3191">
          <cell r="A3191" t="str">
            <v xml:space="preserve"> </v>
          </cell>
        </row>
        <row r="3192">
          <cell r="A3192" t="str">
            <v xml:space="preserve"> </v>
          </cell>
        </row>
        <row r="3193">
          <cell r="A3193" t="str">
            <v xml:space="preserve"> </v>
          </cell>
        </row>
        <row r="3194">
          <cell r="A3194" t="str">
            <v xml:space="preserve"> </v>
          </cell>
        </row>
        <row r="3195">
          <cell r="A3195" t="str">
            <v xml:space="preserve"> </v>
          </cell>
        </row>
        <row r="3196">
          <cell r="A3196" t="str">
            <v xml:space="preserve"> </v>
          </cell>
        </row>
        <row r="3197">
          <cell r="A3197" t="str">
            <v xml:space="preserve"> </v>
          </cell>
        </row>
        <row r="3198">
          <cell r="A3198" t="str">
            <v xml:space="preserve"> </v>
          </cell>
        </row>
        <row r="3199">
          <cell r="A3199" t="str">
            <v xml:space="preserve"> </v>
          </cell>
        </row>
        <row r="3200">
          <cell r="A3200" t="str">
            <v xml:space="preserve"> </v>
          </cell>
        </row>
        <row r="3201">
          <cell r="A3201" t="str">
            <v xml:space="preserve"> </v>
          </cell>
        </row>
        <row r="3202">
          <cell r="A3202" t="str">
            <v xml:space="preserve"> </v>
          </cell>
        </row>
        <row r="3203">
          <cell r="A3203" t="str">
            <v xml:space="preserve"> </v>
          </cell>
        </row>
        <row r="3204">
          <cell r="A3204" t="str">
            <v xml:space="preserve"> </v>
          </cell>
        </row>
        <row r="3205">
          <cell r="A3205" t="str">
            <v xml:space="preserve"> </v>
          </cell>
        </row>
        <row r="3206">
          <cell r="A3206" t="str">
            <v xml:space="preserve"> </v>
          </cell>
        </row>
        <row r="3207">
          <cell r="A3207" t="str">
            <v xml:space="preserve"> </v>
          </cell>
        </row>
        <row r="3208">
          <cell r="A3208" t="str">
            <v xml:space="preserve"> </v>
          </cell>
        </row>
        <row r="3209">
          <cell r="A3209" t="str">
            <v xml:space="preserve"> </v>
          </cell>
        </row>
        <row r="3210">
          <cell r="A3210" t="str">
            <v xml:space="preserve"> </v>
          </cell>
        </row>
        <row r="3211">
          <cell r="A3211" t="str">
            <v xml:space="preserve"> </v>
          </cell>
        </row>
        <row r="3212">
          <cell r="A3212" t="str">
            <v xml:space="preserve"> </v>
          </cell>
        </row>
        <row r="3213">
          <cell r="A3213" t="str">
            <v xml:space="preserve"> </v>
          </cell>
        </row>
        <row r="3214">
          <cell r="A3214" t="str">
            <v xml:space="preserve"> </v>
          </cell>
        </row>
        <row r="3215">
          <cell r="A3215" t="str">
            <v xml:space="preserve"> </v>
          </cell>
        </row>
        <row r="3216">
          <cell r="A3216" t="str">
            <v xml:space="preserve"> </v>
          </cell>
        </row>
        <row r="3217">
          <cell r="A3217" t="str">
            <v xml:space="preserve"> </v>
          </cell>
        </row>
        <row r="3218">
          <cell r="A3218" t="str">
            <v xml:space="preserve"> </v>
          </cell>
        </row>
        <row r="3219">
          <cell r="A3219" t="str">
            <v xml:space="preserve"> </v>
          </cell>
        </row>
        <row r="3220">
          <cell r="A3220" t="str">
            <v xml:space="preserve"> </v>
          </cell>
        </row>
        <row r="3221">
          <cell r="A3221" t="str">
            <v xml:space="preserve"> </v>
          </cell>
        </row>
        <row r="3222">
          <cell r="A3222" t="str">
            <v xml:space="preserve"> </v>
          </cell>
        </row>
        <row r="3223">
          <cell r="A3223" t="str">
            <v xml:space="preserve"> </v>
          </cell>
        </row>
        <row r="3224">
          <cell r="A3224" t="str">
            <v xml:space="preserve"> </v>
          </cell>
        </row>
        <row r="3225">
          <cell r="A3225" t="str">
            <v xml:space="preserve"> </v>
          </cell>
        </row>
        <row r="3226">
          <cell r="A3226" t="str">
            <v xml:space="preserve"> </v>
          </cell>
        </row>
        <row r="3227">
          <cell r="A3227" t="str">
            <v xml:space="preserve"> </v>
          </cell>
        </row>
        <row r="3228">
          <cell r="A3228" t="str">
            <v xml:space="preserve"> </v>
          </cell>
        </row>
        <row r="3229">
          <cell r="A3229" t="str">
            <v xml:space="preserve"> </v>
          </cell>
        </row>
        <row r="3230">
          <cell r="A3230" t="str">
            <v xml:space="preserve"> </v>
          </cell>
        </row>
        <row r="3231">
          <cell r="A3231" t="str">
            <v xml:space="preserve"> </v>
          </cell>
        </row>
        <row r="3232">
          <cell r="A3232" t="str">
            <v xml:space="preserve"> </v>
          </cell>
        </row>
        <row r="3233">
          <cell r="A3233" t="str">
            <v xml:space="preserve"> </v>
          </cell>
        </row>
        <row r="3234">
          <cell r="A3234" t="str">
            <v xml:space="preserve"> </v>
          </cell>
        </row>
        <row r="3235">
          <cell r="A3235" t="str">
            <v xml:space="preserve"> </v>
          </cell>
        </row>
        <row r="3236">
          <cell r="A3236" t="str">
            <v xml:space="preserve"> </v>
          </cell>
        </row>
        <row r="3237">
          <cell r="A3237" t="str">
            <v xml:space="preserve"> </v>
          </cell>
        </row>
        <row r="3238">
          <cell r="A3238" t="str">
            <v xml:space="preserve"> </v>
          </cell>
        </row>
        <row r="3239">
          <cell r="A3239" t="str">
            <v xml:space="preserve"> </v>
          </cell>
        </row>
        <row r="3240">
          <cell r="A3240" t="str">
            <v xml:space="preserve"> </v>
          </cell>
        </row>
        <row r="3241">
          <cell r="A3241" t="str">
            <v xml:space="preserve"> </v>
          </cell>
        </row>
        <row r="3242">
          <cell r="A3242" t="str">
            <v xml:space="preserve"> </v>
          </cell>
        </row>
        <row r="3243">
          <cell r="A3243" t="str">
            <v xml:space="preserve"> </v>
          </cell>
        </row>
        <row r="3244">
          <cell r="A3244" t="str">
            <v xml:space="preserve"> </v>
          </cell>
        </row>
        <row r="3245">
          <cell r="A3245" t="str">
            <v xml:space="preserve"> </v>
          </cell>
        </row>
        <row r="3246">
          <cell r="A3246" t="str">
            <v xml:space="preserve"> </v>
          </cell>
        </row>
        <row r="3247">
          <cell r="A3247" t="str">
            <v xml:space="preserve"> </v>
          </cell>
        </row>
        <row r="3248">
          <cell r="A3248" t="str">
            <v xml:space="preserve"> </v>
          </cell>
        </row>
        <row r="3249">
          <cell r="A3249" t="str">
            <v xml:space="preserve"> </v>
          </cell>
        </row>
        <row r="3250">
          <cell r="A3250" t="str">
            <v xml:space="preserve"> </v>
          </cell>
        </row>
        <row r="3251">
          <cell r="A3251" t="str">
            <v xml:space="preserve"> </v>
          </cell>
        </row>
        <row r="3252">
          <cell r="A3252" t="str">
            <v xml:space="preserve"> </v>
          </cell>
        </row>
        <row r="3253">
          <cell r="A3253" t="str">
            <v xml:space="preserve"> </v>
          </cell>
        </row>
        <row r="3254">
          <cell r="A3254" t="str">
            <v xml:space="preserve"> </v>
          </cell>
        </row>
        <row r="3255">
          <cell r="A3255" t="str">
            <v xml:space="preserve"> </v>
          </cell>
        </row>
        <row r="3256">
          <cell r="A3256" t="str">
            <v xml:space="preserve"> </v>
          </cell>
        </row>
        <row r="3257">
          <cell r="A3257" t="str">
            <v xml:space="preserve"> </v>
          </cell>
        </row>
        <row r="3258">
          <cell r="A3258" t="str">
            <v xml:space="preserve"> </v>
          </cell>
        </row>
        <row r="3259">
          <cell r="A3259" t="str">
            <v xml:space="preserve"> </v>
          </cell>
        </row>
        <row r="3260">
          <cell r="A3260" t="str">
            <v xml:space="preserve"> </v>
          </cell>
        </row>
        <row r="3261">
          <cell r="A3261" t="str">
            <v xml:space="preserve"> </v>
          </cell>
        </row>
        <row r="3262">
          <cell r="A3262" t="str">
            <v xml:space="preserve"> </v>
          </cell>
        </row>
        <row r="3263">
          <cell r="A3263" t="str">
            <v xml:space="preserve"> </v>
          </cell>
        </row>
        <row r="3264">
          <cell r="A3264" t="str">
            <v xml:space="preserve"> </v>
          </cell>
        </row>
        <row r="3265">
          <cell r="A3265" t="str">
            <v xml:space="preserve"> </v>
          </cell>
        </row>
        <row r="3266">
          <cell r="A3266" t="str">
            <v xml:space="preserve"> </v>
          </cell>
        </row>
        <row r="3267">
          <cell r="A3267" t="str">
            <v xml:space="preserve"> </v>
          </cell>
        </row>
        <row r="3268">
          <cell r="A3268" t="str">
            <v xml:space="preserve"> </v>
          </cell>
        </row>
        <row r="3269">
          <cell r="A3269" t="str">
            <v xml:space="preserve"> </v>
          </cell>
        </row>
        <row r="3270">
          <cell r="A3270" t="str">
            <v xml:space="preserve"> </v>
          </cell>
        </row>
        <row r="3271">
          <cell r="A3271" t="str">
            <v xml:space="preserve"> </v>
          </cell>
        </row>
      </sheetData>
      <sheetData sheetId="1">
        <row r="5">
          <cell r="A5" t="str">
            <v xml:space="preserve">01 </v>
          </cell>
          <cell r="B5" t="str">
            <v>01.000.000.001</v>
          </cell>
          <cell r="H5">
            <v>85.96</v>
          </cell>
        </row>
        <row r="6">
          <cell r="A6" t="str">
            <v xml:space="preserve">01 </v>
          </cell>
          <cell r="B6" t="str">
            <v>01.000.000.001</v>
          </cell>
          <cell r="H6">
            <v>85.96</v>
          </cell>
        </row>
        <row r="7">
          <cell r="A7" t="str">
            <v xml:space="preserve">01 </v>
          </cell>
          <cell r="B7" t="str">
            <v>01.000.000.001</v>
          </cell>
          <cell r="H7">
            <v>85.96</v>
          </cell>
        </row>
        <row r="8">
          <cell r="A8" t="str">
            <v xml:space="preserve">01 </v>
          </cell>
          <cell r="B8" t="str">
            <v>01.000.000.007</v>
          </cell>
          <cell r="H8">
            <v>78.19</v>
          </cell>
        </row>
        <row r="9">
          <cell r="A9" t="str">
            <v xml:space="preserve">05 </v>
          </cell>
          <cell r="B9" t="str">
            <v xml:space="preserve">05.000.001.010 </v>
          </cell>
          <cell r="H9">
            <v>3562.65</v>
          </cell>
        </row>
        <row r="10">
          <cell r="A10" t="str">
            <v xml:space="preserve">05 </v>
          </cell>
          <cell r="B10" t="str">
            <v>05.000.001.007</v>
          </cell>
          <cell r="H10">
            <v>4.8</v>
          </cell>
        </row>
        <row r="11">
          <cell r="A11" t="str">
            <v xml:space="preserve">05 </v>
          </cell>
          <cell r="B11" t="str">
            <v>05.000.002.009</v>
          </cell>
          <cell r="H11">
            <v>97.5</v>
          </cell>
        </row>
        <row r="12">
          <cell r="A12" t="str">
            <v xml:space="preserve">05 </v>
          </cell>
          <cell r="B12" t="str">
            <v>05.000.002.009</v>
          </cell>
          <cell r="H12">
            <v>181.35</v>
          </cell>
        </row>
        <row r="13">
          <cell r="A13" t="str">
            <v xml:space="preserve">05 </v>
          </cell>
          <cell r="B13" t="str">
            <v>05.000.002.009</v>
          </cell>
          <cell r="H13">
            <v>58.5</v>
          </cell>
        </row>
        <row r="14">
          <cell r="A14" t="str">
            <v xml:space="preserve">01 </v>
          </cell>
          <cell r="B14" t="str">
            <v>01.000.000.005</v>
          </cell>
          <cell r="H14">
            <v>1735.65</v>
          </cell>
        </row>
        <row r="15">
          <cell r="A15" t="str">
            <v xml:space="preserve">01 </v>
          </cell>
          <cell r="B15" t="str">
            <v>01.000.000.005</v>
          </cell>
          <cell r="H15">
            <v>47.5</v>
          </cell>
        </row>
        <row r="16">
          <cell r="A16" t="str">
            <v xml:space="preserve">01 </v>
          </cell>
          <cell r="B16" t="str">
            <v>01.000.000.005</v>
          </cell>
          <cell r="H16">
            <v>88.35</v>
          </cell>
        </row>
        <row r="17">
          <cell r="A17" t="str">
            <v xml:space="preserve">01 </v>
          </cell>
          <cell r="B17" t="str">
            <v>01.000.000.005</v>
          </cell>
          <cell r="H17">
            <v>28.5</v>
          </cell>
        </row>
        <row r="18">
          <cell r="A18" t="str">
            <v xml:space="preserve">02 </v>
          </cell>
          <cell r="B18" t="str">
            <v>02.000.000.002</v>
          </cell>
          <cell r="H18">
            <v>85</v>
          </cell>
        </row>
        <row r="19">
          <cell r="A19" t="str">
            <v xml:space="preserve">03 </v>
          </cell>
          <cell r="B19" t="str">
            <v>03.000.002.002</v>
          </cell>
          <cell r="H19">
            <v>3700</v>
          </cell>
        </row>
        <row r="20">
          <cell r="A20" t="str">
            <v xml:space="preserve">01 </v>
          </cell>
          <cell r="B20" t="str">
            <v>01.000.000.001</v>
          </cell>
          <cell r="H20">
            <v>88.78</v>
          </cell>
        </row>
        <row r="21">
          <cell r="A21" t="str">
            <v xml:space="preserve">03 </v>
          </cell>
          <cell r="B21" t="str">
            <v>03.000.003.005</v>
          </cell>
          <cell r="H21">
            <v>207</v>
          </cell>
        </row>
        <row r="22">
          <cell r="A22" t="str">
            <v xml:space="preserve">05 </v>
          </cell>
          <cell r="B22" t="str">
            <v>05.000.001.002</v>
          </cell>
          <cell r="H22">
            <v>313.52</v>
          </cell>
        </row>
        <row r="23">
          <cell r="A23" t="str">
            <v xml:space="preserve">05 </v>
          </cell>
          <cell r="B23" t="str">
            <v>05.000.001.002</v>
          </cell>
          <cell r="H23">
            <v>279.11</v>
          </cell>
        </row>
        <row r="24">
          <cell r="A24" t="str">
            <v xml:space="preserve">05 </v>
          </cell>
          <cell r="B24" t="str">
            <v>05.000.001.002</v>
          </cell>
          <cell r="H24">
            <v>254.75</v>
          </cell>
        </row>
        <row r="25">
          <cell r="A25" t="str">
            <v xml:space="preserve">05 </v>
          </cell>
          <cell r="B25" t="str">
            <v>05.000.001.002</v>
          </cell>
          <cell r="H25">
            <v>35.1</v>
          </cell>
        </row>
        <row r="26">
          <cell r="A26" t="str">
            <v xml:space="preserve">05 </v>
          </cell>
          <cell r="B26" t="str">
            <v>05.000.001.002</v>
          </cell>
          <cell r="H26">
            <v>104.18</v>
          </cell>
        </row>
        <row r="27">
          <cell r="A27" t="str">
            <v xml:space="preserve">05 </v>
          </cell>
          <cell r="B27" t="str">
            <v>05.000.001.002</v>
          </cell>
          <cell r="H27">
            <v>191.89</v>
          </cell>
        </row>
        <row r="28">
          <cell r="A28" t="str">
            <v xml:space="preserve">05 </v>
          </cell>
          <cell r="B28" t="str">
            <v>05.000.001.002</v>
          </cell>
          <cell r="H28">
            <v>90.99</v>
          </cell>
        </row>
        <row r="29">
          <cell r="A29" t="str">
            <v xml:space="preserve">05 </v>
          </cell>
          <cell r="B29" t="str">
            <v>05.000.001.007</v>
          </cell>
          <cell r="H29">
            <v>180</v>
          </cell>
        </row>
        <row r="30">
          <cell r="A30" t="str">
            <v xml:space="preserve">01 </v>
          </cell>
          <cell r="B30" t="str">
            <v>01.000.000.001</v>
          </cell>
          <cell r="H30">
            <v>88.78</v>
          </cell>
        </row>
        <row r="31">
          <cell r="A31" t="str">
            <v xml:space="preserve">01 </v>
          </cell>
          <cell r="B31" t="str">
            <v>01.000.000.002</v>
          </cell>
          <cell r="H31">
            <v>122.31</v>
          </cell>
        </row>
        <row r="32">
          <cell r="A32" t="str">
            <v xml:space="preserve">03 </v>
          </cell>
          <cell r="B32" t="str">
            <v>03.000.001.009</v>
          </cell>
          <cell r="H32">
            <v>4530.8</v>
          </cell>
        </row>
        <row r="33">
          <cell r="A33" t="str">
            <v xml:space="preserve">03 </v>
          </cell>
          <cell r="B33" t="str">
            <v>03.000.003.003</v>
          </cell>
          <cell r="H33">
            <v>275.39999999999998</v>
          </cell>
        </row>
        <row r="34">
          <cell r="A34" t="str">
            <v xml:space="preserve">03 </v>
          </cell>
          <cell r="B34" t="str">
            <v>03.000.003.003</v>
          </cell>
          <cell r="H34">
            <v>648.71</v>
          </cell>
        </row>
        <row r="35">
          <cell r="A35" t="str">
            <v xml:space="preserve">03 </v>
          </cell>
          <cell r="B35" t="str">
            <v>03.000.003.003</v>
          </cell>
          <cell r="H35">
            <v>237.43</v>
          </cell>
        </row>
        <row r="36">
          <cell r="A36" t="str">
            <v xml:space="preserve">03 </v>
          </cell>
          <cell r="B36" t="str">
            <v>03.000.003.005</v>
          </cell>
          <cell r="H36">
            <v>154.9</v>
          </cell>
        </row>
        <row r="37">
          <cell r="A37" t="str">
            <v xml:space="preserve">03 </v>
          </cell>
          <cell r="B37" t="str">
            <v>03.000.003.005</v>
          </cell>
          <cell r="H37">
            <v>58</v>
          </cell>
        </row>
        <row r="38">
          <cell r="A38" t="str">
            <v xml:space="preserve">03 </v>
          </cell>
          <cell r="B38" t="str">
            <v>03.000.003.007</v>
          </cell>
          <cell r="H38">
            <v>2375</v>
          </cell>
        </row>
        <row r="39">
          <cell r="A39" t="str">
            <v xml:space="preserve">04 </v>
          </cell>
          <cell r="B39" t="str">
            <v>04.000.000.006</v>
          </cell>
          <cell r="H39">
            <v>86.7</v>
          </cell>
        </row>
        <row r="40">
          <cell r="A40" t="str">
            <v xml:space="preserve">05 </v>
          </cell>
          <cell r="B40" t="str">
            <v>05.000.001.002</v>
          </cell>
          <cell r="H40">
            <v>86.75</v>
          </cell>
        </row>
        <row r="41">
          <cell r="A41" t="str">
            <v xml:space="preserve">05 </v>
          </cell>
          <cell r="B41" t="str">
            <v>05.000.001.002</v>
          </cell>
          <cell r="H41">
            <v>300.23</v>
          </cell>
        </row>
        <row r="42">
          <cell r="A42" t="str">
            <v xml:space="preserve">05 </v>
          </cell>
          <cell r="B42" t="str">
            <v>05.000.001.006</v>
          </cell>
          <cell r="H42">
            <v>36.5</v>
          </cell>
        </row>
        <row r="43">
          <cell r="A43" t="str">
            <v xml:space="preserve">05 </v>
          </cell>
          <cell r="B43" t="str">
            <v>05.000.002.005</v>
          </cell>
          <cell r="H43">
            <v>220</v>
          </cell>
        </row>
        <row r="44">
          <cell r="A44" t="str">
            <v xml:space="preserve">05 </v>
          </cell>
          <cell r="B44" t="str">
            <v>05.000.002.010</v>
          </cell>
          <cell r="H44">
            <v>318</v>
          </cell>
        </row>
        <row r="45">
          <cell r="A45" t="str">
            <v xml:space="preserve">01 </v>
          </cell>
          <cell r="B45" t="str">
            <v>01.000.000.002</v>
          </cell>
          <cell r="H45">
            <v>51.63</v>
          </cell>
        </row>
        <row r="46">
          <cell r="A46" t="str">
            <v xml:space="preserve">01 </v>
          </cell>
          <cell r="B46" t="str">
            <v>01.000.000.002</v>
          </cell>
          <cell r="H46">
            <v>4</v>
          </cell>
        </row>
        <row r="47">
          <cell r="A47" t="str">
            <v xml:space="preserve">01 </v>
          </cell>
          <cell r="B47" t="str">
            <v>01.000.000.007</v>
          </cell>
          <cell r="H47">
            <v>3341.94</v>
          </cell>
        </row>
        <row r="48">
          <cell r="A48" t="str">
            <v xml:space="preserve">01 </v>
          </cell>
          <cell r="B48" t="str">
            <v>01.000.000.007</v>
          </cell>
          <cell r="H48">
            <v>4069.41</v>
          </cell>
        </row>
        <row r="49">
          <cell r="A49" t="str">
            <v xml:space="preserve">03 </v>
          </cell>
          <cell r="B49" t="str">
            <v>03.000.001.008</v>
          </cell>
          <cell r="H49">
            <v>58</v>
          </cell>
        </row>
        <row r="50">
          <cell r="A50" t="str">
            <v xml:space="preserve">03 </v>
          </cell>
          <cell r="B50" t="str">
            <v>03.000.001.009</v>
          </cell>
          <cell r="H50">
            <v>169.2</v>
          </cell>
        </row>
        <row r="51">
          <cell r="A51" t="str">
            <v xml:space="preserve">03 </v>
          </cell>
          <cell r="B51" t="str">
            <v>03.000.001.009</v>
          </cell>
          <cell r="H51">
            <v>3276.81</v>
          </cell>
        </row>
        <row r="52">
          <cell r="A52" t="str">
            <v xml:space="preserve">03 </v>
          </cell>
          <cell r="B52" t="str">
            <v>03.000.003.001</v>
          </cell>
          <cell r="H52">
            <v>55.4</v>
          </cell>
        </row>
        <row r="53">
          <cell r="A53" t="str">
            <v xml:space="preserve">03 </v>
          </cell>
          <cell r="B53" t="str">
            <v>03.000.003.001</v>
          </cell>
          <cell r="H53">
            <v>66.48</v>
          </cell>
        </row>
        <row r="54">
          <cell r="A54" t="str">
            <v xml:space="preserve">03 </v>
          </cell>
          <cell r="B54" t="str">
            <v>03.000.003.003</v>
          </cell>
          <cell r="H54">
            <v>35.46</v>
          </cell>
        </row>
        <row r="55">
          <cell r="A55" t="str">
            <v xml:space="preserve">03 </v>
          </cell>
          <cell r="B55" t="str">
            <v>03.000.003.003</v>
          </cell>
          <cell r="H55">
            <v>0.12</v>
          </cell>
        </row>
        <row r="56">
          <cell r="A56" t="str">
            <v xml:space="preserve">03 </v>
          </cell>
          <cell r="B56" t="str">
            <v>03.000.003.003</v>
          </cell>
          <cell r="H56">
            <v>0.32</v>
          </cell>
        </row>
        <row r="57">
          <cell r="A57" t="str">
            <v xml:space="preserve">03 </v>
          </cell>
          <cell r="B57" t="str">
            <v>03.000.003.003</v>
          </cell>
          <cell r="H57">
            <v>648.71</v>
          </cell>
        </row>
        <row r="58">
          <cell r="A58" t="str">
            <v xml:space="preserve">03 </v>
          </cell>
          <cell r="B58" t="str">
            <v>03.000.003.003</v>
          </cell>
          <cell r="H58">
            <v>237.43</v>
          </cell>
        </row>
        <row r="59">
          <cell r="A59" t="str">
            <v xml:space="preserve">03 </v>
          </cell>
          <cell r="B59" t="str">
            <v>03.000.003.005</v>
          </cell>
          <cell r="H59">
            <v>350</v>
          </cell>
        </row>
        <row r="60">
          <cell r="A60" t="str">
            <v xml:space="preserve">03 </v>
          </cell>
          <cell r="B60" t="str">
            <v>03.000.003.005</v>
          </cell>
          <cell r="H60">
            <v>207</v>
          </cell>
        </row>
        <row r="61">
          <cell r="A61" t="str">
            <v xml:space="preserve">03 </v>
          </cell>
          <cell r="B61" t="str">
            <v>03.000.003.006</v>
          </cell>
          <cell r="H61">
            <v>477.56</v>
          </cell>
        </row>
        <row r="62">
          <cell r="A62" t="str">
            <v xml:space="preserve">03 </v>
          </cell>
          <cell r="B62" t="str">
            <v>03.000.003.006</v>
          </cell>
          <cell r="H62">
            <v>2033.71</v>
          </cell>
        </row>
        <row r="63">
          <cell r="A63" t="str">
            <v xml:space="preserve">03 </v>
          </cell>
          <cell r="B63" t="str">
            <v>03.000.003.007</v>
          </cell>
          <cell r="H63">
            <v>2168</v>
          </cell>
        </row>
        <row r="64">
          <cell r="A64" t="str">
            <v xml:space="preserve">03 </v>
          </cell>
          <cell r="B64" t="str">
            <v>03.000.003.007</v>
          </cell>
          <cell r="H64">
            <v>2958</v>
          </cell>
        </row>
        <row r="65">
          <cell r="A65" t="str">
            <v xml:space="preserve">03 </v>
          </cell>
          <cell r="B65" t="str">
            <v>03.000.003.007</v>
          </cell>
          <cell r="H65">
            <v>384</v>
          </cell>
        </row>
        <row r="66">
          <cell r="A66" t="str">
            <v xml:space="preserve">03 </v>
          </cell>
          <cell r="B66" t="str">
            <v>03.000.003.007</v>
          </cell>
          <cell r="H66">
            <v>4361</v>
          </cell>
        </row>
        <row r="67">
          <cell r="A67" t="str">
            <v xml:space="preserve">03 </v>
          </cell>
          <cell r="B67" t="str">
            <v>03.000.003.007</v>
          </cell>
          <cell r="H67">
            <v>391</v>
          </cell>
        </row>
        <row r="68">
          <cell r="A68" t="str">
            <v xml:space="preserve">03 </v>
          </cell>
          <cell r="B68" t="str">
            <v>03.000.003.007</v>
          </cell>
          <cell r="H68">
            <v>360</v>
          </cell>
        </row>
        <row r="69">
          <cell r="A69" t="str">
            <v xml:space="preserve">04 </v>
          </cell>
          <cell r="B69" t="str">
            <v>04.000.000.006</v>
          </cell>
          <cell r="H69">
            <v>1748.97</v>
          </cell>
        </row>
        <row r="70">
          <cell r="A70" t="str">
            <v xml:space="preserve">05 </v>
          </cell>
          <cell r="B70" t="str">
            <v>05.000.001.002</v>
          </cell>
          <cell r="H70">
            <v>10171.209999999999</v>
          </cell>
        </row>
        <row r="71">
          <cell r="A71" t="str">
            <v xml:space="preserve">05 </v>
          </cell>
          <cell r="B71" t="str">
            <v>05.000.001.002</v>
          </cell>
          <cell r="H71">
            <v>874.79</v>
          </cell>
        </row>
        <row r="72">
          <cell r="A72" t="str">
            <v xml:space="preserve">05 </v>
          </cell>
          <cell r="B72" t="str">
            <v>05.000.001.006</v>
          </cell>
          <cell r="H72">
            <v>17.2</v>
          </cell>
        </row>
        <row r="73">
          <cell r="A73" t="str">
            <v xml:space="preserve">05 </v>
          </cell>
          <cell r="B73" t="str">
            <v>05.000.001.006</v>
          </cell>
          <cell r="H73">
            <v>10</v>
          </cell>
        </row>
        <row r="74">
          <cell r="A74" t="str">
            <v xml:space="preserve">05 </v>
          </cell>
          <cell r="B74" t="str">
            <v>05.000.001.006</v>
          </cell>
          <cell r="H74">
            <v>10</v>
          </cell>
        </row>
        <row r="75">
          <cell r="A75" t="str">
            <v xml:space="preserve">05 </v>
          </cell>
          <cell r="B75" t="str">
            <v>05.000.001.006</v>
          </cell>
          <cell r="H75">
            <v>40</v>
          </cell>
        </row>
        <row r="76">
          <cell r="A76" t="str">
            <v xml:space="preserve">05 </v>
          </cell>
          <cell r="B76" t="str">
            <v>05.000.001.006</v>
          </cell>
          <cell r="H76">
            <v>10</v>
          </cell>
        </row>
        <row r="77">
          <cell r="A77" t="str">
            <v xml:space="preserve">05 </v>
          </cell>
          <cell r="B77" t="str">
            <v>05.000.001.006</v>
          </cell>
          <cell r="H77">
            <v>10</v>
          </cell>
        </row>
        <row r="78">
          <cell r="A78" t="str">
            <v xml:space="preserve">05 </v>
          </cell>
          <cell r="B78" t="str">
            <v>05.000.001.006</v>
          </cell>
          <cell r="H78">
            <v>10</v>
          </cell>
        </row>
        <row r="79">
          <cell r="A79" t="str">
            <v xml:space="preserve">05 </v>
          </cell>
          <cell r="B79" t="str">
            <v>05.000.001.006</v>
          </cell>
          <cell r="H79">
            <v>10</v>
          </cell>
        </row>
        <row r="80">
          <cell r="A80" t="str">
            <v xml:space="preserve">05 </v>
          </cell>
          <cell r="B80" t="str">
            <v>05.000.001.006</v>
          </cell>
          <cell r="H80">
            <v>13.6</v>
          </cell>
        </row>
        <row r="81">
          <cell r="A81" t="str">
            <v xml:space="preserve">05 </v>
          </cell>
          <cell r="B81" t="str">
            <v>05.000.002.005</v>
          </cell>
          <cell r="H81">
            <v>220</v>
          </cell>
        </row>
        <row r="82">
          <cell r="A82" t="str">
            <v xml:space="preserve">02 </v>
          </cell>
          <cell r="B82" t="str">
            <v>02.000.000.002</v>
          </cell>
          <cell r="H82">
            <v>60</v>
          </cell>
        </row>
        <row r="83">
          <cell r="A83" t="str">
            <v xml:space="preserve">03 </v>
          </cell>
          <cell r="B83" t="str">
            <v>03.000.001.001</v>
          </cell>
          <cell r="H83">
            <v>890</v>
          </cell>
        </row>
        <row r="84">
          <cell r="A84" t="str">
            <v xml:space="preserve">03 </v>
          </cell>
          <cell r="B84" t="str">
            <v>03.000.001.001</v>
          </cell>
          <cell r="H84">
            <v>890</v>
          </cell>
        </row>
        <row r="85">
          <cell r="A85" t="str">
            <v xml:space="preserve">03 </v>
          </cell>
          <cell r="B85" t="str">
            <v>03.000.001.001</v>
          </cell>
          <cell r="H85">
            <v>3634</v>
          </cell>
        </row>
        <row r="86">
          <cell r="A86" t="str">
            <v xml:space="preserve">03 </v>
          </cell>
          <cell r="B86" t="str">
            <v>03.000.001.008</v>
          </cell>
          <cell r="H86">
            <v>116</v>
          </cell>
        </row>
        <row r="87">
          <cell r="A87" t="str">
            <v xml:space="preserve">03 </v>
          </cell>
          <cell r="B87" t="str">
            <v>03.000.001.009</v>
          </cell>
          <cell r="H87">
            <v>80.58</v>
          </cell>
        </row>
        <row r="88">
          <cell r="A88" t="str">
            <v xml:space="preserve">03 </v>
          </cell>
          <cell r="B88" t="str">
            <v>03.000.001.009</v>
          </cell>
          <cell r="H88">
            <v>2679.7</v>
          </cell>
        </row>
        <row r="89">
          <cell r="A89" t="str">
            <v xml:space="preserve">03 </v>
          </cell>
          <cell r="B89" t="str">
            <v>03.000.003.001</v>
          </cell>
          <cell r="H89">
            <v>66.48</v>
          </cell>
        </row>
        <row r="90">
          <cell r="A90" t="str">
            <v xml:space="preserve">03 </v>
          </cell>
          <cell r="B90" t="str">
            <v>03.000.003.003</v>
          </cell>
          <cell r="H90">
            <v>0.12</v>
          </cell>
        </row>
        <row r="91">
          <cell r="A91" t="str">
            <v xml:space="preserve">03 </v>
          </cell>
          <cell r="B91" t="str">
            <v>03.000.003.003</v>
          </cell>
          <cell r="H91">
            <v>0.32</v>
          </cell>
        </row>
        <row r="92">
          <cell r="A92" t="str">
            <v xml:space="preserve">03 </v>
          </cell>
          <cell r="B92" t="str">
            <v>03.000.003.003</v>
          </cell>
          <cell r="H92">
            <v>115.48</v>
          </cell>
        </row>
        <row r="93">
          <cell r="A93" t="str">
            <v xml:space="preserve">03 </v>
          </cell>
          <cell r="B93" t="str">
            <v>03.000.003.003</v>
          </cell>
          <cell r="H93">
            <v>177.22</v>
          </cell>
        </row>
        <row r="94">
          <cell r="A94" t="str">
            <v xml:space="preserve">03 </v>
          </cell>
          <cell r="B94" t="str">
            <v>03.000.003.003</v>
          </cell>
          <cell r="H94">
            <v>100</v>
          </cell>
        </row>
        <row r="95">
          <cell r="A95" t="str">
            <v xml:space="preserve">03 </v>
          </cell>
          <cell r="B95" t="str">
            <v>03.000.003.003</v>
          </cell>
          <cell r="H95">
            <v>648.71</v>
          </cell>
        </row>
        <row r="96">
          <cell r="A96" t="str">
            <v xml:space="preserve">03 </v>
          </cell>
          <cell r="B96" t="str">
            <v>03.000.003.004</v>
          </cell>
          <cell r="H96">
            <v>945</v>
          </cell>
        </row>
        <row r="97">
          <cell r="A97" t="str">
            <v xml:space="preserve">03 </v>
          </cell>
          <cell r="B97" t="str">
            <v>03.000.003.005</v>
          </cell>
          <cell r="H97">
            <v>300</v>
          </cell>
        </row>
        <row r="98">
          <cell r="A98" t="str">
            <v xml:space="preserve">03 </v>
          </cell>
          <cell r="B98" t="str">
            <v>03.000.003.005</v>
          </cell>
          <cell r="H98">
            <v>207</v>
          </cell>
        </row>
        <row r="99">
          <cell r="A99" t="str">
            <v xml:space="preserve">03 </v>
          </cell>
          <cell r="B99" t="str">
            <v>03.000.003.006</v>
          </cell>
          <cell r="H99">
            <v>941.66</v>
          </cell>
        </row>
        <row r="100">
          <cell r="A100" t="str">
            <v xml:space="preserve">03 </v>
          </cell>
          <cell r="B100" t="str">
            <v>03.000.003.006</v>
          </cell>
          <cell r="H100">
            <v>4769.3900000000003</v>
          </cell>
        </row>
        <row r="101">
          <cell r="A101" t="str">
            <v xml:space="preserve">03 </v>
          </cell>
          <cell r="B101" t="str">
            <v>03.000.003.007</v>
          </cell>
          <cell r="H101">
            <v>1938</v>
          </cell>
        </row>
        <row r="102">
          <cell r="A102" t="str">
            <v xml:space="preserve">03 </v>
          </cell>
          <cell r="B102" t="str">
            <v>03.000.003.007</v>
          </cell>
          <cell r="H102">
            <v>5470</v>
          </cell>
        </row>
        <row r="103">
          <cell r="A103" t="str">
            <v xml:space="preserve">03 </v>
          </cell>
          <cell r="B103" t="str">
            <v>03.000.003.007</v>
          </cell>
          <cell r="H103">
            <v>6149</v>
          </cell>
        </row>
        <row r="104">
          <cell r="A104" t="str">
            <v xml:space="preserve">04 </v>
          </cell>
          <cell r="B104" t="str">
            <v>04.000.000.006</v>
          </cell>
          <cell r="H104">
            <v>22.8</v>
          </cell>
        </row>
        <row r="105">
          <cell r="A105" t="str">
            <v xml:space="preserve">04 </v>
          </cell>
          <cell r="B105" t="str">
            <v>04.000.000.006</v>
          </cell>
          <cell r="H105">
            <v>200</v>
          </cell>
        </row>
        <row r="106">
          <cell r="A106" t="str">
            <v xml:space="preserve">04 </v>
          </cell>
          <cell r="B106" t="str">
            <v>04.000.000.006</v>
          </cell>
          <cell r="H106">
            <v>200</v>
          </cell>
        </row>
        <row r="107">
          <cell r="A107" t="str">
            <v xml:space="preserve">04 </v>
          </cell>
          <cell r="B107" t="str">
            <v>04.000.000.006</v>
          </cell>
          <cell r="H107">
            <v>205.6</v>
          </cell>
        </row>
        <row r="108">
          <cell r="A108" t="str">
            <v xml:space="preserve">04 </v>
          </cell>
          <cell r="B108" t="str">
            <v>04.000.000.006</v>
          </cell>
          <cell r="H108">
            <v>248.76</v>
          </cell>
        </row>
        <row r="109">
          <cell r="A109" t="str">
            <v xml:space="preserve">04 </v>
          </cell>
          <cell r="B109" t="str">
            <v>04.000.000.006</v>
          </cell>
          <cell r="H109">
            <v>205.6</v>
          </cell>
        </row>
        <row r="110">
          <cell r="A110" t="str">
            <v xml:space="preserve">04 </v>
          </cell>
          <cell r="B110" t="str">
            <v>04.000.000.007</v>
          </cell>
          <cell r="H110">
            <v>360</v>
          </cell>
        </row>
        <row r="111">
          <cell r="A111" t="str">
            <v xml:space="preserve">05 </v>
          </cell>
          <cell r="B111" t="str">
            <v>05.000.001.001</v>
          </cell>
          <cell r="H111">
            <v>40.17</v>
          </cell>
        </row>
        <row r="112">
          <cell r="A112" t="str">
            <v xml:space="preserve">05 </v>
          </cell>
          <cell r="B112" t="str">
            <v>05.000.001.002</v>
          </cell>
          <cell r="H112">
            <v>303.69</v>
          </cell>
        </row>
        <row r="113">
          <cell r="A113" t="str">
            <v xml:space="preserve">05 </v>
          </cell>
          <cell r="B113" t="str">
            <v>05.000.001.005</v>
          </cell>
          <cell r="H113">
            <v>171.69</v>
          </cell>
        </row>
        <row r="114">
          <cell r="A114" t="str">
            <v xml:space="preserve">05 </v>
          </cell>
          <cell r="B114" t="str">
            <v>05.000.001.005</v>
          </cell>
          <cell r="H114">
            <v>248.2</v>
          </cell>
        </row>
        <row r="115">
          <cell r="A115" t="str">
            <v xml:space="preserve">05 </v>
          </cell>
          <cell r="B115" t="str">
            <v>05.000.001.005</v>
          </cell>
          <cell r="H115">
            <v>291.67</v>
          </cell>
        </row>
        <row r="116">
          <cell r="A116" t="str">
            <v xml:space="preserve">05 </v>
          </cell>
          <cell r="B116" t="str">
            <v>05.000.001.005</v>
          </cell>
          <cell r="H116">
            <v>1017.7</v>
          </cell>
        </row>
        <row r="117">
          <cell r="A117" t="str">
            <v xml:space="preserve">05 </v>
          </cell>
          <cell r="B117" t="str">
            <v>05.000.001.006</v>
          </cell>
          <cell r="H117">
            <v>10</v>
          </cell>
        </row>
        <row r="118">
          <cell r="A118" t="str">
            <v xml:space="preserve">05 </v>
          </cell>
          <cell r="B118" t="str">
            <v>05.000.001.006</v>
          </cell>
          <cell r="H118">
            <v>10</v>
          </cell>
        </row>
        <row r="119">
          <cell r="A119" t="str">
            <v xml:space="preserve">05 </v>
          </cell>
          <cell r="B119" t="str">
            <v>05.000.001.006</v>
          </cell>
          <cell r="H119">
            <v>20</v>
          </cell>
        </row>
        <row r="120">
          <cell r="A120" t="str">
            <v xml:space="preserve">05 </v>
          </cell>
          <cell r="B120" t="str">
            <v>05.000.001.006</v>
          </cell>
          <cell r="H120">
            <v>6.3</v>
          </cell>
        </row>
        <row r="121">
          <cell r="A121" t="str">
            <v xml:space="preserve">05 </v>
          </cell>
          <cell r="B121" t="str">
            <v>05.000.001.006</v>
          </cell>
          <cell r="H121">
            <v>20</v>
          </cell>
        </row>
        <row r="122">
          <cell r="A122" t="str">
            <v xml:space="preserve">05 </v>
          </cell>
          <cell r="B122" t="str">
            <v>05.000.001.006</v>
          </cell>
          <cell r="H122">
            <v>10</v>
          </cell>
        </row>
        <row r="123">
          <cell r="A123" t="str">
            <v xml:space="preserve">05 </v>
          </cell>
          <cell r="B123" t="str">
            <v>05.000.001.006</v>
          </cell>
          <cell r="H123">
            <v>10</v>
          </cell>
        </row>
        <row r="124">
          <cell r="A124" t="str">
            <v xml:space="preserve">05 </v>
          </cell>
          <cell r="B124" t="str">
            <v>05.000.001.006</v>
          </cell>
          <cell r="H124">
            <v>10</v>
          </cell>
        </row>
        <row r="125">
          <cell r="A125" t="str">
            <v xml:space="preserve">05 </v>
          </cell>
          <cell r="B125" t="str">
            <v>05.000.001.006</v>
          </cell>
          <cell r="H125">
            <v>10</v>
          </cell>
        </row>
        <row r="126">
          <cell r="A126" t="str">
            <v xml:space="preserve">05 </v>
          </cell>
          <cell r="B126" t="str">
            <v>05.000.001.006</v>
          </cell>
          <cell r="H126">
            <v>60</v>
          </cell>
        </row>
        <row r="127">
          <cell r="A127" t="str">
            <v xml:space="preserve">05 </v>
          </cell>
          <cell r="B127" t="str">
            <v>05.000.001.006</v>
          </cell>
          <cell r="H127">
            <v>3.6</v>
          </cell>
        </row>
        <row r="128">
          <cell r="A128" t="str">
            <v xml:space="preserve">05 </v>
          </cell>
          <cell r="B128" t="str">
            <v>05.000.001.006</v>
          </cell>
          <cell r="H128">
            <v>10</v>
          </cell>
        </row>
        <row r="129">
          <cell r="A129" t="str">
            <v xml:space="preserve">05 </v>
          </cell>
          <cell r="B129" t="str">
            <v>05.000.001.006</v>
          </cell>
          <cell r="H129">
            <v>10</v>
          </cell>
        </row>
        <row r="130">
          <cell r="A130" t="str">
            <v xml:space="preserve">05 </v>
          </cell>
          <cell r="B130" t="str">
            <v>05.000.001.006</v>
          </cell>
          <cell r="H130">
            <v>10</v>
          </cell>
        </row>
        <row r="131">
          <cell r="A131" t="str">
            <v xml:space="preserve">05 </v>
          </cell>
          <cell r="B131" t="str">
            <v>05.000.001.008</v>
          </cell>
          <cell r="H131">
            <v>288.10000000000002</v>
          </cell>
        </row>
        <row r="132">
          <cell r="A132" t="str">
            <v xml:space="preserve">05 </v>
          </cell>
          <cell r="B132" t="str">
            <v>05.000.002.005</v>
          </cell>
          <cell r="H132">
            <v>1100</v>
          </cell>
        </row>
        <row r="133">
          <cell r="A133" t="str">
            <v xml:space="preserve">05 </v>
          </cell>
          <cell r="B133" t="str">
            <v xml:space="preserve">05.000.002.008 </v>
          </cell>
          <cell r="H133">
            <v>2998.05</v>
          </cell>
        </row>
        <row r="134">
          <cell r="A134" t="str">
            <v xml:space="preserve">05 </v>
          </cell>
          <cell r="B134" t="str">
            <v>05.000.002.009</v>
          </cell>
          <cell r="H134">
            <v>5087.6000000000004</v>
          </cell>
        </row>
        <row r="135">
          <cell r="A135" t="str">
            <v xml:space="preserve">05 </v>
          </cell>
          <cell r="B135" t="str">
            <v>05.000.002.012</v>
          </cell>
          <cell r="H135">
            <v>62.82</v>
          </cell>
        </row>
        <row r="136">
          <cell r="A136" t="str">
            <v xml:space="preserve">01 </v>
          </cell>
          <cell r="B136" t="str">
            <v>01.000.000.002</v>
          </cell>
          <cell r="H136">
            <v>245.21</v>
          </cell>
        </row>
        <row r="137">
          <cell r="A137" t="str">
            <v xml:space="preserve">01 </v>
          </cell>
          <cell r="B137" t="str">
            <v>01.000.000.007</v>
          </cell>
          <cell r="H137">
            <v>770.72</v>
          </cell>
        </row>
        <row r="138">
          <cell r="A138" t="str">
            <v xml:space="preserve">02 </v>
          </cell>
          <cell r="B138" t="str">
            <v>02.000.000.001</v>
          </cell>
          <cell r="H138">
            <v>75</v>
          </cell>
        </row>
        <row r="139">
          <cell r="A139" t="str">
            <v xml:space="preserve">02 </v>
          </cell>
          <cell r="B139" t="str">
            <v>02.000.000.002</v>
          </cell>
          <cell r="H139">
            <v>697.55</v>
          </cell>
        </row>
        <row r="140">
          <cell r="A140" t="str">
            <v xml:space="preserve">02 </v>
          </cell>
          <cell r="B140" t="str">
            <v>02.000.000.002</v>
          </cell>
          <cell r="H140">
            <v>531.75</v>
          </cell>
        </row>
        <row r="141">
          <cell r="A141" t="str">
            <v xml:space="preserve">02 </v>
          </cell>
          <cell r="B141" t="str">
            <v>02.000.000.010</v>
          </cell>
          <cell r="H141">
            <v>118</v>
          </cell>
        </row>
        <row r="142">
          <cell r="A142" t="str">
            <v xml:space="preserve">02 </v>
          </cell>
          <cell r="B142" t="str">
            <v>02.000.000.010</v>
          </cell>
          <cell r="H142">
            <v>110</v>
          </cell>
        </row>
        <row r="143">
          <cell r="A143" t="str">
            <v xml:space="preserve">03 </v>
          </cell>
          <cell r="B143" t="str">
            <v>03.000.001.001</v>
          </cell>
          <cell r="H143">
            <v>120</v>
          </cell>
        </row>
        <row r="144">
          <cell r="A144" t="str">
            <v xml:space="preserve">03 </v>
          </cell>
          <cell r="B144" t="str">
            <v>03.000.001.001</v>
          </cell>
          <cell r="H144">
            <v>890</v>
          </cell>
        </row>
        <row r="145">
          <cell r="A145" t="str">
            <v xml:space="preserve">03 </v>
          </cell>
          <cell r="B145" t="str">
            <v>03.000.001.001</v>
          </cell>
          <cell r="H145">
            <v>3634</v>
          </cell>
        </row>
        <row r="146">
          <cell r="A146" t="str">
            <v xml:space="preserve">03 </v>
          </cell>
          <cell r="B146" t="str">
            <v>03.000.001.001</v>
          </cell>
          <cell r="H146">
            <v>890</v>
          </cell>
        </row>
        <row r="147">
          <cell r="A147" t="str">
            <v xml:space="preserve">03 </v>
          </cell>
          <cell r="B147" t="str">
            <v>03.000.001.001</v>
          </cell>
          <cell r="H147">
            <v>60</v>
          </cell>
        </row>
        <row r="148">
          <cell r="A148" t="str">
            <v xml:space="preserve">03 </v>
          </cell>
          <cell r="B148" t="str">
            <v>03.000.001.001</v>
          </cell>
          <cell r="H148">
            <v>186</v>
          </cell>
        </row>
        <row r="149">
          <cell r="A149" t="str">
            <v xml:space="preserve">03 </v>
          </cell>
          <cell r="B149" t="str">
            <v>03.000.001.008</v>
          </cell>
          <cell r="H149">
            <v>58</v>
          </cell>
        </row>
        <row r="150">
          <cell r="A150" t="str">
            <v xml:space="preserve">03 </v>
          </cell>
          <cell r="B150" t="str">
            <v>03.000.001.009</v>
          </cell>
          <cell r="H150">
            <v>71.53</v>
          </cell>
        </row>
        <row r="151">
          <cell r="A151" t="str">
            <v xml:space="preserve">03 </v>
          </cell>
          <cell r="B151" t="str">
            <v>03.000.001.009</v>
          </cell>
          <cell r="H151">
            <v>1679.96</v>
          </cell>
        </row>
        <row r="152">
          <cell r="A152" t="str">
            <v xml:space="preserve">03 </v>
          </cell>
          <cell r="B152" t="str">
            <v>03.000.003.001</v>
          </cell>
          <cell r="H152">
            <v>88.64</v>
          </cell>
        </row>
        <row r="153">
          <cell r="A153" t="str">
            <v xml:space="preserve">03 </v>
          </cell>
          <cell r="B153" t="str">
            <v>03.000.003.002</v>
          </cell>
          <cell r="H153">
            <v>1072.2</v>
          </cell>
        </row>
        <row r="154">
          <cell r="A154" t="str">
            <v xml:space="preserve">03 </v>
          </cell>
          <cell r="B154" t="str">
            <v>03.000.003.003</v>
          </cell>
          <cell r="H154">
            <v>0.32</v>
          </cell>
        </row>
        <row r="155">
          <cell r="A155" t="str">
            <v xml:space="preserve">03 </v>
          </cell>
          <cell r="B155" t="str">
            <v>03.000.003.003</v>
          </cell>
          <cell r="H155">
            <v>0.09</v>
          </cell>
        </row>
        <row r="156">
          <cell r="A156" t="str">
            <v xml:space="preserve">03 </v>
          </cell>
          <cell r="B156" t="str">
            <v>03.000.003.003</v>
          </cell>
          <cell r="H156">
            <v>0.06</v>
          </cell>
        </row>
        <row r="157">
          <cell r="A157" t="str">
            <v xml:space="preserve">03 </v>
          </cell>
          <cell r="B157" t="str">
            <v>03.000.003.003</v>
          </cell>
          <cell r="H157">
            <v>33.49</v>
          </cell>
        </row>
        <row r="158">
          <cell r="A158" t="str">
            <v xml:space="preserve">03 </v>
          </cell>
          <cell r="B158" t="str">
            <v>03.000.003.003</v>
          </cell>
          <cell r="H158">
            <v>14.25</v>
          </cell>
        </row>
        <row r="159">
          <cell r="A159" t="str">
            <v xml:space="preserve">03 </v>
          </cell>
          <cell r="B159" t="str">
            <v>03.000.003.003</v>
          </cell>
          <cell r="H159">
            <v>1126.5999999999999</v>
          </cell>
        </row>
        <row r="160">
          <cell r="A160" t="str">
            <v xml:space="preserve">03 </v>
          </cell>
          <cell r="B160" t="str">
            <v>03.000.003.003</v>
          </cell>
          <cell r="H160">
            <v>226.13</v>
          </cell>
        </row>
        <row r="161">
          <cell r="A161" t="str">
            <v xml:space="preserve">03 </v>
          </cell>
          <cell r="B161" t="str">
            <v>03.000.003.003</v>
          </cell>
          <cell r="H161">
            <v>153</v>
          </cell>
        </row>
        <row r="162">
          <cell r="A162" t="str">
            <v xml:space="preserve">03 </v>
          </cell>
          <cell r="B162" t="str">
            <v>03.000.003.004</v>
          </cell>
          <cell r="H162">
            <v>54.06</v>
          </cell>
        </row>
        <row r="163">
          <cell r="A163" t="str">
            <v xml:space="preserve">03 </v>
          </cell>
          <cell r="B163" t="str">
            <v>03.000.003.004</v>
          </cell>
          <cell r="H163">
            <v>862.5</v>
          </cell>
        </row>
        <row r="164">
          <cell r="A164" t="str">
            <v xml:space="preserve">03 </v>
          </cell>
          <cell r="B164" t="str">
            <v>03.000.003.005</v>
          </cell>
          <cell r="H164">
            <v>538.78</v>
          </cell>
        </row>
        <row r="165">
          <cell r="A165" t="str">
            <v xml:space="preserve">03 </v>
          </cell>
          <cell r="B165" t="str">
            <v>03.000.003.005</v>
          </cell>
          <cell r="H165">
            <v>207</v>
          </cell>
        </row>
        <row r="166">
          <cell r="A166" t="str">
            <v xml:space="preserve">03 </v>
          </cell>
          <cell r="B166" t="str">
            <v>03.000.003.006</v>
          </cell>
          <cell r="H166">
            <v>72.239999999999995</v>
          </cell>
        </row>
        <row r="167">
          <cell r="A167" t="str">
            <v xml:space="preserve">03 </v>
          </cell>
          <cell r="B167" t="str">
            <v>03.000.003.006</v>
          </cell>
          <cell r="H167">
            <v>196</v>
          </cell>
        </row>
        <row r="168">
          <cell r="A168" t="str">
            <v xml:space="preserve">03 </v>
          </cell>
          <cell r="B168" t="str">
            <v>03.000.003.006</v>
          </cell>
          <cell r="H168">
            <v>1093.6199999999999</v>
          </cell>
        </row>
        <row r="169">
          <cell r="A169" t="str">
            <v xml:space="preserve">03 </v>
          </cell>
          <cell r="B169" t="str">
            <v>03.000.003.006</v>
          </cell>
          <cell r="H169">
            <v>6693.46</v>
          </cell>
        </row>
        <row r="170">
          <cell r="A170" t="str">
            <v xml:space="preserve">03 </v>
          </cell>
          <cell r="B170" t="str">
            <v>03.000.003.006</v>
          </cell>
          <cell r="H170">
            <v>199.13</v>
          </cell>
        </row>
        <row r="171">
          <cell r="A171" t="str">
            <v xml:space="preserve">03 </v>
          </cell>
          <cell r="B171" t="str">
            <v>03.000.003.007</v>
          </cell>
          <cell r="H171">
            <v>3339</v>
          </cell>
        </row>
        <row r="172">
          <cell r="A172" t="str">
            <v xml:space="preserve">03 </v>
          </cell>
          <cell r="B172" t="str">
            <v>03.000.003.007</v>
          </cell>
          <cell r="H172">
            <v>2458</v>
          </cell>
        </row>
        <row r="173">
          <cell r="A173" t="str">
            <v xml:space="preserve">03 </v>
          </cell>
          <cell r="B173" t="str">
            <v>03.000.003.007</v>
          </cell>
          <cell r="H173">
            <v>645.58000000000004</v>
          </cell>
        </row>
        <row r="174">
          <cell r="A174" t="str">
            <v xml:space="preserve">03 </v>
          </cell>
          <cell r="B174" t="str">
            <v>03.000.003.007</v>
          </cell>
          <cell r="H174">
            <v>1876.61</v>
          </cell>
        </row>
        <row r="175">
          <cell r="A175" t="str">
            <v xml:space="preserve">03 </v>
          </cell>
          <cell r="B175" t="str">
            <v>03.000.003.007</v>
          </cell>
          <cell r="H175">
            <v>1903</v>
          </cell>
        </row>
        <row r="176">
          <cell r="A176" t="str">
            <v xml:space="preserve">03 </v>
          </cell>
          <cell r="B176" t="str">
            <v>03.000.003.007</v>
          </cell>
          <cell r="H176">
            <v>1854</v>
          </cell>
        </row>
        <row r="177">
          <cell r="A177" t="str">
            <v xml:space="preserve">03 </v>
          </cell>
          <cell r="B177" t="str">
            <v>03.000.003.007</v>
          </cell>
          <cell r="H177">
            <v>5799</v>
          </cell>
        </row>
        <row r="178">
          <cell r="A178" t="str">
            <v xml:space="preserve">04 </v>
          </cell>
          <cell r="B178" t="str">
            <v>04.000.000.004</v>
          </cell>
          <cell r="H178">
            <v>70</v>
          </cell>
        </row>
        <row r="179">
          <cell r="A179" t="str">
            <v xml:space="preserve">04 </v>
          </cell>
          <cell r="B179" t="str">
            <v>04.000.000.006</v>
          </cell>
          <cell r="H179">
            <v>200</v>
          </cell>
        </row>
        <row r="180">
          <cell r="A180" t="str">
            <v xml:space="preserve">04 </v>
          </cell>
          <cell r="B180" t="str">
            <v>04.000.000.006</v>
          </cell>
          <cell r="H180">
            <v>200</v>
          </cell>
        </row>
        <row r="181">
          <cell r="A181" t="str">
            <v xml:space="preserve">04 </v>
          </cell>
          <cell r="B181" t="str">
            <v>04.000.000.006</v>
          </cell>
          <cell r="H181">
            <v>200</v>
          </cell>
        </row>
        <row r="182">
          <cell r="A182" t="str">
            <v xml:space="preserve">04 </v>
          </cell>
          <cell r="B182" t="str">
            <v>04.000.000.006</v>
          </cell>
          <cell r="H182">
            <v>200</v>
          </cell>
        </row>
        <row r="183">
          <cell r="A183" t="str">
            <v xml:space="preserve">04 </v>
          </cell>
          <cell r="B183" t="str">
            <v>04.000.000.006</v>
          </cell>
          <cell r="H183">
            <v>200</v>
          </cell>
        </row>
        <row r="184">
          <cell r="A184" t="str">
            <v xml:space="preserve">04 </v>
          </cell>
          <cell r="B184" t="str">
            <v>04.000.000.006</v>
          </cell>
          <cell r="H184">
            <v>200</v>
          </cell>
        </row>
        <row r="185">
          <cell r="A185" t="str">
            <v xml:space="preserve">04 </v>
          </cell>
          <cell r="B185" t="str">
            <v>04.000.000.006</v>
          </cell>
          <cell r="H185">
            <v>200</v>
          </cell>
        </row>
        <row r="186">
          <cell r="A186" t="str">
            <v xml:space="preserve">04 </v>
          </cell>
          <cell r="B186" t="str">
            <v>04.000.000.006</v>
          </cell>
          <cell r="H186">
            <v>200</v>
          </cell>
        </row>
        <row r="187">
          <cell r="A187" t="str">
            <v xml:space="preserve">04 </v>
          </cell>
          <cell r="B187" t="str">
            <v>04.000.000.007</v>
          </cell>
          <cell r="H187">
            <v>360</v>
          </cell>
        </row>
        <row r="188">
          <cell r="A188" t="str">
            <v xml:space="preserve">05 </v>
          </cell>
          <cell r="B188" t="str">
            <v>05.000.001.001</v>
          </cell>
          <cell r="H188">
            <v>616.42999999999995</v>
          </cell>
        </row>
        <row r="189">
          <cell r="A189" t="str">
            <v xml:space="preserve">05 </v>
          </cell>
          <cell r="B189" t="str">
            <v>05.000.001.001</v>
          </cell>
          <cell r="H189">
            <v>66.61</v>
          </cell>
        </row>
        <row r="190">
          <cell r="A190" t="str">
            <v xml:space="preserve">05 </v>
          </cell>
          <cell r="B190" t="str">
            <v>05.000.001.003</v>
          </cell>
          <cell r="H190">
            <v>119.99</v>
          </cell>
        </row>
        <row r="191">
          <cell r="A191" t="str">
            <v xml:space="preserve">05 </v>
          </cell>
          <cell r="B191" t="str">
            <v>05.000.001.003</v>
          </cell>
          <cell r="H191">
            <v>89.02</v>
          </cell>
        </row>
        <row r="192">
          <cell r="A192" t="str">
            <v xml:space="preserve">05 </v>
          </cell>
          <cell r="B192" t="str">
            <v>05.000.001.003</v>
          </cell>
          <cell r="H192">
            <v>82.02</v>
          </cell>
        </row>
        <row r="193">
          <cell r="A193" t="str">
            <v xml:space="preserve">05 </v>
          </cell>
          <cell r="B193" t="str">
            <v>05.000.001.004</v>
          </cell>
          <cell r="H193">
            <v>119.99</v>
          </cell>
        </row>
        <row r="194">
          <cell r="A194" t="str">
            <v xml:space="preserve">05 </v>
          </cell>
          <cell r="B194" t="str">
            <v>05.000.001.005</v>
          </cell>
          <cell r="H194">
            <v>290</v>
          </cell>
        </row>
        <row r="195">
          <cell r="A195" t="str">
            <v xml:space="preserve">01 </v>
          </cell>
          <cell r="B195" t="str">
            <v xml:space="preserve">01.000.000.004 </v>
          </cell>
          <cell r="H195">
            <v>2600</v>
          </cell>
        </row>
        <row r="196">
          <cell r="A196" t="str">
            <v xml:space="preserve">05 </v>
          </cell>
          <cell r="B196" t="str">
            <v>05.000.001.005</v>
          </cell>
          <cell r="H196">
            <v>488</v>
          </cell>
        </row>
        <row r="197">
          <cell r="A197" t="str">
            <v xml:space="preserve">05 </v>
          </cell>
          <cell r="B197" t="str">
            <v>05.000.001.006</v>
          </cell>
          <cell r="H197">
            <v>10</v>
          </cell>
        </row>
        <row r="198">
          <cell r="A198" t="str">
            <v xml:space="preserve">05 </v>
          </cell>
          <cell r="B198" t="str">
            <v>05.000.001.006</v>
          </cell>
          <cell r="H198">
            <v>60</v>
          </cell>
        </row>
        <row r="199">
          <cell r="A199" t="str">
            <v xml:space="preserve">05 </v>
          </cell>
          <cell r="B199" t="str">
            <v>05.000.001.006</v>
          </cell>
          <cell r="H199">
            <v>42.7</v>
          </cell>
        </row>
        <row r="200">
          <cell r="A200" t="str">
            <v xml:space="preserve">05 </v>
          </cell>
          <cell r="B200" t="str">
            <v>05.000.001.006</v>
          </cell>
          <cell r="H200">
            <v>0.9</v>
          </cell>
        </row>
        <row r="201">
          <cell r="A201" t="str">
            <v xml:space="preserve">05 </v>
          </cell>
          <cell r="B201" t="str">
            <v>05.000.001.006</v>
          </cell>
          <cell r="H201">
            <v>2.7</v>
          </cell>
        </row>
        <row r="202">
          <cell r="A202" t="str">
            <v xml:space="preserve">05 </v>
          </cell>
          <cell r="B202" t="str">
            <v>05.000.001.006</v>
          </cell>
          <cell r="H202">
            <v>10</v>
          </cell>
        </row>
        <row r="203">
          <cell r="A203" t="str">
            <v xml:space="preserve">05 </v>
          </cell>
          <cell r="B203" t="str">
            <v>05.000.001.006</v>
          </cell>
          <cell r="H203">
            <v>2.7</v>
          </cell>
        </row>
        <row r="204">
          <cell r="A204" t="str">
            <v xml:space="preserve">05 </v>
          </cell>
          <cell r="B204" t="str">
            <v>05.000.001.006</v>
          </cell>
          <cell r="H204">
            <v>50</v>
          </cell>
        </row>
        <row r="205">
          <cell r="A205" t="str">
            <v xml:space="preserve">05 </v>
          </cell>
          <cell r="B205" t="str">
            <v>05.000.001.006</v>
          </cell>
          <cell r="H205">
            <v>2.7</v>
          </cell>
        </row>
        <row r="206">
          <cell r="A206" t="str">
            <v xml:space="preserve">05 </v>
          </cell>
          <cell r="B206" t="str">
            <v>05.000.001.006</v>
          </cell>
          <cell r="H206">
            <v>20</v>
          </cell>
        </row>
        <row r="207">
          <cell r="A207" t="str">
            <v xml:space="preserve">05 </v>
          </cell>
          <cell r="B207" t="str">
            <v>05.000.001.006</v>
          </cell>
          <cell r="H207">
            <v>20</v>
          </cell>
        </row>
        <row r="208">
          <cell r="A208" t="str">
            <v xml:space="preserve">05 </v>
          </cell>
          <cell r="B208" t="str">
            <v>05.000.001.006</v>
          </cell>
          <cell r="H208">
            <v>10</v>
          </cell>
        </row>
        <row r="209">
          <cell r="A209" t="str">
            <v xml:space="preserve">05 </v>
          </cell>
          <cell r="B209" t="str">
            <v>05.000.001.006</v>
          </cell>
          <cell r="H209">
            <v>12.6</v>
          </cell>
        </row>
        <row r="210">
          <cell r="A210" t="str">
            <v xml:space="preserve">05 </v>
          </cell>
          <cell r="B210" t="str">
            <v>05.000.001.008</v>
          </cell>
          <cell r="H210">
            <v>113.5</v>
          </cell>
        </row>
        <row r="211">
          <cell r="A211" t="str">
            <v xml:space="preserve">05 </v>
          </cell>
          <cell r="B211" t="str">
            <v>05.000.001.008</v>
          </cell>
          <cell r="H211">
            <v>131.4</v>
          </cell>
        </row>
        <row r="212">
          <cell r="A212" t="str">
            <v xml:space="preserve">05 </v>
          </cell>
          <cell r="B212" t="str">
            <v>05.000.002.005</v>
          </cell>
          <cell r="H212">
            <v>440</v>
          </cell>
        </row>
        <row r="213">
          <cell r="A213" t="str">
            <v xml:space="preserve">05 </v>
          </cell>
          <cell r="B213" t="str">
            <v xml:space="preserve">05.000.002.008 </v>
          </cell>
          <cell r="H213">
            <v>4542.5</v>
          </cell>
        </row>
        <row r="214">
          <cell r="A214" t="str">
            <v xml:space="preserve">05 </v>
          </cell>
          <cell r="B214" t="str">
            <v xml:space="preserve">05.000.001.010 </v>
          </cell>
          <cell r="H214">
            <v>2998.05</v>
          </cell>
        </row>
        <row r="215">
          <cell r="A215" t="str">
            <v xml:space="preserve">05 </v>
          </cell>
          <cell r="B215" t="str">
            <v xml:space="preserve">05.000.002.008 </v>
          </cell>
          <cell r="H215">
            <v>99</v>
          </cell>
        </row>
        <row r="216">
          <cell r="A216" t="str">
            <v xml:space="preserve">05 </v>
          </cell>
          <cell r="B216" t="str">
            <v xml:space="preserve">05.000.002.008 </v>
          </cell>
          <cell r="H216">
            <v>168</v>
          </cell>
        </row>
        <row r="217">
          <cell r="A217" t="str">
            <v xml:space="preserve">05 </v>
          </cell>
          <cell r="B217" t="str">
            <v xml:space="preserve">05.000.002.008 </v>
          </cell>
          <cell r="H217">
            <v>49.5</v>
          </cell>
        </row>
        <row r="218">
          <cell r="A218" t="str">
            <v xml:space="preserve">05 </v>
          </cell>
          <cell r="B218" t="str">
            <v>05.000.002.009</v>
          </cell>
          <cell r="H218">
            <v>84</v>
          </cell>
        </row>
        <row r="219">
          <cell r="A219" t="str">
            <v xml:space="preserve">05 </v>
          </cell>
          <cell r="B219" t="str">
            <v xml:space="preserve">05.000.002.008 </v>
          </cell>
          <cell r="H219">
            <v>153.44999999999999</v>
          </cell>
        </row>
        <row r="220">
          <cell r="A220" t="str">
            <v xml:space="preserve">05 </v>
          </cell>
          <cell r="B220" t="str">
            <v xml:space="preserve">05.000.002.008 </v>
          </cell>
          <cell r="H220">
            <v>260.39999999999998</v>
          </cell>
        </row>
        <row r="221">
          <cell r="A221" t="str">
            <v xml:space="preserve">05 </v>
          </cell>
          <cell r="B221" t="str">
            <v>05.000.002.010</v>
          </cell>
          <cell r="H221">
            <v>2248.17</v>
          </cell>
        </row>
        <row r="222">
          <cell r="A222" t="str">
            <v xml:space="preserve">05 </v>
          </cell>
          <cell r="B222" t="str">
            <v xml:space="preserve">05.000.002.012 </v>
          </cell>
          <cell r="H222">
            <v>354.32</v>
          </cell>
        </row>
        <row r="223">
          <cell r="A223" t="str">
            <v xml:space="preserve">05 </v>
          </cell>
          <cell r="B223" t="str">
            <v>05.000.002.012</v>
          </cell>
          <cell r="H223">
            <v>1.28</v>
          </cell>
        </row>
        <row r="224">
          <cell r="A224" t="str">
            <v xml:space="preserve">04 </v>
          </cell>
          <cell r="B224" t="str">
            <v>04.000.000.007</v>
          </cell>
          <cell r="H224">
            <v>360</v>
          </cell>
        </row>
        <row r="225">
          <cell r="A225" t="str">
            <v xml:space="preserve">05 </v>
          </cell>
          <cell r="B225" t="str">
            <v>05.000.001.006</v>
          </cell>
          <cell r="H225">
            <v>20</v>
          </cell>
        </row>
        <row r="226">
          <cell r="A226" t="str">
            <v xml:space="preserve">01 </v>
          </cell>
          <cell r="B226" t="str">
            <v xml:space="preserve">01.000.000.002 </v>
          </cell>
          <cell r="H226">
            <v>2405.83</v>
          </cell>
        </row>
        <row r="227">
          <cell r="A227" t="str">
            <v xml:space="preserve">03 </v>
          </cell>
          <cell r="B227" t="str">
            <v xml:space="preserve">03.000.001.009 </v>
          </cell>
          <cell r="H227">
            <v>1503.84</v>
          </cell>
        </row>
        <row r="228">
          <cell r="A228" t="str">
            <v xml:space="preserve">03 </v>
          </cell>
          <cell r="B228" t="str">
            <v xml:space="preserve">03.000.001.009 </v>
          </cell>
          <cell r="H228">
            <v>1272.48</v>
          </cell>
        </row>
        <row r="229">
          <cell r="A229" t="str">
            <v xml:space="preserve">03 </v>
          </cell>
          <cell r="B229" t="str">
            <v xml:space="preserve">03.000.001.009 </v>
          </cell>
          <cell r="H229">
            <v>47.52</v>
          </cell>
        </row>
        <row r="230">
          <cell r="A230" t="str">
            <v xml:space="preserve">03 </v>
          </cell>
          <cell r="B230" t="str">
            <v xml:space="preserve">03.000.001.009 </v>
          </cell>
          <cell r="H230">
            <v>1850.88</v>
          </cell>
        </row>
        <row r="231">
          <cell r="A231" t="str">
            <v xml:space="preserve">03 </v>
          </cell>
          <cell r="B231" t="str">
            <v xml:space="preserve">03.000.001.009 </v>
          </cell>
          <cell r="H231">
            <v>69.12</v>
          </cell>
        </row>
        <row r="232">
          <cell r="A232" t="str">
            <v xml:space="preserve">03 </v>
          </cell>
          <cell r="B232" t="str">
            <v xml:space="preserve">03.000.001.009 </v>
          </cell>
          <cell r="H232">
            <v>3875.28</v>
          </cell>
        </row>
        <row r="233">
          <cell r="A233" t="str">
            <v xml:space="preserve">03 </v>
          </cell>
          <cell r="B233" t="str">
            <v xml:space="preserve">03.000.001.009 </v>
          </cell>
          <cell r="H233">
            <v>144.72</v>
          </cell>
        </row>
        <row r="234">
          <cell r="A234" t="str">
            <v xml:space="preserve">03 </v>
          </cell>
          <cell r="B234" t="str">
            <v xml:space="preserve">03.000.001.009 </v>
          </cell>
          <cell r="H234">
            <v>3046.24</v>
          </cell>
        </row>
        <row r="235">
          <cell r="A235" t="str">
            <v xml:space="preserve">03 </v>
          </cell>
          <cell r="B235" t="str">
            <v xml:space="preserve">03.000.001.009 </v>
          </cell>
          <cell r="H235">
            <v>2978.76</v>
          </cell>
        </row>
        <row r="236">
          <cell r="A236" t="str">
            <v xml:space="preserve">03 </v>
          </cell>
          <cell r="B236" t="str">
            <v xml:space="preserve">03.000.001.009 </v>
          </cell>
          <cell r="H236">
            <v>123.62</v>
          </cell>
        </row>
        <row r="237">
          <cell r="A237" t="str">
            <v xml:space="preserve">03 </v>
          </cell>
          <cell r="B237" t="str">
            <v xml:space="preserve">03.000.001.009 </v>
          </cell>
          <cell r="H237">
            <v>56.16</v>
          </cell>
        </row>
        <row r="238">
          <cell r="A238" t="str">
            <v xml:space="preserve">02 </v>
          </cell>
          <cell r="B238" t="str">
            <v>02.000.000.005</v>
          </cell>
          <cell r="H238">
            <v>113.76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  <row r="1089">
          <cell r="A1089" t="str">
            <v xml:space="preserve"> </v>
          </cell>
        </row>
        <row r="1090">
          <cell r="A1090" t="str">
            <v xml:space="preserve"> </v>
          </cell>
        </row>
        <row r="1091">
          <cell r="A1091" t="str">
            <v xml:space="preserve"> </v>
          </cell>
        </row>
        <row r="1092">
          <cell r="A1092" t="str">
            <v xml:space="preserve"> </v>
          </cell>
        </row>
        <row r="1093">
          <cell r="A1093" t="str">
            <v xml:space="preserve"> </v>
          </cell>
        </row>
        <row r="1094">
          <cell r="A1094" t="str">
            <v xml:space="preserve"> </v>
          </cell>
        </row>
        <row r="1095">
          <cell r="A1095" t="str">
            <v xml:space="preserve"> </v>
          </cell>
        </row>
        <row r="1096">
          <cell r="A1096" t="str">
            <v xml:space="preserve"> </v>
          </cell>
        </row>
        <row r="1097">
          <cell r="A1097" t="str">
            <v xml:space="preserve"> </v>
          </cell>
        </row>
        <row r="1098">
          <cell r="A1098" t="str">
            <v xml:space="preserve"> </v>
          </cell>
        </row>
        <row r="1099">
          <cell r="A1099" t="str">
            <v xml:space="preserve"> </v>
          </cell>
        </row>
        <row r="1100">
          <cell r="A1100" t="str">
            <v xml:space="preserve"> </v>
          </cell>
        </row>
        <row r="1101">
          <cell r="A1101" t="str">
            <v xml:space="preserve"> </v>
          </cell>
        </row>
        <row r="1102">
          <cell r="A1102" t="str">
            <v xml:space="preserve"> </v>
          </cell>
        </row>
        <row r="1103">
          <cell r="A1103" t="str">
            <v xml:space="preserve"> </v>
          </cell>
        </row>
        <row r="1104">
          <cell r="A1104" t="str">
            <v xml:space="preserve"> </v>
          </cell>
        </row>
        <row r="1105">
          <cell r="A1105" t="str">
            <v xml:space="preserve"> </v>
          </cell>
        </row>
        <row r="1106">
          <cell r="A1106" t="str">
            <v xml:space="preserve"> </v>
          </cell>
        </row>
        <row r="1107">
          <cell r="A1107" t="str">
            <v xml:space="preserve"> </v>
          </cell>
        </row>
        <row r="1108">
          <cell r="A1108" t="str">
            <v xml:space="preserve"> </v>
          </cell>
        </row>
        <row r="1109">
          <cell r="A1109" t="str">
            <v xml:space="preserve"> </v>
          </cell>
        </row>
        <row r="1110">
          <cell r="A1110" t="str">
            <v xml:space="preserve"> </v>
          </cell>
        </row>
        <row r="1111">
          <cell r="A1111" t="str">
            <v xml:space="preserve"> </v>
          </cell>
        </row>
        <row r="1112">
          <cell r="A1112" t="str">
            <v xml:space="preserve"> </v>
          </cell>
        </row>
        <row r="1113">
          <cell r="A1113" t="str">
            <v xml:space="preserve"> </v>
          </cell>
        </row>
        <row r="1114">
          <cell r="A1114" t="str">
            <v xml:space="preserve"> </v>
          </cell>
        </row>
        <row r="1115">
          <cell r="A1115" t="str">
            <v xml:space="preserve"> </v>
          </cell>
        </row>
        <row r="1116">
          <cell r="A1116" t="str">
            <v xml:space="preserve"> </v>
          </cell>
        </row>
        <row r="1117">
          <cell r="A1117" t="str">
            <v xml:space="preserve"> </v>
          </cell>
        </row>
        <row r="1118">
          <cell r="A1118" t="str">
            <v xml:space="preserve"> </v>
          </cell>
        </row>
        <row r="1119">
          <cell r="A1119" t="str">
            <v xml:space="preserve"> </v>
          </cell>
        </row>
        <row r="1120">
          <cell r="A1120" t="str">
            <v xml:space="preserve"> </v>
          </cell>
        </row>
        <row r="1121">
          <cell r="A1121" t="str">
            <v xml:space="preserve"> </v>
          </cell>
        </row>
        <row r="1122">
          <cell r="A1122" t="str">
            <v xml:space="preserve"> </v>
          </cell>
        </row>
        <row r="1123">
          <cell r="A1123" t="str">
            <v xml:space="preserve"> </v>
          </cell>
        </row>
        <row r="1124">
          <cell r="A1124" t="str">
            <v xml:space="preserve"> </v>
          </cell>
        </row>
        <row r="1125">
          <cell r="A1125" t="str">
            <v xml:space="preserve"> </v>
          </cell>
        </row>
        <row r="1126">
          <cell r="A1126" t="str">
            <v xml:space="preserve"> </v>
          </cell>
        </row>
        <row r="1127">
          <cell r="A1127" t="str">
            <v xml:space="preserve"> </v>
          </cell>
        </row>
        <row r="1128">
          <cell r="A1128" t="str">
            <v xml:space="preserve"> </v>
          </cell>
        </row>
        <row r="1129">
          <cell r="A1129" t="str">
            <v xml:space="preserve"> </v>
          </cell>
        </row>
        <row r="1130">
          <cell r="A1130" t="str">
            <v xml:space="preserve"> </v>
          </cell>
        </row>
        <row r="1131">
          <cell r="A1131" t="str">
            <v xml:space="preserve"> </v>
          </cell>
        </row>
        <row r="1132">
          <cell r="A1132" t="str">
            <v xml:space="preserve"> </v>
          </cell>
        </row>
        <row r="1133">
          <cell r="A1133" t="str">
            <v xml:space="preserve"> </v>
          </cell>
        </row>
        <row r="1134">
          <cell r="A1134" t="str">
            <v xml:space="preserve"> </v>
          </cell>
        </row>
        <row r="1135">
          <cell r="A1135" t="str">
            <v xml:space="preserve"> </v>
          </cell>
        </row>
        <row r="1136">
          <cell r="A1136" t="str">
            <v xml:space="preserve"> </v>
          </cell>
        </row>
        <row r="1137">
          <cell r="A1137" t="str">
            <v xml:space="preserve"> </v>
          </cell>
        </row>
        <row r="1138">
          <cell r="A1138" t="str">
            <v xml:space="preserve"> </v>
          </cell>
        </row>
        <row r="1139">
          <cell r="A1139" t="str">
            <v xml:space="preserve"> </v>
          </cell>
        </row>
        <row r="1140">
          <cell r="A1140" t="str">
            <v xml:space="preserve"> </v>
          </cell>
        </row>
        <row r="1141">
          <cell r="A1141" t="str">
            <v xml:space="preserve"> </v>
          </cell>
        </row>
        <row r="1142">
          <cell r="A1142" t="str">
            <v xml:space="preserve"> </v>
          </cell>
        </row>
        <row r="1143">
          <cell r="A1143" t="str">
            <v xml:space="preserve"> </v>
          </cell>
        </row>
        <row r="1144">
          <cell r="A1144" t="str">
            <v xml:space="preserve"> </v>
          </cell>
        </row>
        <row r="1145">
          <cell r="A1145" t="str">
            <v xml:space="preserve"> </v>
          </cell>
        </row>
        <row r="1146">
          <cell r="A1146" t="str">
            <v xml:space="preserve"> </v>
          </cell>
        </row>
        <row r="1147">
          <cell r="A1147" t="str">
            <v xml:space="preserve"> </v>
          </cell>
        </row>
        <row r="1148">
          <cell r="A1148" t="str">
            <v xml:space="preserve"> </v>
          </cell>
        </row>
        <row r="1149">
          <cell r="A1149" t="str">
            <v xml:space="preserve"> </v>
          </cell>
        </row>
        <row r="1150">
          <cell r="A1150" t="str">
            <v xml:space="preserve"> </v>
          </cell>
        </row>
        <row r="1151">
          <cell r="A1151" t="str">
            <v xml:space="preserve"> </v>
          </cell>
        </row>
        <row r="1152">
          <cell r="A1152" t="str">
            <v xml:space="preserve"> </v>
          </cell>
        </row>
        <row r="1153">
          <cell r="A1153" t="str">
            <v xml:space="preserve"> </v>
          </cell>
        </row>
        <row r="1154">
          <cell r="A1154" t="str">
            <v xml:space="preserve"> </v>
          </cell>
        </row>
        <row r="1155">
          <cell r="A1155" t="str">
            <v xml:space="preserve"> </v>
          </cell>
        </row>
        <row r="1156">
          <cell r="A1156" t="str">
            <v xml:space="preserve"> </v>
          </cell>
        </row>
        <row r="1157">
          <cell r="A1157" t="str">
            <v xml:space="preserve"> </v>
          </cell>
        </row>
        <row r="1158">
          <cell r="A1158" t="str">
            <v xml:space="preserve"> </v>
          </cell>
        </row>
        <row r="1159">
          <cell r="A1159" t="str">
            <v xml:space="preserve"> </v>
          </cell>
        </row>
        <row r="1160">
          <cell r="A1160" t="str">
            <v xml:space="preserve"> </v>
          </cell>
        </row>
        <row r="1161">
          <cell r="A1161" t="str">
            <v xml:space="preserve"> </v>
          </cell>
        </row>
        <row r="1162">
          <cell r="A1162" t="str">
            <v xml:space="preserve"> </v>
          </cell>
        </row>
        <row r="1163">
          <cell r="A1163" t="str">
            <v xml:space="preserve"> </v>
          </cell>
        </row>
        <row r="1164">
          <cell r="A1164" t="str">
            <v xml:space="preserve"> </v>
          </cell>
        </row>
        <row r="1165">
          <cell r="A1165" t="str">
            <v xml:space="preserve"> </v>
          </cell>
        </row>
        <row r="1166">
          <cell r="A1166" t="str">
            <v xml:space="preserve"> </v>
          </cell>
        </row>
        <row r="1167">
          <cell r="A1167" t="str">
            <v xml:space="preserve"> </v>
          </cell>
        </row>
        <row r="1168">
          <cell r="A1168" t="str">
            <v xml:space="preserve"> </v>
          </cell>
        </row>
        <row r="1169">
          <cell r="A1169" t="str">
            <v xml:space="preserve"> </v>
          </cell>
        </row>
        <row r="1170">
          <cell r="A1170" t="str">
            <v xml:space="preserve"> </v>
          </cell>
        </row>
        <row r="1171">
          <cell r="A1171" t="str">
            <v xml:space="preserve"> </v>
          </cell>
        </row>
        <row r="1172">
          <cell r="A1172" t="str">
            <v xml:space="preserve"> </v>
          </cell>
        </row>
        <row r="1173">
          <cell r="A1173" t="str">
            <v xml:space="preserve"> </v>
          </cell>
        </row>
        <row r="1174">
          <cell r="A1174" t="str">
            <v xml:space="preserve"> </v>
          </cell>
        </row>
        <row r="1175">
          <cell r="A1175" t="str">
            <v xml:space="preserve"> </v>
          </cell>
        </row>
        <row r="1176">
          <cell r="A1176" t="str">
            <v xml:space="preserve"> </v>
          </cell>
        </row>
        <row r="1177">
          <cell r="A1177" t="str">
            <v xml:space="preserve"> </v>
          </cell>
        </row>
        <row r="1178">
          <cell r="A1178" t="str">
            <v xml:space="preserve"> </v>
          </cell>
        </row>
        <row r="1179">
          <cell r="A1179" t="str">
            <v xml:space="preserve"> </v>
          </cell>
        </row>
        <row r="1180">
          <cell r="A1180" t="str">
            <v xml:space="preserve"> </v>
          </cell>
        </row>
        <row r="1181">
          <cell r="A1181" t="str">
            <v xml:space="preserve"> </v>
          </cell>
        </row>
        <row r="1182">
          <cell r="A1182" t="str">
            <v xml:space="preserve"> </v>
          </cell>
        </row>
        <row r="1183">
          <cell r="A1183" t="str">
            <v xml:space="preserve"> </v>
          </cell>
        </row>
        <row r="1184">
          <cell r="A1184" t="str">
            <v xml:space="preserve"> </v>
          </cell>
        </row>
        <row r="1185">
          <cell r="A1185" t="str">
            <v xml:space="preserve"> </v>
          </cell>
        </row>
        <row r="1186">
          <cell r="A1186" t="str">
            <v xml:space="preserve"> </v>
          </cell>
        </row>
        <row r="1187">
          <cell r="A1187" t="str">
            <v xml:space="preserve"> </v>
          </cell>
        </row>
        <row r="1188">
          <cell r="A1188" t="str">
            <v xml:space="preserve"> </v>
          </cell>
        </row>
        <row r="1189">
          <cell r="A1189" t="str">
            <v xml:space="preserve"> </v>
          </cell>
        </row>
        <row r="1190">
          <cell r="A1190" t="str">
            <v xml:space="preserve"> </v>
          </cell>
        </row>
        <row r="1191">
          <cell r="A1191" t="str">
            <v xml:space="preserve"> </v>
          </cell>
        </row>
        <row r="1192">
          <cell r="A1192" t="str">
            <v xml:space="preserve"> </v>
          </cell>
        </row>
        <row r="1193">
          <cell r="A1193" t="str">
            <v xml:space="preserve"> </v>
          </cell>
        </row>
        <row r="1194">
          <cell r="A1194" t="str">
            <v xml:space="preserve"> </v>
          </cell>
        </row>
        <row r="1195">
          <cell r="A1195" t="str">
            <v xml:space="preserve"> </v>
          </cell>
        </row>
        <row r="1196">
          <cell r="A1196" t="str">
            <v xml:space="preserve"> </v>
          </cell>
        </row>
        <row r="1197">
          <cell r="A1197" t="str">
            <v xml:space="preserve"> </v>
          </cell>
        </row>
        <row r="1198">
          <cell r="A1198" t="str">
            <v xml:space="preserve"> </v>
          </cell>
        </row>
        <row r="1199">
          <cell r="A1199" t="str">
            <v xml:space="preserve"> </v>
          </cell>
        </row>
        <row r="1200">
          <cell r="A1200" t="str">
            <v xml:space="preserve"> </v>
          </cell>
        </row>
        <row r="1201">
          <cell r="A1201" t="str">
            <v xml:space="preserve"> </v>
          </cell>
        </row>
        <row r="1202">
          <cell r="A1202" t="str">
            <v xml:space="preserve"> </v>
          </cell>
        </row>
        <row r="1203">
          <cell r="A1203" t="str">
            <v xml:space="preserve"> </v>
          </cell>
        </row>
        <row r="1204">
          <cell r="A1204" t="str">
            <v xml:space="preserve"> </v>
          </cell>
        </row>
        <row r="1205">
          <cell r="A1205" t="str">
            <v xml:space="preserve"> </v>
          </cell>
        </row>
        <row r="1206">
          <cell r="A1206" t="str">
            <v xml:space="preserve"> </v>
          </cell>
        </row>
        <row r="1207">
          <cell r="A1207" t="str">
            <v xml:space="preserve"> </v>
          </cell>
        </row>
        <row r="1208">
          <cell r="A1208" t="str">
            <v xml:space="preserve"> </v>
          </cell>
        </row>
        <row r="1209">
          <cell r="A1209" t="str">
            <v xml:space="preserve"> </v>
          </cell>
        </row>
        <row r="1210">
          <cell r="A1210" t="str">
            <v xml:space="preserve"> </v>
          </cell>
        </row>
        <row r="1211">
          <cell r="A1211" t="str">
            <v xml:space="preserve"> </v>
          </cell>
        </row>
        <row r="1212">
          <cell r="A1212" t="str">
            <v xml:space="preserve"> </v>
          </cell>
        </row>
        <row r="1213">
          <cell r="A1213" t="str">
            <v xml:space="preserve"> </v>
          </cell>
        </row>
        <row r="1214">
          <cell r="A1214" t="str">
            <v xml:space="preserve"> </v>
          </cell>
        </row>
        <row r="1215">
          <cell r="A1215" t="str">
            <v xml:space="preserve"> </v>
          </cell>
        </row>
        <row r="1216">
          <cell r="A1216" t="str">
            <v xml:space="preserve"> </v>
          </cell>
        </row>
        <row r="1217">
          <cell r="A1217" t="str">
            <v xml:space="preserve"> </v>
          </cell>
        </row>
        <row r="1218">
          <cell r="A1218" t="str">
            <v xml:space="preserve"> </v>
          </cell>
        </row>
        <row r="1219">
          <cell r="A1219" t="str">
            <v xml:space="preserve"> </v>
          </cell>
        </row>
        <row r="1220">
          <cell r="A1220" t="str">
            <v xml:space="preserve"> </v>
          </cell>
        </row>
        <row r="1221">
          <cell r="A1221" t="str">
            <v xml:space="preserve"> </v>
          </cell>
        </row>
        <row r="1222">
          <cell r="A1222" t="str">
            <v xml:space="preserve"> </v>
          </cell>
        </row>
        <row r="1223">
          <cell r="A1223" t="str">
            <v xml:space="preserve"> </v>
          </cell>
        </row>
        <row r="1224">
          <cell r="A1224" t="str">
            <v xml:space="preserve"> </v>
          </cell>
        </row>
        <row r="1225">
          <cell r="A1225" t="str">
            <v xml:space="preserve"> </v>
          </cell>
        </row>
        <row r="1226">
          <cell r="A1226" t="str">
            <v xml:space="preserve"> </v>
          </cell>
        </row>
        <row r="1227">
          <cell r="A1227" t="str">
            <v xml:space="preserve"> </v>
          </cell>
        </row>
        <row r="1228">
          <cell r="A1228" t="str">
            <v xml:space="preserve"> </v>
          </cell>
        </row>
        <row r="1229">
          <cell r="A1229" t="str">
            <v xml:space="preserve"> </v>
          </cell>
        </row>
        <row r="1230">
          <cell r="A1230" t="str">
            <v xml:space="preserve"> </v>
          </cell>
        </row>
        <row r="1231">
          <cell r="A1231" t="str">
            <v xml:space="preserve"> </v>
          </cell>
        </row>
        <row r="1232">
          <cell r="A1232" t="str">
            <v xml:space="preserve"> </v>
          </cell>
        </row>
        <row r="1233">
          <cell r="A1233" t="str">
            <v xml:space="preserve"> </v>
          </cell>
        </row>
        <row r="1234">
          <cell r="A1234" t="str">
            <v xml:space="preserve"> </v>
          </cell>
        </row>
        <row r="1235">
          <cell r="A1235" t="str">
            <v xml:space="preserve"> </v>
          </cell>
        </row>
        <row r="1236">
          <cell r="A1236" t="str">
            <v xml:space="preserve"> </v>
          </cell>
        </row>
        <row r="1237">
          <cell r="A1237" t="str">
            <v xml:space="preserve"> </v>
          </cell>
        </row>
        <row r="1238">
          <cell r="A1238" t="str">
            <v xml:space="preserve"> </v>
          </cell>
        </row>
        <row r="1239">
          <cell r="A1239" t="str">
            <v xml:space="preserve"> </v>
          </cell>
        </row>
        <row r="1240">
          <cell r="A1240" t="str">
            <v xml:space="preserve"> </v>
          </cell>
        </row>
        <row r="1241">
          <cell r="A1241" t="str">
            <v xml:space="preserve"> </v>
          </cell>
        </row>
        <row r="1242">
          <cell r="A1242" t="str">
            <v xml:space="preserve"> </v>
          </cell>
        </row>
        <row r="1243">
          <cell r="A1243" t="str">
            <v xml:space="preserve"> </v>
          </cell>
        </row>
        <row r="1244">
          <cell r="A1244" t="str">
            <v xml:space="preserve"> </v>
          </cell>
        </row>
        <row r="1245">
          <cell r="A1245" t="str">
            <v xml:space="preserve"> </v>
          </cell>
        </row>
        <row r="1246">
          <cell r="A1246" t="str">
            <v xml:space="preserve"> </v>
          </cell>
        </row>
        <row r="1247">
          <cell r="A1247" t="str">
            <v xml:space="preserve"> </v>
          </cell>
        </row>
        <row r="1248">
          <cell r="A1248" t="str">
            <v xml:space="preserve"> </v>
          </cell>
        </row>
        <row r="1249">
          <cell r="A1249" t="str">
            <v xml:space="preserve"> </v>
          </cell>
        </row>
        <row r="1250">
          <cell r="A1250" t="str">
            <v xml:space="preserve"> </v>
          </cell>
        </row>
        <row r="1251">
          <cell r="A1251" t="str">
            <v xml:space="preserve"> </v>
          </cell>
        </row>
        <row r="1252">
          <cell r="A1252" t="str">
            <v xml:space="preserve"> </v>
          </cell>
        </row>
        <row r="1253">
          <cell r="A1253" t="str">
            <v xml:space="preserve"> </v>
          </cell>
        </row>
        <row r="1254">
          <cell r="A1254" t="str">
            <v xml:space="preserve"> </v>
          </cell>
        </row>
        <row r="1255">
          <cell r="A1255" t="str">
            <v xml:space="preserve"> </v>
          </cell>
        </row>
        <row r="1256">
          <cell r="A1256" t="str">
            <v xml:space="preserve"> </v>
          </cell>
        </row>
        <row r="1257">
          <cell r="A1257" t="str">
            <v xml:space="preserve"> </v>
          </cell>
        </row>
        <row r="1258">
          <cell r="A1258" t="str">
            <v xml:space="preserve"> </v>
          </cell>
        </row>
        <row r="1259">
          <cell r="A1259" t="str">
            <v xml:space="preserve"> </v>
          </cell>
        </row>
        <row r="1260">
          <cell r="A1260" t="str">
            <v xml:space="preserve"> </v>
          </cell>
        </row>
        <row r="1261">
          <cell r="A1261" t="str">
            <v xml:space="preserve"> </v>
          </cell>
        </row>
        <row r="1262">
          <cell r="A1262" t="str">
            <v xml:space="preserve"> </v>
          </cell>
        </row>
        <row r="1263">
          <cell r="A1263" t="str">
            <v xml:space="preserve"> </v>
          </cell>
        </row>
        <row r="1264">
          <cell r="A1264" t="str">
            <v xml:space="preserve"> </v>
          </cell>
        </row>
        <row r="1265">
          <cell r="A1265" t="str">
            <v xml:space="preserve"> </v>
          </cell>
        </row>
        <row r="1266">
          <cell r="A1266" t="str">
            <v xml:space="preserve"> </v>
          </cell>
        </row>
        <row r="1267">
          <cell r="A1267" t="str">
            <v xml:space="preserve"> </v>
          </cell>
        </row>
        <row r="1268">
          <cell r="A1268" t="str">
            <v xml:space="preserve"> </v>
          </cell>
        </row>
        <row r="1269">
          <cell r="A1269" t="str">
            <v xml:space="preserve"> </v>
          </cell>
        </row>
        <row r="1270">
          <cell r="A1270" t="str">
            <v xml:space="preserve"> </v>
          </cell>
        </row>
        <row r="1271">
          <cell r="A1271" t="str">
            <v xml:space="preserve"> </v>
          </cell>
        </row>
        <row r="1272">
          <cell r="A1272" t="str">
            <v xml:space="preserve"> </v>
          </cell>
        </row>
        <row r="1273">
          <cell r="A1273" t="str">
            <v xml:space="preserve"> </v>
          </cell>
        </row>
        <row r="1274">
          <cell r="A1274" t="str">
            <v xml:space="preserve"> </v>
          </cell>
        </row>
        <row r="1275">
          <cell r="A1275" t="str">
            <v xml:space="preserve"> </v>
          </cell>
        </row>
        <row r="1276">
          <cell r="A1276" t="str">
            <v xml:space="preserve"> </v>
          </cell>
        </row>
        <row r="1277">
          <cell r="A1277" t="str">
            <v xml:space="preserve"> </v>
          </cell>
        </row>
        <row r="1278">
          <cell r="A1278" t="str">
            <v xml:space="preserve"> </v>
          </cell>
        </row>
        <row r="1279">
          <cell r="A1279" t="str">
            <v xml:space="preserve"> </v>
          </cell>
        </row>
        <row r="1280">
          <cell r="A1280" t="str">
            <v xml:space="preserve"> </v>
          </cell>
        </row>
        <row r="1281">
          <cell r="A1281" t="str">
            <v xml:space="preserve"> </v>
          </cell>
        </row>
        <row r="1282">
          <cell r="A1282" t="str">
            <v xml:space="preserve"> </v>
          </cell>
        </row>
        <row r="1283">
          <cell r="A1283" t="str">
            <v xml:space="preserve"> </v>
          </cell>
        </row>
        <row r="1284">
          <cell r="A1284" t="str">
            <v xml:space="preserve"> </v>
          </cell>
        </row>
        <row r="1285">
          <cell r="A1285" t="str">
            <v xml:space="preserve"> </v>
          </cell>
        </row>
        <row r="1286">
          <cell r="A1286" t="str">
            <v xml:space="preserve"> </v>
          </cell>
        </row>
        <row r="1287">
          <cell r="A1287" t="str">
            <v xml:space="preserve"> </v>
          </cell>
        </row>
        <row r="1288">
          <cell r="A1288" t="str">
            <v xml:space="preserve"> </v>
          </cell>
        </row>
        <row r="1289">
          <cell r="A1289" t="str">
            <v xml:space="preserve"> </v>
          </cell>
        </row>
        <row r="1290">
          <cell r="A1290" t="str">
            <v xml:space="preserve"> </v>
          </cell>
        </row>
        <row r="1291">
          <cell r="A1291" t="str">
            <v xml:space="preserve"> </v>
          </cell>
        </row>
        <row r="1292">
          <cell r="A1292" t="str">
            <v xml:space="preserve"> </v>
          </cell>
        </row>
        <row r="1293">
          <cell r="A1293" t="str">
            <v xml:space="preserve"> </v>
          </cell>
        </row>
        <row r="1294">
          <cell r="A1294" t="str">
            <v xml:space="preserve"> </v>
          </cell>
        </row>
        <row r="1295">
          <cell r="A1295" t="str">
            <v xml:space="preserve"> </v>
          </cell>
        </row>
        <row r="1296">
          <cell r="A1296" t="str">
            <v xml:space="preserve"> </v>
          </cell>
        </row>
        <row r="1297">
          <cell r="A1297" t="str">
            <v xml:space="preserve"> </v>
          </cell>
        </row>
        <row r="1298">
          <cell r="A1298" t="str">
            <v xml:space="preserve"> </v>
          </cell>
        </row>
        <row r="1299">
          <cell r="A1299" t="str">
            <v xml:space="preserve"> </v>
          </cell>
        </row>
        <row r="1300">
          <cell r="A1300" t="str">
            <v xml:space="preserve"> </v>
          </cell>
        </row>
        <row r="1301">
          <cell r="A1301" t="str">
            <v xml:space="preserve"> </v>
          </cell>
        </row>
        <row r="1302">
          <cell r="A1302" t="str">
            <v xml:space="preserve"> </v>
          </cell>
        </row>
        <row r="1303">
          <cell r="A1303" t="str">
            <v xml:space="preserve"> </v>
          </cell>
        </row>
        <row r="1304">
          <cell r="A1304" t="str">
            <v xml:space="preserve"> </v>
          </cell>
        </row>
        <row r="1305">
          <cell r="A1305" t="str">
            <v xml:space="preserve"> </v>
          </cell>
        </row>
        <row r="1306">
          <cell r="A1306" t="str">
            <v xml:space="preserve"> </v>
          </cell>
        </row>
        <row r="1307">
          <cell r="A1307" t="str">
            <v xml:space="preserve"> </v>
          </cell>
        </row>
        <row r="1308">
          <cell r="A1308" t="str">
            <v xml:space="preserve"> </v>
          </cell>
        </row>
        <row r="1309">
          <cell r="A1309" t="str">
            <v xml:space="preserve"> </v>
          </cell>
        </row>
        <row r="1310">
          <cell r="A1310" t="str">
            <v xml:space="preserve"> </v>
          </cell>
        </row>
        <row r="1311">
          <cell r="A1311" t="str">
            <v xml:space="preserve"> </v>
          </cell>
        </row>
        <row r="1312">
          <cell r="A1312" t="str">
            <v xml:space="preserve"> </v>
          </cell>
        </row>
        <row r="1313">
          <cell r="A1313" t="str">
            <v xml:space="preserve"> </v>
          </cell>
        </row>
        <row r="1314">
          <cell r="A1314" t="str">
            <v xml:space="preserve"> </v>
          </cell>
        </row>
        <row r="1315">
          <cell r="A1315" t="str">
            <v xml:space="preserve"> </v>
          </cell>
        </row>
        <row r="1316">
          <cell r="A1316" t="str">
            <v xml:space="preserve"> </v>
          </cell>
        </row>
        <row r="1317">
          <cell r="A1317" t="str">
            <v xml:space="preserve"> </v>
          </cell>
        </row>
        <row r="1318">
          <cell r="A1318" t="str">
            <v xml:space="preserve"> </v>
          </cell>
        </row>
        <row r="1319">
          <cell r="A1319" t="str">
            <v xml:space="preserve"> </v>
          </cell>
        </row>
        <row r="1320">
          <cell r="A1320" t="str">
            <v xml:space="preserve"> </v>
          </cell>
        </row>
        <row r="1321">
          <cell r="A1321" t="str">
            <v xml:space="preserve"> </v>
          </cell>
        </row>
        <row r="1322">
          <cell r="A1322" t="str">
            <v xml:space="preserve"> </v>
          </cell>
        </row>
        <row r="1323">
          <cell r="A1323" t="str">
            <v xml:space="preserve"> </v>
          </cell>
        </row>
        <row r="1324">
          <cell r="A1324" t="str">
            <v xml:space="preserve"> </v>
          </cell>
        </row>
        <row r="1325">
          <cell r="A1325" t="str">
            <v xml:space="preserve"> </v>
          </cell>
        </row>
        <row r="1326">
          <cell r="A1326" t="str">
            <v xml:space="preserve"> </v>
          </cell>
        </row>
        <row r="1327">
          <cell r="A1327" t="str">
            <v xml:space="preserve"> </v>
          </cell>
        </row>
        <row r="1328">
          <cell r="A1328" t="str">
            <v xml:space="preserve"> </v>
          </cell>
        </row>
        <row r="1329">
          <cell r="A1329" t="str">
            <v xml:space="preserve"> </v>
          </cell>
        </row>
        <row r="1330">
          <cell r="A1330" t="str">
            <v xml:space="preserve"> </v>
          </cell>
        </row>
        <row r="1331">
          <cell r="A1331" t="str">
            <v xml:space="preserve"> </v>
          </cell>
        </row>
        <row r="1332">
          <cell r="A1332" t="str">
            <v xml:space="preserve"> </v>
          </cell>
        </row>
        <row r="1333">
          <cell r="A1333" t="str">
            <v xml:space="preserve"> </v>
          </cell>
        </row>
        <row r="1334">
          <cell r="A1334" t="str">
            <v xml:space="preserve"> </v>
          </cell>
        </row>
        <row r="1335">
          <cell r="A1335" t="str">
            <v xml:space="preserve"> </v>
          </cell>
        </row>
        <row r="1336">
          <cell r="A1336" t="str">
            <v xml:space="preserve"> </v>
          </cell>
        </row>
        <row r="1337">
          <cell r="A1337" t="str">
            <v xml:space="preserve"> </v>
          </cell>
        </row>
        <row r="1338">
          <cell r="A1338" t="str">
            <v xml:space="preserve"> </v>
          </cell>
        </row>
        <row r="1339">
          <cell r="A1339" t="str">
            <v xml:space="preserve"> </v>
          </cell>
        </row>
        <row r="1340">
          <cell r="A1340" t="str">
            <v xml:space="preserve"> </v>
          </cell>
        </row>
        <row r="1341">
          <cell r="A1341" t="str">
            <v xml:space="preserve"> </v>
          </cell>
        </row>
        <row r="1342">
          <cell r="A1342" t="str">
            <v xml:space="preserve"> </v>
          </cell>
        </row>
        <row r="1343">
          <cell r="A1343" t="str">
            <v xml:space="preserve"> </v>
          </cell>
        </row>
        <row r="1344">
          <cell r="A1344" t="str">
            <v xml:space="preserve"> </v>
          </cell>
        </row>
        <row r="1345">
          <cell r="A1345" t="str">
            <v xml:space="preserve"> </v>
          </cell>
        </row>
        <row r="1346">
          <cell r="A1346" t="str">
            <v xml:space="preserve"> </v>
          </cell>
        </row>
        <row r="1347">
          <cell r="A1347" t="str">
            <v xml:space="preserve"> </v>
          </cell>
        </row>
        <row r="1348">
          <cell r="A1348" t="str">
            <v xml:space="preserve"> </v>
          </cell>
        </row>
        <row r="1349">
          <cell r="A1349" t="str">
            <v xml:space="preserve"> </v>
          </cell>
        </row>
        <row r="1350">
          <cell r="A1350" t="str">
            <v xml:space="preserve"> </v>
          </cell>
        </row>
        <row r="1351">
          <cell r="A1351" t="str">
            <v xml:space="preserve"> </v>
          </cell>
        </row>
        <row r="1352">
          <cell r="A1352" t="str">
            <v xml:space="preserve"> </v>
          </cell>
        </row>
        <row r="1353">
          <cell r="A1353" t="str">
            <v xml:space="preserve"> </v>
          </cell>
        </row>
        <row r="1354">
          <cell r="A1354" t="str">
            <v xml:space="preserve"> </v>
          </cell>
        </row>
        <row r="1355">
          <cell r="A1355" t="str">
            <v xml:space="preserve"> </v>
          </cell>
        </row>
        <row r="1356">
          <cell r="A1356" t="str">
            <v xml:space="preserve"> </v>
          </cell>
        </row>
        <row r="1357">
          <cell r="A1357" t="str">
            <v xml:space="preserve"> </v>
          </cell>
        </row>
        <row r="1358">
          <cell r="A1358" t="str">
            <v xml:space="preserve"> </v>
          </cell>
        </row>
        <row r="1359">
          <cell r="A1359" t="str">
            <v xml:space="preserve"> </v>
          </cell>
        </row>
        <row r="1360">
          <cell r="A1360" t="str">
            <v xml:space="preserve"> </v>
          </cell>
        </row>
        <row r="1361">
          <cell r="A1361" t="str">
            <v xml:space="preserve"> </v>
          </cell>
        </row>
        <row r="1362">
          <cell r="A1362" t="str">
            <v xml:space="preserve"> </v>
          </cell>
        </row>
        <row r="1363">
          <cell r="A1363" t="str">
            <v xml:space="preserve"> </v>
          </cell>
        </row>
        <row r="1364">
          <cell r="A1364" t="str">
            <v xml:space="preserve"> </v>
          </cell>
        </row>
        <row r="1365">
          <cell r="A1365" t="str">
            <v xml:space="preserve"> </v>
          </cell>
        </row>
        <row r="1366">
          <cell r="A1366" t="str">
            <v xml:space="preserve"> </v>
          </cell>
        </row>
        <row r="1367">
          <cell r="A1367" t="str">
            <v xml:space="preserve"> </v>
          </cell>
        </row>
        <row r="1368">
          <cell r="A1368" t="str">
            <v xml:space="preserve"> </v>
          </cell>
        </row>
        <row r="1369">
          <cell r="A1369" t="str">
            <v xml:space="preserve"> </v>
          </cell>
        </row>
        <row r="1370">
          <cell r="A1370" t="str">
            <v xml:space="preserve"> </v>
          </cell>
        </row>
        <row r="1371">
          <cell r="A1371" t="str">
            <v xml:space="preserve"> </v>
          </cell>
        </row>
        <row r="1372">
          <cell r="A1372" t="str">
            <v xml:space="preserve"> </v>
          </cell>
        </row>
        <row r="1373">
          <cell r="A1373" t="str">
            <v xml:space="preserve"> </v>
          </cell>
        </row>
        <row r="1374">
          <cell r="A1374" t="str">
            <v xml:space="preserve"> </v>
          </cell>
        </row>
        <row r="1375">
          <cell r="A1375" t="str">
            <v xml:space="preserve"> </v>
          </cell>
        </row>
        <row r="1376">
          <cell r="A1376" t="str">
            <v xml:space="preserve"> </v>
          </cell>
        </row>
        <row r="1377">
          <cell r="A1377" t="str">
            <v xml:space="preserve"> </v>
          </cell>
        </row>
        <row r="1378">
          <cell r="A1378" t="str">
            <v xml:space="preserve"> </v>
          </cell>
        </row>
        <row r="1379">
          <cell r="A1379" t="str">
            <v xml:space="preserve"> </v>
          </cell>
        </row>
        <row r="1380">
          <cell r="A1380" t="str">
            <v xml:space="preserve"> </v>
          </cell>
        </row>
        <row r="1381">
          <cell r="A1381" t="str">
            <v xml:space="preserve"> </v>
          </cell>
        </row>
        <row r="1382">
          <cell r="A1382" t="str">
            <v xml:space="preserve"> </v>
          </cell>
        </row>
        <row r="1383">
          <cell r="A1383" t="str">
            <v xml:space="preserve"> </v>
          </cell>
        </row>
        <row r="1384">
          <cell r="A1384" t="str">
            <v xml:space="preserve"> </v>
          </cell>
        </row>
        <row r="1385">
          <cell r="A1385" t="str">
            <v xml:space="preserve"> </v>
          </cell>
        </row>
        <row r="1386">
          <cell r="A1386" t="str">
            <v xml:space="preserve"> </v>
          </cell>
        </row>
        <row r="1387">
          <cell r="A1387" t="str">
            <v xml:space="preserve"> </v>
          </cell>
        </row>
        <row r="1388">
          <cell r="A1388" t="str">
            <v xml:space="preserve"> </v>
          </cell>
        </row>
        <row r="1389">
          <cell r="A1389" t="str">
            <v xml:space="preserve"> </v>
          </cell>
        </row>
        <row r="1390">
          <cell r="A1390" t="str">
            <v xml:space="preserve"> </v>
          </cell>
        </row>
        <row r="1391">
          <cell r="A1391" t="str">
            <v xml:space="preserve"> </v>
          </cell>
        </row>
        <row r="1392">
          <cell r="A1392" t="str">
            <v xml:space="preserve"> </v>
          </cell>
        </row>
        <row r="1393">
          <cell r="A1393" t="str">
            <v xml:space="preserve"> </v>
          </cell>
        </row>
        <row r="1394">
          <cell r="A1394" t="str">
            <v xml:space="preserve"> </v>
          </cell>
        </row>
        <row r="1395">
          <cell r="A1395" t="str">
            <v xml:space="preserve"> </v>
          </cell>
        </row>
        <row r="1396">
          <cell r="A1396" t="str">
            <v xml:space="preserve"> </v>
          </cell>
        </row>
        <row r="1397">
          <cell r="A1397" t="str">
            <v xml:space="preserve"> </v>
          </cell>
        </row>
        <row r="1398">
          <cell r="A1398" t="str">
            <v xml:space="preserve"> </v>
          </cell>
        </row>
        <row r="1399">
          <cell r="A1399" t="str">
            <v xml:space="preserve"> </v>
          </cell>
        </row>
        <row r="1400">
          <cell r="A1400" t="str">
            <v xml:space="preserve"> </v>
          </cell>
        </row>
        <row r="1401">
          <cell r="A1401" t="str">
            <v xml:space="preserve"> </v>
          </cell>
        </row>
        <row r="1402">
          <cell r="A1402" t="str">
            <v xml:space="preserve"> </v>
          </cell>
        </row>
        <row r="1403">
          <cell r="A1403" t="str">
            <v xml:space="preserve"> </v>
          </cell>
        </row>
        <row r="1404">
          <cell r="A1404" t="str">
            <v xml:space="preserve"> </v>
          </cell>
        </row>
        <row r="1405">
          <cell r="A1405" t="str">
            <v xml:space="preserve"> </v>
          </cell>
        </row>
        <row r="1406">
          <cell r="A1406" t="str">
            <v xml:space="preserve"> </v>
          </cell>
        </row>
        <row r="1407">
          <cell r="A1407" t="str">
            <v xml:space="preserve"> </v>
          </cell>
        </row>
        <row r="1408">
          <cell r="A1408" t="str">
            <v xml:space="preserve"> </v>
          </cell>
        </row>
        <row r="1409">
          <cell r="A1409" t="str">
            <v xml:space="preserve"> </v>
          </cell>
        </row>
        <row r="1410">
          <cell r="A1410" t="str">
            <v xml:space="preserve"> </v>
          </cell>
        </row>
        <row r="1411">
          <cell r="A1411" t="str">
            <v xml:space="preserve"> </v>
          </cell>
        </row>
        <row r="1412">
          <cell r="A1412" t="str">
            <v xml:space="preserve"> </v>
          </cell>
        </row>
        <row r="1413">
          <cell r="A1413" t="str">
            <v xml:space="preserve"> </v>
          </cell>
        </row>
        <row r="1414">
          <cell r="A1414" t="str">
            <v xml:space="preserve"> </v>
          </cell>
        </row>
        <row r="1415">
          <cell r="A1415" t="str">
            <v xml:space="preserve"> </v>
          </cell>
        </row>
        <row r="1416">
          <cell r="A1416" t="str">
            <v xml:space="preserve"> </v>
          </cell>
        </row>
        <row r="1417">
          <cell r="A1417" t="str">
            <v xml:space="preserve"> </v>
          </cell>
        </row>
        <row r="1418">
          <cell r="A1418" t="str">
            <v xml:space="preserve"> </v>
          </cell>
        </row>
        <row r="1419">
          <cell r="A1419" t="str">
            <v xml:space="preserve"> </v>
          </cell>
        </row>
        <row r="1420">
          <cell r="A1420" t="str">
            <v xml:space="preserve"> </v>
          </cell>
        </row>
        <row r="1421">
          <cell r="A1421" t="str">
            <v xml:space="preserve"> </v>
          </cell>
        </row>
        <row r="1422">
          <cell r="A1422" t="str">
            <v xml:space="preserve"> </v>
          </cell>
        </row>
        <row r="1423">
          <cell r="A1423" t="str">
            <v xml:space="preserve"> </v>
          </cell>
        </row>
        <row r="1424">
          <cell r="A1424" t="str">
            <v xml:space="preserve"> </v>
          </cell>
        </row>
        <row r="1425">
          <cell r="A1425" t="str">
            <v xml:space="preserve"> </v>
          </cell>
        </row>
        <row r="1426">
          <cell r="A1426" t="str">
            <v xml:space="preserve"> </v>
          </cell>
        </row>
        <row r="1427">
          <cell r="A1427" t="str">
            <v xml:space="preserve"> </v>
          </cell>
        </row>
        <row r="1428">
          <cell r="A1428" t="str">
            <v xml:space="preserve"> </v>
          </cell>
        </row>
        <row r="1429">
          <cell r="A1429" t="str">
            <v xml:space="preserve"> </v>
          </cell>
        </row>
        <row r="1430">
          <cell r="A1430" t="str">
            <v xml:space="preserve"> </v>
          </cell>
        </row>
        <row r="1431">
          <cell r="A1431" t="str">
            <v xml:space="preserve"> </v>
          </cell>
        </row>
        <row r="1432">
          <cell r="A1432" t="str">
            <v xml:space="preserve"> </v>
          </cell>
        </row>
        <row r="1433">
          <cell r="A1433" t="str">
            <v xml:space="preserve"> </v>
          </cell>
        </row>
        <row r="1434">
          <cell r="A1434" t="str">
            <v xml:space="preserve"> </v>
          </cell>
        </row>
        <row r="1435">
          <cell r="A1435" t="str">
            <v xml:space="preserve"> </v>
          </cell>
        </row>
        <row r="1436">
          <cell r="A1436" t="str">
            <v xml:space="preserve"> </v>
          </cell>
        </row>
        <row r="1437">
          <cell r="A1437" t="str">
            <v xml:space="preserve"> </v>
          </cell>
        </row>
        <row r="1438">
          <cell r="A1438" t="str">
            <v xml:space="preserve"> </v>
          </cell>
        </row>
        <row r="1439">
          <cell r="A1439" t="str">
            <v xml:space="preserve"> </v>
          </cell>
        </row>
        <row r="1440">
          <cell r="A1440" t="str">
            <v xml:space="preserve"> </v>
          </cell>
        </row>
        <row r="1441">
          <cell r="A1441" t="str">
            <v xml:space="preserve"> </v>
          </cell>
        </row>
        <row r="1442">
          <cell r="A1442" t="str">
            <v xml:space="preserve"> </v>
          </cell>
        </row>
        <row r="1443">
          <cell r="A1443" t="str">
            <v xml:space="preserve"> </v>
          </cell>
        </row>
        <row r="1444">
          <cell r="A1444" t="str">
            <v xml:space="preserve"> </v>
          </cell>
        </row>
        <row r="1445">
          <cell r="A1445" t="str">
            <v xml:space="preserve"> </v>
          </cell>
        </row>
        <row r="1446">
          <cell r="A1446" t="str">
            <v xml:space="preserve"> </v>
          </cell>
        </row>
        <row r="1447">
          <cell r="A1447" t="str">
            <v xml:space="preserve"> </v>
          </cell>
        </row>
        <row r="1448">
          <cell r="A1448" t="str">
            <v xml:space="preserve"> </v>
          </cell>
        </row>
        <row r="1449">
          <cell r="A1449" t="str">
            <v xml:space="preserve"> </v>
          </cell>
        </row>
        <row r="1450">
          <cell r="A1450" t="str">
            <v xml:space="preserve"> </v>
          </cell>
        </row>
        <row r="1451">
          <cell r="A1451" t="str">
            <v xml:space="preserve"> </v>
          </cell>
        </row>
        <row r="1452">
          <cell r="A1452" t="str">
            <v xml:space="preserve"> </v>
          </cell>
        </row>
        <row r="1453">
          <cell r="A1453" t="str">
            <v xml:space="preserve"> </v>
          </cell>
        </row>
        <row r="1454">
          <cell r="A1454" t="str">
            <v xml:space="preserve"> </v>
          </cell>
        </row>
        <row r="1455">
          <cell r="A1455" t="str">
            <v xml:space="preserve"> </v>
          </cell>
        </row>
        <row r="1456">
          <cell r="A1456" t="str">
            <v xml:space="preserve"> </v>
          </cell>
        </row>
        <row r="1457">
          <cell r="A1457" t="str">
            <v xml:space="preserve"> </v>
          </cell>
        </row>
        <row r="1458">
          <cell r="A1458" t="str">
            <v xml:space="preserve"> </v>
          </cell>
        </row>
        <row r="1459">
          <cell r="A1459" t="str">
            <v xml:space="preserve"> </v>
          </cell>
        </row>
        <row r="1460">
          <cell r="A1460" t="str">
            <v xml:space="preserve"> </v>
          </cell>
        </row>
        <row r="1461">
          <cell r="A1461" t="str">
            <v xml:space="preserve"> </v>
          </cell>
        </row>
        <row r="1462">
          <cell r="A1462" t="str">
            <v xml:space="preserve"> </v>
          </cell>
        </row>
        <row r="1463">
          <cell r="A1463" t="str">
            <v xml:space="preserve"> </v>
          </cell>
        </row>
        <row r="1464">
          <cell r="A1464" t="str">
            <v xml:space="preserve"> </v>
          </cell>
        </row>
        <row r="1465">
          <cell r="A1465" t="str">
            <v xml:space="preserve"> </v>
          </cell>
        </row>
        <row r="1466">
          <cell r="A1466" t="str">
            <v xml:space="preserve"> </v>
          </cell>
        </row>
        <row r="1467">
          <cell r="A1467" t="str">
            <v xml:space="preserve"> </v>
          </cell>
        </row>
        <row r="1468">
          <cell r="A1468" t="str">
            <v xml:space="preserve"> </v>
          </cell>
        </row>
        <row r="1469">
          <cell r="A1469" t="str">
            <v xml:space="preserve"> </v>
          </cell>
        </row>
        <row r="1470">
          <cell r="A1470" t="str">
            <v xml:space="preserve"> </v>
          </cell>
        </row>
        <row r="1471">
          <cell r="A1471" t="str">
            <v xml:space="preserve"> </v>
          </cell>
        </row>
        <row r="1472">
          <cell r="A1472" t="str">
            <v xml:space="preserve"> </v>
          </cell>
        </row>
        <row r="1473">
          <cell r="A1473" t="str">
            <v xml:space="preserve"> </v>
          </cell>
        </row>
        <row r="1474">
          <cell r="A1474" t="str">
            <v xml:space="preserve"> </v>
          </cell>
        </row>
        <row r="1475">
          <cell r="A1475" t="str">
            <v xml:space="preserve"> </v>
          </cell>
        </row>
        <row r="1476">
          <cell r="A1476" t="str">
            <v xml:space="preserve"> </v>
          </cell>
        </row>
        <row r="1477">
          <cell r="A1477" t="str">
            <v xml:space="preserve"> </v>
          </cell>
        </row>
        <row r="1478">
          <cell r="A1478" t="str">
            <v xml:space="preserve"> </v>
          </cell>
        </row>
        <row r="1479">
          <cell r="A1479" t="str">
            <v xml:space="preserve"> </v>
          </cell>
        </row>
        <row r="1480">
          <cell r="A1480" t="str">
            <v xml:space="preserve"> </v>
          </cell>
        </row>
        <row r="1481">
          <cell r="A1481" t="str">
            <v xml:space="preserve"> 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  <row r="2501">
          <cell r="A2501" t="str">
            <v xml:space="preserve"> </v>
          </cell>
        </row>
        <row r="2502">
          <cell r="A2502" t="str">
            <v xml:space="preserve"> </v>
          </cell>
        </row>
        <row r="2503">
          <cell r="A2503" t="str">
            <v xml:space="preserve"> </v>
          </cell>
        </row>
        <row r="2504">
          <cell r="A2504" t="str">
            <v xml:space="preserve"> </v>
          </cell>
        </row>
        <row r="2505">
          <cell r="A2505" t="str">
            <v xml:space="preserve"> </v>
          </cell>
        </row>
        <row r="2506">
          <cell r="A2506" t="str">
            <v xml:space="preserve"> </v>
          </cell>
        </row>
        <row r="2507">
          <cell r="A2507" t="str">
            <v xml:space="preserve"> </v>
          </cell>
        </row>
        <row r="2508">
          <cell r="A2508" t="str">
            <v xml:space="preserve"> </v>
          </cell>
        </row>
        <row r="2509">
          <cell r="A2509" t="str">
            <v xml:space="preserve"> </v>
          </cell>
        </row>
        <row r="2510">
          <cell r="A2510" t="str">
            <v xml:space="preserve"> </v>
          </cell>
        </row>
        <row r="2511">
          <cell r="A2511" t="str">
            <v xml:space="preserve"> </v>
          </cell>
        </row>
        <row r="2512">
          <cell r="A2512" t="str">
            <v xml:space="preserve"> </v>
          </cell>
        </row>
        <row r="2513">
          <cell r="A2513" t="str">
            <v xml:space="preserve"> </v>
          </cell>
        </row>
        <row r="2514">
          <cell r="A2514" t="str">
            <v xml:space="preserve"> </v>
          </cell>
        </row>
        <row r="2515">
          <cell r="A2515" t="str">
            <v xml:space="preserve"> </v>
          </cell>
        </row>
        <row r="2516">
          <cell r="A2516" t="str">
            <v xml:space="preserve"> </v>
          </cell>
        </row>
        <row r="2517">
          <cell r="A2517" t="str">
            <v xml:space="preserve"> </v>
          </cell>
        </row>
        <row r="2518">
          <cell r="A2518" t="str">
            <v xml:space="preserve"> </v>
          </cell>
        </row>
        <row r="2519">
          <cell r="A2519" t="str">
            <v xml:space="preserve"> </v>
          </cell>
        </row>
        <row r="2520">
          <cell r="A2520" t="str">
            <v xml:space="preserve"> </v>
          </cell>
        </row>
        <row r="2521">
          <cell r="A2521" t="str">
            <v xml:space="preserve"> </v>
          </cell>
        </row>
        <row r="2522">
          <cell r="A2522" t="str">
            <v xml:space="preserve"> </v>
          </cell>
        </row>
        <row r="2523">
          <cell r="A2523" t="str">
            <v xml:space="preserve"> </v>
          </cell>
        </row>
        <row r="2524">
          <cell r="A2524" t="str">
            <v xml:space="preserve"> </v>
          </cell>
        </row>
        <row r="2525">
          <cell r="A2525" t="str">
            <v xml:space="preserve"> </v>
          </cell>
        </row>
        <row r="2526">
          <cell r="A2526" t="str">
            <v xml:space="preserve"> </v>
          </cell>
        </row>
        <row r="2527">
          <cell r="A2527" t="str">
            <v xml:space="preserve"> </v>
          </cell>
        </row>
        <row r="2528">
          <cell r="A2528" t="str">
            <v xml:space="preserve"> </v>
          </cell>
        </row>
        <row r="2529">
          <cell r="A2529" t="str">
            <v xml:space="preserve"> </v>
          </cell>
        </row>
        <row r="2530">
          <cell r="A2530" t="str">
            <v xml:space="preserve"> </v>
          </cell>
        </row>
        <row r="2531">
          <cell r="A2531" t="str">
            <v xml:space="preserve"> </v>
          </cell>
        </row>
        <row r="2532">
          <cell r="A2532" t="str">
            <v xml:space="preserve"> </v>
          </cell>
        </row>
        <row r="2533">
          <cell r="A2533" t="str">
            <v xml:space="preserve"> </v>
          </cell>
        </row>
        <row r="2534">
          <cell r="A2534" t="str">
            <v xml:space="preserve"> </v>
          </cell>
        </row>
        <row r="2535">
          <cell r="A2535" t="str">
            <v xml:space="preserve"> </v>
          </cell>
        </row>
        <row r="2536">
          <cell r="A2536" t="str">
            <v xml:space="preserve"> </v>
          </cell>
        </row>
        <row r="2537">
          <cell r="A2537" t="str">
            <v xml:space="preserve"> </v>
          </cell>
        </row>
        <row r="2538">
          <cell r="A2538" t="str">
            <v xml:space="preserve"> </v>
          </cell>
        </row>
        <row r="2539">
          <cell r="A2539" t="str">
            <v xml:space="preserve"> </v>
          </cell>
        </row>
        <row r="2540">
          <cell r="A2540" t="str">
            <v xml:space="preserve"> </v>
          </cell>
        </row>
        <row r="2541">
          <cell r="A2541" t="str">
            <v xml:space="preserve"> </v>
          </cell>
        </row>
        <row r="2542">
          <cell r="A2542" t="str">
            <v xml:space="preserve"> </v>
          </cell>
        </row>
        <row r="2543">
          <cell r="A2543" t="str">
            <v xml:space="preserve"> </v>
          </cell>
        </row>
        <row r="2544">
          <cell r="A2544" t="str">
            <v xml:space="preserve"> </v>
          </cell>
        </row>
        <row r="2545">
          <cell r="A2545" t="str">
            <v xml:space="preserve"> </v>
          </cell>
        </row>
        <row r="2546">
          <cell r="A2546" t="str">
            <v xml:space="preserve"> </v>
          </cell>
        </row>
        <row r="2547">
          <cell r="A2547" t="str">
            <v xml:space="preserve"> </v>
          </cell>
        </row>
        <row r="2548">
          <cell r="A2548" t="str">
            <v xml:space="preserve"> </v>
          </cell>
        </row>
        <row r="2549">
          <cell r="A2549" t="str">
            <v xml:space="preserve"> </v>
          </cell>
        </row>
        <row r="2550">
          <cell r="A2550" t="str">
            <v xml:space="preserve"> </v>
          </cell>
        </row>
        <row r="2551">
          <cell r="A2551" t="str">
            <v xml:space="preserve"> </v>
          </cell>
        </row>
        <row r="2552">
          <cell r="A2552" t="str">
            <v xml:space="preserve"> </v>
          </cell>
        </row>
        <row r="2553">
          <cell r="A2553" t="str">
            <v xml:space="preserve"> </v>
          </cell>
        </row>
        <row r="2554">
          <cell r="A2554" t="str">
            <v xml:space="preserve"> </v>
          </cell>
        </row>
        <row r="2555">
          <cell r="A2555" t="str">
            <v xml:space="preserve"> </v>
          </cell>
        </row>
        <row r="2556">
          <cell r="A2556" t="str">
            <v xml:space="preserve"> </v>
          </cell>
        </row>
        <row r="2557">
          <cell r="A2557" t="str">
            <v xml:space="preserve"> </v>
          </cell>
        </row>
        <row r="2558">
          <cell r="A2558" t="str">
            <v xml:space="preserve"> </v>
          </cell>
        </row>
        <row r="2559">
          <cell r="A2559" t="str">
            <v xml:space="preserve"> </v>
          </cell>
        </row>
        <row r="2560">
          <cell r="A2560" t="str">
            <v xml:space="preserve"> </v>
          </cell>
        </row>
        <row r="2561">
          <cell r="A2561" t="str">
            <v xml:space="preserve"> </v>
          </cell>
        </row>
        <row r="2562">
          <cell r="A2562" t="str">
            <v xml:space="preserve"> </v>
          </cell>
        </row>
        <row r="2563">
          <cell r="A2563" t="str">
            <v xml:space="preserve"> </v>
          </cell>
        </row>
        <row r="2564">
          <cell r="A2564" t="str">
            <v xml:space="preserve"> </v>
          </cell>
        </row>
        <row r="2565">
          <cell r="A2565" t="str">
            <v xml:space="preserve"> </v>
          </cell>
        </row>
        <row r="2566">
          <cell r="A2566" t="str">
            <v xml:space="preserve"> </v>
          </cell>
        </row>
        <row r="2567">
          <cell r="A2567" t="str">
            <v xml:space="preserve"> </v>
          </cell>
        </row>
        <row r="2568">
          <cell r="A2568" t="str">
            <v xml:space="preserve"> </v>
          </cell>
        </row>
        <row r="2569">
          <cell r="A2569" t="str">
            <v xml:space="preserve"> </v>
          </cell>
        </row>
        <row r="2570">
          <cell r="A2570" t="str">
            <v xml:space="preserve"> </v>
          </cell>
        </row>
        <row r="2571">
          <cell r="A2571" t="str">
            <v xml:space="preserve"> </v>
          </cell>
        </row>
        <row r="2572">
          <cell r="A2572" t="str">
            <v xml:space="preserve"> </v>
          </cell>
        </row>
        <row r="2573">
          <cell r="A2573" t="str">
            <v xml:space="preserve"> </v>
          </cell>
        </row>
        <row r="2574">
          <cell r="A2574" t="str">
            <v xml:space="preserve"> </v>
          </cell>
        </row>
        <row r="2575">
          <cell r="A2575" t="str">
            <v xml:space="preserve"> </v>
          </cell>
        </row>
        <row r="2576">
          <cell r="A2576" t="str">
            <v xml:space="preserve"> </v>
          </cell>
        </row>
        <row r="2577">
          <cell r="A2577" t="str">
            <v xml:space="preserve"> </v>
          </cell>
        </row>
        <row r="2578">
          <cell r="A2578" t="str">
            <v xml:space="preserve"> </v>
          </cell>
        </row>
        <row r="2579">
          <cell r="A2579" t="str">
            <v xml:space="preserve"> </v>
          </cell>
        </row>
        <row r="2580">
          <cell r="A2580" t="str">
            <v xml:space="preserve"> </v>
          </cell>
        </row>
        <row r="2581">
          <cell r="A2581" t="str">
            <v xml:space="preserve"> </v>
          </cell>
        </row>
        <row r="2582">
          <cell r="A2582" t="str">
            <v xml:space="preserve"> </v>
          </cell>
        </row>
        <row r="2583">
          <cell r="A2583" t="str">
            <v xml:space="preserve"> </v>
          </cell>
        </row>
        <row r="2584">
          <cell r="A2584" t="str">
            <v xml:space="preserve"> </v>
          </cell>
        </row>
        <row r="2585">
          <cell r="A2585" t="str">
            <v xml:space="preserve"> </v>
          </cell>
        </row>
        <row r="2586">
          <cell r="A2586" t="str">
            <v xml:space="preserve"> </v>
          </cell>
        </row>
        <row r="2587">
          <cell r="A2587" t="str">
            <v xml:space="preserve"> </v>
          </cell>
        </row>
        <row r="2588">
          <cell r="A2588" t="str">
            <v xml:space="preserve"> </v>
          </cell>
        </row>
        <row r="2589">
          <cell r="A2589" t="str">
            <v xml:space="preserve"> </v>
          </cell>
        </row>
        <row r="2590">
          <cell r="A2590" t="str">
            <v xml:space="preserve"> </v>
          </cell>
        </row>
        <row r="2591">
          <cell r="A2591" t="str">
            <v xml:space="preserve"> </v>
          </cell>
        </row>
        <row r="2592">
          <cell r="A2592" t="str">
            <v xml:space="preserve"> </v>
          </cell>
        </row>
        <row r="2593">
          <cell r="A2593" t="str">
            <v xml:space="preserve"> </v>
          </cell>
        </row>
        <row r="2594">
          <cell r="A2594" t="str">
            <v xml:space="preserve"> </v>
          </cell>
        </row>
        <row r="2595">
          <cell r="A2595" t="str">
            <v xml:space="preserve"> </v>
          </cell>
        </row>
        <row r="2596">
          <cell r="A2596" t="str">
            <v xml:space="preserve"> </v>
          </cell>
        </row>
        <row r="2597">
          <cell r="A2597" t="str">
            <v xml:space="preserve"> </v>
          </cell>
        </row>
        <row r="2598">
          <cell r="A2598" t="str">
            <v xml:space="preserve"> </v>
          </cell>
        </row>
        <row r="2599">
          <cell r="A2599" t="str">
            <v xml:space="preserve"> </v>
          </cell>
        </row>
        <row r="2600">
          <cell r="A2600" t="str">
            <v xml:space="preserve"> </v>
          </cell>
        </row>
        <row r="2601">
          <cell r="A2601" t="str">
            <v xml:space="preserve"> </v>
          </cell>
        </row>
        <row r="2602">
          <cell r="A2602" t="str">
            <v xml:space="preserve"> </v>
          </cell>
        </row>
        <row r="2603">
          <cell r="A2603" t="str">
            <v xml:space="preserve"> </v>
          </cell>
        </row>
        <row r="2604">
          <cell r="A2604" t="str">
            <v xml:space="preserve"> </v>
          </cell>
        </row>
        <row r="2605">
          <cell r="A2605" t="str">
            <v xml:space="preserve"> </v>
          </cell>
        </row>
        <row r="2606">
          <cell r="A2606" t="str">
            <v xml:space="preserve"> </v>
          </cell>
        </row>
        <row r="2607">
          <cell r="A2607" t="str">
            <v xml:space="preserve"> </v>
          </cell>
        </row>
        <row r="2608">
          <cell r="A2608" t="str">
            <v xml:space="preserve"> </v>
          </cell>
        </row>
        <row r="2609">
          <cell r="A2609" t="str">
            <v xml:space="preserve"> </v>
          </cell>
        </row>
        <row r="2610">
          <cell r="A2610" t="str">
            <v xml:space="preserve"> </v>
          </cell>
        </row>
        <row r="2611">
          <cell r="A2611" t="str">
            <v xml:space="preserve"> </v>
          </cell>
        </row>
        <row r="2612">
          <cell r="A2612" t="str">
            <v xml:space="preserve"> </v>
          </cell>
        </row>
        <row r="2613">
          <cell r="A2613" t="str">
            <v xml:space="preserve"> </v>
          </cell>
        </row>
        <row r="2614">
          <cell r="A2614" t="str">
            <v xml:space="preserve"> </v>
          </cell>
        </row>
        <row r="2615">
          <cell r="A2615" t="str">
            <v xml:space="preserve"> </v>
          </cell>
        </row>
        <row r="2616">
          <cell r="A2616" t="str">
            <v xml:space="preserve"> </v>
          </cell>
        </row>
        <row r="2617">
          <cell r="A2617" t="str">
            <v xml:space="preserve"> </v>
          </cell>
        </row>
        <row r="2618">
          <cell r="A2618" t="str">
            <v xml:space="preserve"> </v>
          </cell>
        </row>
        <row r="2619">
          <cell r="A2619" t="str">
            <v xml:space="preserve"> </v>
          </cell>
        </row>
        <row r="2620">
          <cell r="A2620" t="str">
            <v xml:space="preserve"> </v>
          </cell>
        </row>
        <row r="2621">
          <cell r="A2621" t="str">
            <v xml:space="preserve"> </v>
          </cell>
        </row>
        <row r="2622">
          <cell r="A2622" t="str">
            <v xml:space="preserve"> </v>
          </cell>
        </row>
        <row r="2623">
          <cell r="A2623" t="str">
            <v xml:space="preserve"> </v>
          </cell>
        </row>
        <row r="2624">
          <cell r="A2624" t="str">
            <v xml:space="preserve"> </v>
          </cell>
        </row>
        <row r="2625">
          <cell r="A2625" t="str">
            <v xml:space="preserve"> </v>
          </cell>
        </row>
        <row r="2626">
          <cell r="A2626" t="str">
            <v xml:space="preserve"> </v>
          </cell>
        </row>
        <row r="2627">
          <cell r="A2627" t="str">
            <v xml:space="preserve"> </v>
          </cell>
        </row>
        <row r="2628">
          <cell r="A2628" t="str">
            <v xml:space="preserve"> </v>
          </cell>
        </row>
        <row r="2629">
          <cell r="A2629" t="str">
            <v xml:space="preserve"> </v>
          </cell>
        </row>
        <row r="2630">
          <cell r="A2630" t="str">
            <v xml:space="preserve"> </v>
          </cell>
        </row>
        <row r="2631">
          <cell r="A2631" t="str">
            <v xml:space="preserve"> </v>
          </cell>
        </row>
        <row r="2632">
          <cell r="A2632" t="str">
            <v xml:space="preserve"> </v>
          </cell>
        </row>
        <row r="2633">
          <cell r="A2633" t="str">
            <v xml:space="preserve"> </v>
          </cell>
        </row>
        <row r="2634">
          <cell r="A2634" t="str">
            <v xml:space="preserve"> </v>
          </cell>
        </row>
        <row r="2635">
          <cell r="A2635" t="str">
            <v xml:space="preserve"> </v>
          </cell>
        </row>
        <row r="2636">
          <cell r="A2636" t="str">
            <v xml:space="preserve"> </v>
          </cell>
        </row>
        <row r="2637">
          <cell r="A2637" t="str">
            <v xml:space="preserve"> </v>
          </cell>
        </row>
        <row r="2638">
          <cell r="A2638" t="str">
            <v xml:space="preserve"> </v>
          </cell>
        </row>
        <row r="2639">
          <cell r="A2639" t="str">
            <v xml:space="preserve"> </v>
          </cell>
        </row>
        <row r="2640">
          <cell r="A2640" t="str">
            <v xml:space="preserve"> </v>
          </cell>
        </row>
        <row r="2641">
          <cell r="A2641" t="str">
            <v xml:space="preserve"> </v>
          </cell>
        </row>
        <row r="2642">
          <cell r="A2642" t="str">
            <v xml:space="preserve"> </v>
          </cell>
        </row>
        <row r="2643">
          <cell r="A2643" t="str">
            <v xml:space="preserve"> </v>
          </cell>
        </row>
        <row r="2644">
          <cell r="A2644" t="str">
            <v xml:space="preserve"> </v>
          </cell>
        </row>
        <row r="2645">
          <cell r="A2645" t="str">
            <v xml:space="preserve"> </v>
          </cell>
        </row>
        <row r="2646">
          <cell r="A2646" t="str">
            <v xml:space="preserve"> </v>
          </cell>
        </row>
        <row r="2647">
          <cell r="A2647" t="str">
            <v xml:space="preserve"> </v>
          </cell>
        </row>
        <row r="2648">
          <cell r="A2648" t="str">
            <v xml:space="preserve"> </v>
          </cell>
        </row>
        <row r="2649">
          <cell r="A2649" t="str">
            <v xml:space="preserve"> </v>
          </cell>
        </row>
        <row r="2650">
          <cell r="A2650" t="str">
            <v xml:space="preserve"> </v>
          </cell>
        </row>
        <row r="2651">
          <cell r="A2651" t="str">
            <v xml:space="preserve"> </v>
          </cell>
        </row>
        <row r="2652">
          <cell r="A2652" t="str">
            <v xml:space="preserve"> </v>
          </cell>
        </row>
        <row r="2653">
          <cell r="A2653" t="str">
            <v xml:space="preserve"> </v>
          </cell>
        </row>
        <row r="2654">
          <cell r="A2654" t="str">
            <v xml:space="preserve"> </v>
          </cell>
        </row>
        <row r="2655">
          <cell r="A2655" t="str">
            <v xml:space="preserve"> </v>
          </cell>
        </row>
        <row r="2656">
          <cell r="A2656" t="str">
            <v xml:space="preserve"> </v>
          </cell>
        </row>
        <row r="2657">
          <cell r="A2657" t="str">
            <v xml:space="preserve"> </v>
          </cell>
        </row>
        <row r="2658">
          <cell r="A2658" t="str">
            <v xml:space="preserve"> </v>
          </cell>
        </row>
        <row r="2659">
          <cell r="A2659" t="str">
            <v xml:space="preserve"> </v>
          </cell>
        </row>
        <row r="2660">
          <cell r="A2660" t="str">
            <v xml:space="preserve"> </v>
          </cell>
        </row>
        <row r="2661">
          <cell r="A2661" t="str">
            <v xml:space="preserve"> </v>
          </cell>
        </row>
        <row r="2662">
          <cell r="A2662" t="str">
            <v xml:space="preserve"> </v>
          </cell>
        </row>
        <row r="2663">
          <cell r="A2663" t="str">
            <v xml:space="preserve"> </v>
          </cell>
        </row>
        <row r="2664">
          <cell r="A2664" t="str">
            <v xml:space="preserve"> </v>
          </cell>
        </row>
        <row r="2665">
          <cell r="A2665" t="str">
            <v xml:space="preserve"> </v>
          </cell>
        </row>
        <row r="2666">
          <cell r="A2666" t="str">
            <v xml:space="preserve"> </v>
          </cell>
        </row>
        <row r="2667">
          <cell r="A2667" t="str">
            <v xml:space="preserve"> </v>
          </cell>
        </row>
        <row r="2668">
          <cell r="A2668" t="str">
            <v xml:space="preserve"> </v>
          </cell>
        </row>
        <row r="2669">
          <cell r="A2669" t="str">
            <v xml:space="preserve"> </v>
          </cell>
        </row>
        <row r="2670">
          <cell r="A2670" t="str">
            <v xml:space="preserve"> </v>
          </cell>
        </row>
        <row r="2671">
          <cell r="A2671" t="str">
            <v xml:space="preserve"> </v>
          </cell>
        </row>
        <row r="2672">
          <cell r="A2672" t="str">
            <v xml:space="preserve"> </v>
          </cell>
        </row>
        <row r="2673">
          <cell r="A2673" t="str">
            <v xml:space="preserve"> </v>
          </cell>
        </row>
        <row r="2674">
          <cell r="A2674" t="str">
            <v xml:space="preserve"> </v>
          </cell>
        </row>
        <row r="2675">
          <cell r="A2675" t="str">
            <v xml:space="preserve"> </v>
          </cell>
        </row>
        <row r="2676">
          <cell r="A2676" t="str">
            <v xml:space="preserve"> </v>
          </cell>
        </row>
        <row r="2677">
          <cell r="A2677" t="str">
            <v xml:space="preserve"> </v>
          </cell>
        </row>
        <row r="2678">
          <cell r="A2678" t="str">
            <v xml:space="preserve"> </v>
          </cell>
        </row>
        <row r="2679">
          <cell r="A2679" t="str">
            <v xml:space="preserve"> </v>
          </cell>
        </row>
        <row r="2680">
          <cell r="A2680" t="str">
            <v xml:space="preserve"> </v>
          </cell>
        </row>
        <row r="2681">
          <cell r="A2681" t="str">
            <v xml:space="preserve"> </v>
          </cell>
        </row>
        <row r="2682">
          <cell r="A2682" t="str">
            <v xml:space="preserve"> </v>
          </cell>
        </row>
        <row r="2683">
          <cell r="A2683" t="str">
            <v xml:space="preserve"> </v>
          </cell>
        </row>
        <row r="2684">
          <cell r="A2684" t="str">
            <v xml:space="preserve"> </v>
          </cell>
        </row>
        <row r="2685">
          <cell r="A2685" t="str">
            <v xml:space="preserve"> </v>
          </cell>
        </row>
        <row r="2686">
          <cell r="A2686" t="str">
            <v xml:space="preserve"> </v>
          </cell>
        </row>
        <row r="2687">
          <cell r="A2687" t="str">
            <v xml:space="preserve"> </v>
          </cell>
        </row>
        <row r="2688">
          <cell r="A2688" t="str">
            <v xml:space="preserve"> </v>
          </cell>
        </row>
        <row r="2689">
          <cell r="A2689" t="str">
            <v xml:space="preserve"> </v>
          </cell>
        </row>
        <row r="2690">
          <cell r="A2690" t="str">
            <v xml:space="preserve"> </v>
          </cell>
        </row>
        <row r="2691">
          <cell r="A2691" t="str">
            <v xml:space="preserve"> </v>
          </cell>
        </row>
        <row r="2692">
          <cell r="A2692" t="str">
            <v xml:space="preserve"> </v>
          </cell>
        </row>
        <row r="2693">
          <cell r="A2693" t="str">
            <v xml:space="preserve"> </v>
          </cell>
        </row>
        <row r="2694">
          <cell r="A2694" t="str">
            <v xml:space="preserve"> </v>
          </cell>
        </row>
        <row r="2695">
          <cell r="A2695" t="str">
            <v xml:space="preserve"> </v>
          </cell>
        </row>
        <row r="2696">
          <cell r="A2696" t="str">
            <v xml:space="preserve"> </v>
          </cell>
        </row>
        <row r="2697">
          <cell r="A2697" t="str">
            <v xml:space="preserve"> </v>
          </cell>
        </row>
        <row r="2698">
          <cell r="A2698" t="str">
            <v xml:space="preserve"> </v>
          </cell>
        </row>
        <row r="2699">
          <cell r="A2699" t="str">
            <v xml:space="preserve"> </v>
          </cell>
        </row>
        <row r="2700">
          <cell r="A2700" t="str">
            <v xml:space="preserve"> </v>
          </cell>
        </row>
        <row r="2701">
          <cell r="A2701" t="str">
            <v xml:space="preserve"> </v>
          </cell>
        </row>
        <row r="2702">
          <cell r="A2702" t="str">
            <v xml:space="preserve"> </v>
          </cell>
        </row>
        <row r="2703">
          <cell r="A2703" t="str">
            <v xml:space="preserve"> </v>
          </cell>
        </row>
        <row r="2704">
          <cell r="A2704" t="str">
            <v xml:space="preserve"> </v>
          </cell>
        </row>
        <row r="2705">
          <cell r="A2705" t="str">
            <v xml:space="preserve"> </v>
          </cell>
        </row>
        <row r="2706">
          <cell r="A2706" t="str">
            <v xml:space="preserve"> </v>
          </cell>
        </row>
        <row r="2707">
          <cell r="A2707" t="str">
            <v xml:space="preserve"> </v>
          </cell>
        </row>
        <row r="2708">
          <cell r="A2708" t="str">
            <v xml:space="preserve"> </v>
          </cell>
        </row>
        <row r="2709">
          <cell r="A2709" t="str">
            <v xml:space="preserve"> </v>
          </cell>
        </row>
        <row r="2710">
          <cell r="A2710" t="str">
            <v xml:space="preserve"> </v>
          </cell>
        </row>
        <row r="2711">
          <cell r="A2711" t="str">
            <v xml:space="preserve"> </v>
          </cell>
        </row>
        <row r="2712">
          <cell r="A2712" t="str">
            <v xml:space="preserve"> </v>
          </cell>
        </row>
        <row r="2713">
          <cell r="A2713" t="str">
            <v xml:space="preserve"> </v>
          </cell>
        </row>
        <row r="2714">
          <cell r="A2714" t="str">
            <v xml:space="preserve"> </v>
          </cell>
        </row>
        <row r="2715">
          <cell r="A2715" t="str">
            <v xml:space="preserve"> </v>
          </cell>
        </row>
        <row r="2716">
          <cell r="A2716" t="str">
            <v xml:space="preserve"> </v>
          </cell>
        </row>
        <row r="2717">
          <cell r="A2717" t="str">
            <v xml:space="preserve"> </v>
          </cell>
        </row>
        <row r="2718">
          <cell r="A2718" t="str">
            <v xml:space="preserve"> </v>
          </cell>
        </row>
        <row r="2719">
          <cell r="A2719" t="str">
            <v xml:space="preserve"> </v>
          </cell>
        </row>
        <row r="2720">
          <cell r="A2720" t="str">
            <v xml:space="preserve"> </v>
          </cell>
        </row>
        <row r="2721">
          <cell r="A2721" t="str">
            <v xml:space="preserve"> </v>
          </cell>
        </row>
        <row r="2722">
          <cell r="A2722" t="str">
            <v xml:space="preserve"> </v>
          </cell>
        </row>
        <row r="2723">
          <cell r="A2723" t="str">
            <v xml:space="preserve"> </v>
          </cell>
        </row>
        <row r="2724">
          <cell r="A2724" t="str">
            <v xml:space="preserve"> </v>
          </cell>
        </row>
        <row r="2725">
          <cell r="A2725" t="str">
            <v xml:space="preserve"> </v>
          </cell>
        </row>
        <row r="2726">
          <cell r="A2726" t="str">
            <v xml:space="preserve"> </v>
          </cell>
        </row>
        <row r="2727">
          <cell r="A2727" t="str">
            <v xml:space="preserve"> </v>
          </cell>
        </row>
        <row r="2728">
          <cell r="A2728" t="str">
            <v xml:space="preserve"> </v>
          </cell>
        </row>
        <row r="2729">
          <cell r="A2729" t="str">
            <v xml:space="preserve"> </v>
          </cell>
        </row>
        <row r="2730">
          <cell r="A2730" t="str">
            <v xml:space="preserve"> </v>
          </cell>
        </row>
        <row r="2731">
          <cell r="A2731" t="str">
            <v xml:space="preserve"> </v>
          </cell>
        </row>
        <row r="2732">
          <cell r="A2732" t="str">
            <v xml:space="preserve"> </v>
          </cell>
        </row>
        <row r="2733">
          <cell r="A2733" t="str">
            <v xml:space="preserve"> </v>
          </cell>
        </row>
        <row r="2734">
          <cell r="A2734" t="str">
            <v xml:space="preserve"> </v>
          </cell>
        </row>
        <row r="2735">
          <cell r="A2735" t="str">
            <v xml:space="preserve"> </v>
          </cell>
        </row>
        <row r="2736">
          <cell r="A2736" t="str">
            <v xml:space="preserve"> </v>
          </cell>
        </row>
        <row r="2737">
          <cell r="A2737" t="str">
            <v xml:space="preserve"> </v>
          </cell>
        </row>
        <row r="2738">
          <cell r="A2738" t="str">
            <v xml:space="preserve"> </v>
          </cell>
        </row>
        <row r="2739">
          <cell r="A2739" t="str">
            <v xml:space="preserve"> </v>
          </cell>
        </row>
        <row r="2740">
          <cell r="A2740" t="str">
            <v xml:space="preserve"> </v>
          </cell>
        </row>
        <row r="2741">
          <cell r="A2741" t="str">
            <v xml:space="preserve"> </v>
          </cell>
        </row>
        <row r="2742">
          <cell r="A2742" t="str">
            <v xml:space="preserve"> </v>
          </cell>
        </row>
        <row r="2743">
          <cell r="A2743" t="str">
            <v xml:space="preserve"> </v>
          </cell>
        </row>
        <row r="2744">
          <cell r="A2744" t="str">
            <v xml:space="preserve"> </v>
          </cell>
        </row>
        <row r="2745">
          <cell r="A2745" t="str">
            <v xml:space="preserve"> </v>
          </cell>
        </row>
        <row r="2746">
          <cell r="A2746" t="str">
            <v xml:space="preserve"> </v>
          </cell>
        </row>
        <row r="2747">
          <cell r="A2747" t="str">
            <v xml:space="preserve"> </v>
          </cell>
        </row>
        <row r="2748">
          <cell r="A2748" t="str">
            <v xml:space="preserve"> </v>
          </cell>
        </row>
        <row r="2749">
          <cell r="A2749" t="str">
            <v xml:space="preserve"> </v>
          </cell>
        </row>
        <row r="2750">
          <cell r="A2750" t="str">
            <v xml:space="preserve"> </v>
          </cell>
        </row>
        <row r="2751">
          <cell r="A2751" t="str">
            <v xml:space="preserve"> </v>
          </cell>
        </row>
        <row r="2752">
          <cell r="A2752" t="str">
            <v xml:space="preserve"> </v>
          </cell>
        </row>
        <row r="2753">
          <cell r="A2753" t="str">
            <v xml:space="preserve"> </v>
          </cell>
        </row>
        <row r="2754">
          <cell r="A2754" t="str">
            <v xml:space="preserve"> </v>
          </cell>
        </row>
        <row r="2755">
          <cell r="A2755" t="str">
            <v xml:space="preserve"> </v>
          </cell>
        </row>
        <row r="2756">
          <cell r="A2756" t="str">
            <v xml:space="preserve"> </v>
          </cell>
        </row>
        <row r="2757">
          <cell r="A2757" t="str">
            <v xml:space="preserve"> </v>
          </cell>
        </row>
        <row r="2758">
          <cell r="A2758" t="str">
            <v xml:space="preserve"> </v>
          </cell>
        </row>
        <row r="2759">
          <cell r="A2759" t="str">
            <v xml:space="preserve"> </v>
          </cell>
        </row>
        <row r="2760">
          <cell r="A2760" t="str">
            <v xml:space="preserve"> </v>
          </cell>
        </row>
        <row r="2761">
          <cell r="A2761" t="str">
            <v xml:space="preserve"> </v>
          </cell>
        </row>
        <row r="2762">
          <cell r="A2762" t="str">
            <v xml:space="preserve"> </v>
          </cell>
        </row>
        <row r="2763">
          <cell r="A2763" t="str">
            <v xml:space="preserve"> </v>
          </cell>
        </row>
        <row r="2764">
          <cell r="A2764" t="str">
            <v xml:space="preserve"> </v>
          </cell>
        </row>
        <row r="2765">
          <cell r="A2765" t="str">
            <v xml:space="preserve"> </v>
          </cell>
        </row>
        <row r="2766">
          <cell r="A2766" t="str">
            <v xml:space="preserve"> </v>
          </cell>
        </row>
        <row r="2767">
          <cell r="A2767" t="str">
            <v xml:space="preserve"> </v>
          </cell>
        </row>
        <row r="2768">
          <cell r="A2768" t="str">
            <v xml:space="preserve"> </v>
          </cell>
        </row>
        <row r="2769">
          <cell r="A2769" t="str">
            <v xml:space="preserve"> </v>
          </cell>
        </row>
        <row r="2770">
          <cell r="A2770" t="str">
            <v xml:space="preserve"> </v>
          </cell>
        </row>
        <row r="2771">
          <cell r="A2771" t="str">
            <v xml:space="preserve"> </v>
          </cell>
        </row>
        <row r="2772">
          <cell r="A2772" t="str">
            <v xml:space="preserve"> </v>
          </cell>
        </row>
        <row r="2773">
          <cell r="A2773" t="str">
            <v xml:space="preserve"> </v>
          </cell>
        </row>
        <row r="2774">
          <cell r="A2774" t="str">
            <v xml:space="preserve"> </v>
          </cell>
        </row>
        <row r="2775">
          <cell r="A2775" t="str">
            <v xml:space="preserve"> </v>
          </cell>
        </row>
        <row r="2776">
          <cell r="A2776" t="str">
            <v xml:space="preserve"> </v>
          </cell>
        </row>
        <row r="2777">
          <cell r="A2777" t="str">
            <v xml:space="preserve"> </v>
          </cell>
        </row>
        <row r="2778">
          <cell r="A2778" t="str">
            <v xml:space="preserve"> </v>
          </cell>
        </row>
        <row r="2779">
          <cell r="A2779" t="str">
            <v xml:space="preserve"> </v>
          </cell>
        </row>
        <row r="2780">
          <cell r="A2780" t="str">
            <v xml:space="preserve"> </v>
          </cell>
        </row>
        <row r="2781">
          <cell r="A2781" t="str">
            <v xml:space="preserve"> </v>
          </cell>
        </row>
        <row r="2782">
          <cell r="A2782" t="str">
            <v xml:space="preserve"> </v>
          </cell>
        </row>
        <row r="2783">
          <cell r="A2783" t="str">
            <v xml:space="preserve"> </v>
          </cell>
        </row>
        <row r="2784">
          <cell r="A2784" t="str">
            <v xml:space="preserve"> </v>
          </cell>
        </row>
        <row r="2785">
          <cell r="A2785" t="str">
            <v xml:space="preserve"> </v>
          </cell>
        </row>
        <row r="2786">
          <cell r="A2786" t="str">
            <v xml:space="preserve"> </v>
          </cell>
        </row>
        <row r="2787">
          <cell r="A2787" t="str">
            <v xml:space="preserve"> </v>
          </cell>
        </row>
        <row r="2788">
          <cell r="A2788" t="str">
            <v xml:space="preserve"> </v>
          </cell>
        </row>
        <row r="2789">
          <cell r="A2789" t="str">
            <v xml:space="preserve"> </v>
          </cell>
        </row>
        <row r="2790">
          <cell r="A2790" t="str">
            <v xml:space="preserve"> </v>
          </cell>
        </row>
        <row r="2791">
          <cell r="A2791" t="str">
            <v xml:space="preserve"> </v>
          </cell>
        </row>
        <row r="2792">
          <cell r="A2792" t="str">
            <v xml:space="preserve"> </v>
          </cell>
        </row>
        <row r="2793">
          <cell r="A2793" t="str">
            <v xml:space="preserve"> </v>
          </cell>
        </row>
        <row r="2794">
          <cell r="A2794" t="str">
            <v xml:space="preserve"> </v>
          </cell>
        </row>
        <row r="2795">
          <cell r="A2795" t="str">
            <v xml:space="preserve"> </v>
          </cell>
        </row>
        <row r="2796">
          <cell r="A2796" t="str">
            <v xml:space="preserve"> </v>
          </cell>
        </row>
        <row r="2797">
          <cell r="A2797" t="str">
            <v xml:space="preserve"> </v>
          </cell>
        </row>
        <row r="2798">
          <cell r="A2798" t="str">
            <v xml:space="preserve"> </v>
          </cell>
        </row>
        <row r="2799">
          <cell r="A2799" t="str">
            <v xml:space="preserve"> </v>
          </cell>
        </row>
        <row r="2800">
          <cell r="A2800" t="str">
            <v xml:space="preserve"> </v>
          </cell>
        </row>
        <row r="2801">
          <cell r="A2801" t="str">
            <v xml:space="preserve"> </v>
          </cell>
        </row>
        <row r="2802">
          <cell r="A2802" t="str">
            <v xml:space="preserve"> </v>
          </cell>
        </row>
        <row r="2803">
          <cell r="A2803" t="str">
            <v xml:space="preserve"> </v>
          </cell>
        </row>
        <row r="2804">
          <cell r="A2804" t="str">
            <v xml:space="preserve"> </v>
          </cell>
        </row>
        <row r="2805">
          <cell r="A2805" t="str">
            <v xml:space="preserve"> </v>
          </cell>
        </row>
        <row r="2806">
          <cell r="A2806" t="str">
            <v xml:space="preserve"> </v>
          </cell>
        </row>
        <row r="2807">
          <cell r="A2807" t="str">
            <v xml:space="preserve"> </v>
          </cell>
        </row>
        <row r="2808">
          <cell r="A2808" t="str">
            <v xml:space="preserve"> </v>
          </cell>
        </row>
        <row r="2809">
          <cell r="A2809" t="str">
            <v xml:space="preserve"> </v>
          </cell>
        </row>
        <row r="2810">
          <cell r="A2810" t="str">
            <v xml:space="preserve"> </v>
          </cell>
        </row>
        <row r="2811">
          <cell r="A2811" t="str">
            <v xml:space="preserve"> </v>
          </cell>
        </row>
        <row r="2812">
          <cell r="A2812" t="str">
            <v xml:space="preserve"> </v>
          </cell>
        </row>
        <row r="2813">
          <cell r="A2813" t="str">
            <v xml:space="preserve"> </v>
          </cell>
        </row>
        <row r="2814">
          <cell r="A2814" t="str">
            <v xml:space="preserve"> </v>
          </cell>
        </row>
        <row r="2815">
          <cell r="A2815" t="str">
            <v xml:space="preserve"> </v>
          </cell>
        </row>
        <row r="2816">
          <cell r="A2816" t="str">
            <v xml:space="preserve"> </v>
          </cell>
        </row>
        <row r="2817">
          <cell r="A2817" t="str">
            <v xml:space="preserve"> </v>
          </cell>
        </row>
        <row r="2818">
          <cell r="A2818" t="str">
            <v xml:space="preserve"> </v>
          </cell>
        </row>
        <row r="2819">
          <cell r="A2819" t="str">
            <v xml:space="preserve"> </v>
          </cell>
        </row>
        <row r="2820">
          <cell r="A2820" t="str">
            <v xml:space="preserve"> </v>
          </cell>
        </row>
        <row r="2821">
          <cell r="A2821" t="str">
            <v xml:space="preserve"> </v>
          </cell>
        </row>
        <row r="2822">
          <cell r="A2822" t="str">
            <v xml:space="preserve"> </v>
          </cell>
        </row>
        <row r="2823">
          <cell r="A2823" t="str">
            <v xml:space="preserve"> </v>
          </cell>
        </row>
        <row r="2824">
          <cell r="A2824" t="str">
            <v xml:space="preserve"> </v>
          </cell>
        </row>
        <row r="2825">
          <cell r="A2825" t="str">
            <v xml:space="preserve"> </v>
          </cell>
        </row>
        <row r="2826">
          <cell r="A2826" t="str">
            <v xml:space="preserve"> </v>
          </cell>
        </row>
        <row r="2827">
          <cell r="A2827" t="str">
            <v xml:space="preserve"> </v>
          </cell>
        </row>
        <row r="2828">
          <cell r="A2828" t="str">
            <v xml:space="preserve"> </v>
          </cell>
        </row>
        <row r="2829">
          <cell r="A2829" t="str">
            <v xml:space="preserve"> </v>
          </cell>
        </row>
        <row r="2830">
          <cell r="A2830" t="str">
            <v xml:space="preserve"> </v>
          </cell>
        </row>
        <row r="2831">
          <cell r="A2831" t="str">
            <v xml:space="preserve"> </v>
          </cell>
        </row>
        <row r="2832">
          <cell r="A2832" t="str">
            <v xml:space="preserve"> </v>
          </cell>
        </row>
        <row r="2833">
          <cell r="A2833" t="str">
            <v xml:space="preserve"> </v>
          </cell>
        </row>
        <row r="2834">
          <cell r="A2834" t="str">
            <v xml:space="preserve"> </v>
          </cell>
        </row>
        <row r="2835">
          <cell r="A2835" t="str">
            <v xml:space="preserve"> </v>
          </cell>
        </row>
        <row r="2836">
          <cell r="A2836" t="str">
            <v xml:space="preserve"> </v>
          </cell>
        </row>
        <row r="2837">
          <cell r="A2837" t="str">
            <v xml:space="preserve"> </v>
          </cell>
        </row>
        <row r="2838">
          <cell r="A2838" t="str">
            <v xml:space="preserve"> </v>
          </cell>
        </row>
        <row r="2839">
          <cell r="A2839" t="str">
            <v xml:space="preserve"> </v>
          </cell>
        </row>
        <row r="2840">
          <cell r="A2840" t="str">
            <v xml:space="preserve"> </v>
          </cell>
        </row>
        <row r="2841">
          <cell r="A2841" t="str">
            <v xml:space="preserve"> </v>
          </cell>
        </row>
        <row r="2842">
          <cell r="A2842" t="str">
            <v xml:space="preserve"> </v>
          </cell>
        </row>
        <row r="2843">
          <cell r="A2843" t="str">
            <v xml:space="preserve"> </v>
          </cell>
        </row>
        <row r="2844">
          <cell r="A2844" t="str">
            <v xml:space="preserve"> </v>
          </cell>
        </row>
        <row r="2845">
          <cell r="A2845" t="str">
            <v xml:space="preserve"> </v>
          </cell>
        </row>
        <row r="2846">
          <cell r="A2846" t="str">
            <v xml:space="preserve"> </v>
          </cell>
        </row>
        <row r="2847">
          <cell r="A2847" t="str">
            <v xml:space="preserve"> </v>
          </cell>
        </row>
        <row r="2848">
          <cell r="A2848" t="str">
            <v xml:space="preserve"> </v>
          </cell>
        </row>
        <row r="2849">
          <cell r="A2849" t="str">
            <v xml:space="preserve"> </v>
          </cell>
        </row>
        <row r="2850">
          <cell r="A2850" t="str">
            <v xml:space="preserve"> </v>
          </cell>
        </row>
        <row r="2851">
          <cell r="A2851" t="str">
            <v xml:space="preserve"> </v>
          </cell>
        </row>
        <row r="2852">
          <cell r="A2852" t="str">
            <v xml:space="preserve"> </v>
          </cell>
        </row>
        <row r="2853">
          <cell r="A2853" t="str">
            <v xml:space="preserve"> </v>
          </cell>
        </row>
        <row r="2854">
          <cell r="A2854" t="str">
            <v xml:space="preserve"> </v>
          </cell>
        </row>
        <row r="2855">
          <cell r="A2855" t="str">
            <v xml:space="preserve"> </v>
          </cell>
        </row>
        <row r="2856">
          <cell r="A2856" t="str">
            <v xml:space="preserve"> </v>
          </cell>
        </row>
        <row r="2857">
          <cell r="A2857" t="str">
            <v xml:space="preserve"> </v>
          </cell>
        </row>
        <row r="2858">
          <cell r="A2858" t="str">
            <v xml:space="preserve"> </v>
          </cell>
        </row>
        <row r="2859">
          <cell r="A2859" t="str">
            <v xml:space="preserve"> </v>
          </cell>
        </row>
        <row r="2860">
          <cell r="A2860" t="str">
            <v xml:space="preserve"> </v>
          </cell>
        </row>
        <row r="2861">
          <cell r="A2861" t="str">
            <v xml:space="preserve"> </v>
          </cell>
        </row>
        <row r="2862">
          <cell r="A2862" t="str">
            <v xml:space="preserve"> </v>
          </cell>
        </row>
        <row r="2863">
          <cell r="A2863" t="str">
            <v xml:space="preserve"> </v>
          </cell>
        </row>
        <row r="2864">
          <cell r="A2864" t="str">
            <v xml:space="preserve"> </v>
          </cell>
        </row>
        <row r="2865">
          <cell r="A2865" t="str">
            <v xml:space="preserve"> </v>
          </cell>
        </row>
        <row r="2866">
          <cell r="A2866" t="str">
            <v xml:space="preserve"> </v>
          </cell>
        </row>
        <row r="2867">
          <cell r="A2867" t="str">
            <v xml:space="preserve"> </v>
          </cell>
        </row>
        <row r="2868">
          <cell r="A2868" t="str">
            <v xml:space="preserve"> </v>
          </cell>
        </row>
        <row r="2869">
          <cell r="A2869" t="str">
            <v xml:space="preserve"> </v>
          </cell>
        </row>
        <row r="2870">
          <cell r="A2870" t="str">
            <v xml:space="preserve"> </v>
          </cell>
        </row>
        <row r="2871">
          <cell r="A2871" t="str">
            <v xml:space="preserve"> </v>
          </cell>
        </row>
        <row r="2872">
          <cell r="A2872" t="str">
            <v xml:space="preserve"> </v>
          </cell>
        </row>
        <row r="2873">
          <cell r="A2873" t="str">
            <v xml:space="preserve"> </v>
          </cell>
        </row>
        <row r="2874">
          <cell r="A2874" t="str">
            <v xml:space="preserve"> </v>
          </cell>
        </row>
        <row r="2875">
          <cell r="A2875" t="str">
            <v xml:space="preserve"> </v>
          </cell>
        </row>
        <row r="2876">
          <cell r="A2876" t="str">
            <v xml:space="preserve"> </v>
          </cell>
        </row>
        <row r="2877">
          <cell r="A2877" t="str">
            <v xml:space="preserve"> </v>
          </cell>
        </row>
        <row r="2878">
          <cell r="A2878" t="str">
            <v xml:space="preserve"> </v>
          </cell>
        </row>
        <row r="2879">
          <cell r="A2879" t="str">
            <v xml:space="preserve"> </v>
          </cell>
        </row>
        <row r="2880">
          <cell r="A2880" t="str">
            <v xml:space="preserve"> </v>
          </cell>
        </row>
        <row r="2881">
          <cell r="A2881" t="str">
            <v xml:space="preserve"> </v>
          </cell>
        </row>
        <row r="2882">
          <cell r="A2882" t="str">
            <v xml:space="preserve"> </v>
          </cell>
        </row>
        <row r="2883">
          <cell r="A2883" t="str">
            <v xml:space="preserve"> </v>
          </cell>
        </row>
        <row r="2884">
          <cell r="A2884" t="str">
            <v xml:space="preserve"> </v>
          </cell>
        </row>
        <row r="2885">
          <cell r="A2885" t="str">
            <v xml:space="preserve"> </v>
          </cell>
        </row>
        <row r="2886">
          <cell r="A2886" t="str">
            <v xml:space="preserve"> </v>
          </cell>
        </row>
        <row r="2887">
          <cell r="A2887" t="str">
            <v xml:space="preserve"> </v>
          </cell>
        </row>
        <row r="2888">
          <cell r="A2888" t="str">
            <v xml:space="preserve"> </v>
          </cell>
        </row>
        <row r="2889">
          <cell r="A2889" t="str">
            <v xml:space="preserve"> </v>
          </cell>
        </row>
        <row r="2890">
          <cell r="A2890" t="str">
            <v xml:space="preserve"> </v>
          </cell>
        </row>
        <row r="2891">
          <cell r="A2891" t="str">
            <v xml:space="preserve"> </v>
          </cell>
        </row>
        <row r="2892">
          <cell r="A2892" t="str">
            <v xml:space="preserve"> </v>
          </cell>
        </row>
        <row r="2893">
          <cell r="A2893" t="str">
            <v xml:space="preserve"> </v>
          </cell>
        </row>
        <row r="2894">
          <cell r="A2894" t="str">
            <v xml:space="preserve"> </v>
          </cell>
        </row>
        <row r="2895">
          <cell r="A2895" t="str">
            <v xml:space="preserve"> </v>
          </cell>
        </row>
        <row r="2896">
          <cell r="A2896" t="str">
            <v xml:space="preserve"> </v>
          </cell>
        </row>
        <row r="2897">
          <cell r="A2897" t="str">
            <v xml:space="preserve"> </v>
          </cell>
        </row>
        <row r="2898">
          <cell r="A2898" t="str">
            <v xml:space="preserve"> </v>
          </cell>
        </row>
        <row r="2899">
          <cell r="A2899" t="str">
            <v xml:space="preserve"> </v>
          </cell>
        </row>
        <row r="2900">
          <cell r="A2900" t="str">
            <v xml:space="preserve"> </v>
          </cell>
        </row>
        <row r="2901">
          <cell r="A2901" t="str">
            <v xml:space="preserve"> </v>
          </cell>
        </row>
        <row r="2902">
          <cell r="A2902" t="str">
            <v xml:space="preserve"> </v>
          </cell>
        </row>
        <row r="2903">
          <cell r="A2903" t="str">
            <v xml:space="preserve"> </v>
          </cell>
        </row>
        <row r="2904">
          <cell r="A2904" t="str">
            <v xml:space="preserve"> </v>
          </cell>
        </row>
        <row r="2905">
          <cell r="A2905" t="str">
            <v xml:space="preserve"> </v>
          </cell>
        </row>
        <row r="2906">
          <cell r="A2906" t="str">
            <v xml:space="preserve"> </v>
          </cell>
        </row>
        <row r="2907">
          <cell r="A2907" t="str">
            <v xml:space="preserve"> </v>
          </cell>
        </row>
        <row r="2908">
          <cell r="A2908" t="str">
            <v xml:space="preserve"> </v>
          </cell>
        </row>
        <row r="2909">
          <cell r="A2909" t="str">
            <v xml:space="preserve"> </v>
          </cell>
        </row>
        <row r="2910">
          <cell r="A2910" t="str">
            <v xml:space="preserve"> </v>
          </cell>
        </row>
        <row r="2911">
          <cell r="A2911" t="str">
            <v xml:space="preserve"> </v>
          </cell>
        </row>
        <row r="2912">
          <cell r="A2912" t="str">
            <v xml:space="preserve"> </v>
          </cell>
        </row>
        <row r="2913">
          <cell r="A2913" t="str">
            <v xml:space="preserve"> </v>
          </cell>
        </row>
        <row r="2914">
          <cell r="A2914" t="str">
            <v xml:space="preserve"> </v>
          </cell>
        </row>
        <row r="2915">
          <cell r="A2915" t="str">
            <v xml:space="preserve"> </v>
          </cell>
        </row>
        <row r="2916">
          <cell r="A2916" t="str">
            <v xml:space="preserve"> </v>
          </cell>
        </row>
        <row r="2917">
          <cell r="A2917" t="str">
            <v xml:space="preserve"> </v>
          </cell>
        </row>
        <row r="2918">
          <cell r="A2918" t="str">
            <v xml:space="preserve"> </v>
          </cell>
        </row>
        <row r="2919">
          <cell r="A2919" t="str">
            <v xml:space="preserve"> </v>
          </cell>
        </row>
        <row r="2920">
          <cell r="A2920" t="str">
            <v xml:space="preserve"> </v>
          </cell>
        </row>
        <row r="2921">
          <cell r="A2921" t="str">
            <v xml:space="preserve"> </v>
          </cell>
        </row>
        <row r="2922">
          <cell r="A2922" t="str">
            <v xml:space="preserve"> </v>
          </cell>
        </row>
        <row r="2923">
          <cell r="A2923" t="str">
            <v xml:space="preserve"> </v>
          </cell>
        </row>
        <row r="2924">
          <cell r="A2924" t="str">
            <v xml:space="preserve"> </v>
          </cell>
        </row>
        <row r="2925">
          <cell r="A2925" t="str">
            <v xml:space="preserve"> </v>
          </cell>
        </row>
        <row r="2926">
          <cell r="A2926" t="str">
            <v xml:space="preserve"> </v>
          </cell>
        </row>
        <row r="2927">
          <cell r="A2927" t="str">
            <v xml:space="preserve"> </v>
          </cell>
        </row>
        <row r="2928">
          <cell r="A2928" t="str">
            <v xml:space="preserve"> </v>
          </cell>
        </row>
        <row r="2929">
          <cell r="A2929" t="str">
            <v xml:space="preserve"> </v>
          </cell>
        </row>
        <row r="2930">
          <cell r="A2930" t="str">
            <v xml:space="preserve"> </v>
          </cell>
        </row>
        <row r="2931">
          <cell r="A2931" t="str">
            <v xml:space="preserve"> </v>
          </cell>
        </row>
        <row r="2932">
          <cell r="A2932" t="str">
            <v xml:space="preserve"> </v>
          </cell>
        </row>
        <row r="2933">
          <cell r="A2933" t="str">
            <v xml:space="preserve"> </v>
          </cell>
        </row>
        <row r="2934">
          <cell r="A2934" t="str">
            <v xml:space="preserve"> </v>
          </cell>
        </row>
        <row r="2935">
          <cell r="A2935" t="str">
            <v xml:space="preserve"> </v>
          </cell>
        </row>
        <row r="2936">
          <cell r="A2936" t="str">
            <v xml:space="preserve"> </v>
          </cell>
        </row>
        <row r="2937">
          <cell r="A2937" t="str">
            <v xml:space="preserve"> </v>
          </cell>
        </row>
        <row r="2938">
          <cell r="A2938" t="str">
            <v xml:space="preserve"> </v>
          </cell>
        </row>
        <row r="2939">
          <cell r="A2939" t="str">
            <v xml:space="preserve"> </v>
          </cell>
        </row>
        <row r="2940">
          <cell r="A2940" t="str">
            <v xml:space="preserve"> </v>
          </cell>
        </row>
        <row r="2941">
          <cell r="A2941" t="str">
            <v xml:space="preserve"> </v>
          </cell>
        </row>
        <row r="2942">
          <cell r="A2942" t="str">
            <v xml:space="preserve"> </v>
          </cell>
        </row>
        <row r="2943">
          <cell r="A2943" t="str">
            <v xml:space="preserve"> </v>
          </cell>
        </row>
        <row r="2944">
          <cell r="A2944" t="str">
            <v xml:space="preserve"> </v>
          </cell>
        </row>
        <row r="2945">
          <cell r="A2945" t="str">
            <v xml:space="preserve"> </v>
          </cell>
        </row>
        <row r="2946">
          <cell r="A2946" t="str">
            <v xml:space="preserve"> </v>
          </cell>
        </row>
        <row r="2947">
          <cell r="A2947" t="str">
            <v xml:space="preserve"> </v>
          </cell>
        </row>
        <row r="2948">
          <cell r="A2948" t="str">
            <v xml:space="preserve"> </v>
          </cell>
        </row>
        <row r="2949">
          <cell r="A2949" t="str">
            <v xml:space="preserve"> </v>
          </cell>
        </row>
        <row r="2950">
          <cell r="A2950" t="str">
            <v xml:space="preserve"> </v>
          </cell>
        </row>
        <row r="2951">
          <cell r="A2951" t="str">
            <v xml:space="preserve"> </v>
          </cell>
        </row>
        <row r="2952">
          <cell r="A2952" t="str">
            <v xml:space="preserve"> </v>
          </cell>
        </row>
        <row r="2953">
          <cell r="A2953" t="str">
            <v xml:space="preserve"> </v>
          </cell>
        </row>
        <row r="2954">
          <cell r="A2954" t="str">
            <v xml:space="preserve"> </v>
          </cell>
        </row>
        <row r="2955">
          <cell r="A2955" t="str">
            <v xml:space="preserve"> </v>
          </cell>
        </row>
        <row r="2956">
          <cell r="A2956" t="str">
            <v xml:space="preserve"> </v>
          </cell>
        </row>
        <row r="2957">
          <cell r="A2957" t="str">
            <v xml:space="preserve"> </v>
          </cell>
        </row>
        <row r="2958">
          <cell r="A2958" t="str">
            <v xml:space="preserve"> </v>
          </cell>
        </row>
        <row r="2959">
          <cell r="A2959" t="str">
            <v xml:space="preserve"> </v>
          </cell>
        </row>
        <row r="2960">
          <cell r="A2960" t="str">
            <v xml:space="preserve"> </v>
          </cell>
        </row>
        <row r="2961">
          <cell r="A2961" t="str">
            <v xml:space="preserve"> </v>
          </cell>
        </row>
        <row r="2962">
          <cell r="A2962" t="str">
            <v xml:space="preserve"> </v>
          </cell>
        </row>
        <row r="2963">
          <cell r="A2963" t="str">
            <v xml:space="preserve"> </v>
          </cell>
        </row>
        <row r="2964">
          <cell r="A2964" t="str">
            <v xml:space="preserve"> </v>
          </cell>
        </row>
        <row r="2965">
          <cell r="A2965" t="str">
            <v xml:space="preserve"> </v>
          </cell>
        </row>
        <row r="2966">
          <cell r="A2966" t="str">
            <v xml:space="preserve"> </v>
          </cell>
        </row>
        <row r="2967">
          <cell r="A2967" t="str">
            <v xml:space="preserve"> </v>
          </cell>
        </row>
        <row r="2968">
          <cell r="A2968" t="str">
            <v xml:space="preserve"> </v>
          </cell>
        </row>
        <row r="2969">
          <cell r="A2969" t="str">
            <v xml:space="preserve"> </v>
          </cell>
        </row>
        <row r="2970">
          <cell r="A2970" t="str">
            <v xml:space="preserve"> </v>
          </cell>
        </row>
        <row r="2971">
          <cell r="A2971" t="str">
            <v xml:space="preserve"> </v>
          </cell>
        </row>
        <row r="2972">
          <cell r="A2972" t="str">
            <v xml:space="preserve"> </v>
          </cell>
        </row>
        <row r="2973">
          <cell r="A2973" t="str">
            <v xml:space="preserve"> </v>
          </cell>
        </row>
        <row r="2974">
          <cell r="A2974" t="str">
            <v xml:space="preserve"> </v>
          </cell>
        </row>
        <row r="2975">
          <cell r="A2975" t="str">
            <v xml:space="preserve"> </v>
          </cell>
        </row>
        <row r="2976">
          <cell r="A2976" t="str">
            <v xml:space="preserve"> </v>
          </cell>
        </row>
        <row r="2977">
          <cell r="A2977" t="str">
            <v xml:space="preserve"> </v>
          </cell>
        </row>
        <row r="2978">
          <cell r="A2978" t="str">
            <v xml:space="preserve"> </v>
          </cell>
        </row>
        <row r="2979">
          <cell r="A2979" t="str">
            <v xml:space="preserve"> </v>
          </cell>
        </row>
        <row r="2980">
          <cell r="A2980" t="str">
            <v xml:space="preserve"> </v>
          </cell>
        </row>
        <row r="2981">
          <cell r="A2981" t="str">
            <v xml:space="preserve"> </v>
          </cell>
        </row>
        <row r="2982">
          <cell r="A2982" t="str">
            <v xml:space="preserve"> </v>
          </cell>
        </row>
        <row r="2983">
          <cell r="A2983" t="str">
            <v xml:space="preserve"> </v>
          </cell>
        </row>
        <row r="2984">
          <cell r="A2984" t="str">
            <v xml:space="preserve"> </v>
          </cell>
        </row>
        <row r="2985">
          <cell r="A2985" t="str">
            <v xml:space="preserve"> </v>
          </cell>
        </row>
        <row r="2986">
          <cell r="A2986" t="str">
            <v xml:space="preserve"> </v>
          </cell>
        </row>
        <row r="2987">
          <cell r="A2987" t="str">
            <v xml:space="preserve"> </v>
          </cell>
        </row>
        <row r="2988">
          <cell r="A2988" t="str">
            <v xml:space="preserve"> </v>
          </cell>
        </row>
        <row r="2989">
          <cell r="A2989" t="str">
            <v xml:space="preserve"> </v>
          </cell>
        </row>
        <row r="2990">
          <cell r="A2990" t="str">
            <v xml:space="preserve"> </v>
          </cell>
        </row>
        <row r="2991">
          <cell r="A2991" t="str">
            <v xml:space="preserve"> </v>
          </cell>
        </row>
        <row r="2992">
          <cell r="A2992" t="str">
            <v xml:space="preserve"> </v>
          </cell>
        </row>
        <row r="2993">
          <cell r="A2993" t="str">
            <v xml:space="preserve"> </v>
          </cell>
        </row>
        <row r="2994">
          <cell r="A2994" t="str">
            <v xml:space="preserve"> </v>
          </cell>
        </row>
        <row r="2995">
          <cell r="A2995" t="str">
            <v xml:space="preserve"> </v>
          </cell>
        </row>
        <row r="2996">
          <cell r="A2996" t="str">
            <v xml:space="preserve"> </v>
          </cell>
        </row>
        <row r="2997">
          <cell r="A2997" t="str">
            <v xml:space="preserve"> </v>
          </cell>
        </row>
        <row r="2998">
          <cell r="A2998" t="str">
            <v xml:space="preserve"> </v>
          </cell>
        </row>
        <row r="2999">
          <cell r="A2999" t="str">
            <v xml:space="preserve"> </v>
          </cell>
        </row>
        <row r="3000">
          <cell r="A3000" t="str">
            <v xml:space="preserve"> </v>
          </cell>
        </row>
        <row r="3001">
          <cell r="A3001" t="str">
            <v xml:space="preserve"> </v>
          </cell>
        </row>
        <row r="3002">
          <cell r="A3002" t="str">
            <v xml:space="preserve"> </v>
          </cell>
        </row>
        <row r="3003">
          <cell r="A3003" t="str">
            <v xml:space="preserve"> </v>
          </cell>
        </row>
        <row r="3004">
          <cell r="A3004" t="str">
            <v xml:space="preserve"> </v>
          </cell>
        </row>
        <row r="3005">
          <cell r="A3005" t="str">
            <v xml:space="preserve"> </v>
          </cell>
        </row>
        <row r="3006">
          <cell r="A3006" t="str">
            <v xml:space="preserve"> </v>
          </cell>
        </row>
        <row r="3007">
          <cell r="A3007" t="str">
            <v xml:space="preserve"> </v>
          </cell>
        </row>
        <row r="3008">
          <cell r="A3008" t="str">
            <v xml:space="preserve"> </v>
          </cell>
        </row>
        <row r="3009">
          <cell r="A3009" t="str">
            <v xml:space="preserve"> </v>
          </cell>
        </row>
        <row r="3010">
          <cell r="A3010" t="str">
            <v xml:space="preserve"> </v>
          </cell>
        </row>
        <row r="3011">
          <cell r="A3011" t="str">
            <v xml:space="preserve"> </v>
          </cell>
        </row>
        <row r="3012">
          <cell r="A3012" t="str">
            <v xml:space="preserve"> </v>
          </cell>
        </row>
        <row r="3013">
          <cell r="A3013" t="str">
            <v xml:space="preserve"> </v>
          </cell>
        </row>
        <row r="3014">
          <cell r="A3014" t="str">
            <v xml:space="preserve"> </v>
          </cell>
        </row>
        <row r="3015">
          <cell r="A3015" t="str">
            <v xml:space="preserve"> </v>
          </cell>
        </row>
        <row r="3016">
          <cell r="A3016" t="str">
            <v xml:space="preserve"> </v>
          </cell>
        </row>
        <row r="3017">
          <cell r="A3017" t="str">
            <v xml:space="preserve"> </v>
          </cell>
        </row>
        <row r="3018">
          <cell r="A3018" t="str">
            <v xml:space="preserve"> </v>
          </cell>
        </row>
        <row r="3019">
          <cell r="A3019" t="str">
            <v xml:space="preserve"> </v>
          </cell>
        </row>
        <row r="3020">
          <cell r="A3020" t="str">
            <v xml:space="preserve"> </v>
          </cell>
        </row>
        <row r="3021">
          <cell r="A3021" t="str">
            <v xml:space="preserve"> </v>
          </cell>
        </row>
        <row r="3022">
          <cell r="A3022" t="str">
            <v xml:space="preserve"> </v>
          </cell>
        </row>
        <row r="3023">
          <cell r="A3023" t="str">
            <v xml:space="preserve"> </v>
          </cell>
        </row>
        <row r="3024">
          <cell r="A3024" t="str">
            <v xml:space="preserve"> </v>
          </cell>
        </row>
        <row r="3025">
          <cell r="A3025" t="str">
            <v xml:space="preserve"> </v>
          </cell>
        </row>
        <row r="3026">
          <cell r="A3026" t="str">
            <v xml:space="preserve"> </v>
          </cell>
        </row>
        <row r="3027">
          <cell r="A3027" t="str">
            <v xml:space="preserve"> </v>
          </cell>
        </row>
        <row r="3028">
          <cell r="A3028" t="str">
            <v xml:space="preserve"> </v>
          </cell>
        </row>
        <row r="3029">
          <cell r="A3029" t="str">
            <v xml:space="preserve"> </v>
          </cell>
        </row>
        <row r="3030">
          <cell r="A3030" t="str">
            <v xml:space="preserve"> </v>
          </cell>
        </row>
        <row r="3031">
          <cell r="A3031" t="str">
            <v xml:space="preserve"> </v>
          </cell>
        </row>
        <row r="3032">
          <cell r="A3032" t="str">
            <v xml:space="preserve"> </v>
          </cell>
        </row>
        <row r="3033">
          <cell r="A3033" t="str">
            <v xml:space="preserve"> </v>
          </cell>
        </row>
        <row r="3034">
          <cell r="A3034" t="str">
            <v xml:space="preserve"> </v>
          </cell>
        </row>
        <row r="3035">
          <cell r="A3035" t="str">
            <v xml:space="preserve"> </v>
          </cell>
        </row>
        <row r="3036">
          <cell r="A3036" t="str">
            <v xml:space="preserve"> </v>
          </cell>
        </row>
        <row r="3037">
          <cell r="A3037" t="str">
            <v xml:space="preserve"> </v>
          </cell>
        </row>
        <row r="3038">
          <cell r="A3038" t="str">
            <v xml:space="preserve"> </v>
          </cell>
        </row>
        <row r="3039">
          <cell r="A3039" t="str">
            <v xml:space="preserve"> </v>
          </cell>
        </row>
        <row r="3040">
          <cell r="A3040" t="str">
            <v xml:space="preserve"> </v>
          </cell>
        </row>
        <row r="3041">
          <cell r="A3041" t="str">
            <v xml:space="preserve"> </v>
          </cell>
        </row>
        <row r="3042">
          <cell r="A3042" t="str">
            <v xml:space="preserve"> </v>
          </cell>
        </row>
        <row r="3043">
          <cell r="A3043" t="str">
            <v xml:space="preserve"> </v>
          </cell>
        </row>
        <row r="3044">
          <cell r="A3044" t="str">
            <v xml:space="preserve"> </v>
          </cell>
        </row>
        <row r="3045">
          <cell r="A3045" t="str">
            <v xml:space="preserve"> </v>
          </cell>
        </row>
        <row r="3046">
          <cell r="A3046" t="str">
            <v xml:space="preserve"> </v>
          </cell>
        </row>
        <row r="3047">
          <cell r="A3047" t="str">
            <v xml:space="preserve"> </v>
          </cell>
        </row>
        <row r="3048">
          <cell r="A3048" t="str">
            <v xml:space="preserve"> </v>
          </cell>
        </row>
        <row r="3049">
          <cell r="A3049" t="str">
            <v xml:space="preserve"> </v>
          </cell>
        </row>
        <row r="3050">
          <cell r="A3050" t="str">
            <v xml:space="preserve"> </v>
          </cell>
        </row>
        <row r="3051">
          <cell r="A3051" t="str">
            <v xml:space="preserve"> </v>
          </cell>
        </row>
        <row r="3052">
          <cell r="A3052" t="str">
            <v xml:space="preserve"> </v>
          </cell>
        </row>
        <row r="3053">
          <cell r="A3053" t="str">
            <v xml:space="preserve"> </v>
          </cell>
        </row>
        <row r="3054">
          <cell r="A3054" t="str">
            <v xml:space="preserve"> </v>
          </cell>
        </row>
        <row r="3055">
          <cell r="A3055" t="str">
            <v xml:space="preserve"> </v>
          </cell>
        </row>
        <row r="3056">
          <cell r="A3056" t="str">
            <v xml:space="preserve"> </v>
          </cell>
        </row>
        <row r="3057">
          <cell r="A3057" t="str">
            <v xml:space="preserve"> </v>
          </cell>
        </row>
        <row r="3058">
          <cell r="A3058" t="str">
            <v xml:space="preserve"> </v>
          </cell>
        </row>
        <row r="3059">
          <cell r="A3059" t="str">
            <v xml:space="preserve"> </v>
          </cell>
        </row>
        <row r="3060">
          <cell r="A3060" t="str">
            <v xml:space="preserve"> </v>
          </cell>
        </row>
        <row r="3061">
          <cell r="A3061" t="str">
            <v xml:space="preserve"> </v>
          </cell>
        </row>
        <row r="3062">
          <cell r="A3062" t="str">
            <v xml:space="preserve"> </v>
          </cell>
        </row>
        <row r="3063">
          <cell r="A3063" t="str">
            <v xml:space="preserve"> </v>
          </cell>
        </row>
        <row r="3064">
          <cell r="A3064" t="str">
            <v xml:space="preserve"> </v>
          </cell>
        </row>
        <row r="3065">
          <cell r="A3065" t="str">
            <v xml:space="preserve"> </v>
          </cell>
        </row>
        <row r="3066">
          <cell r="A3066" t="str">
            <v xml:space="preserve"> </v>
          </cell>
        </row>
        <row r="3067">
          <cell r="A3067" t="str">
            <v xml:space="preserve"> </v>
          </cell>
        </row>
        <row r="3068">
          <cell r="A3068" t="str">
            <v xml:space="preserve"> </v>
          </cell>
        </row>
        <row r="3069">
          <cell r="A3069" t="str">
            <v xml:space="preserve"> </v>
          </cell>
        </row>
        <row r="3070">
          <cell r="A3070" t="str">
            <v xml:space="preserve"> </v>
          </cell>
        </row>
        <row r="3071">
          <cell r="A3071" t="str">
            <v xml:space="preserve"> </v>
          </cell>
        </row>
        <row r="3072">
          <cell r="A3072" t="str">
            <v xml:space="preserve"> </v>
          </cell>
        </row>
        <row r="3073">
          <cell r="A3073" t="str">
            <v xml:space="preserve"> </v>
          </cell>
        </row>
        <row r="3074">
          <cell r="A3074" t="str">
            <v xml:space="preserve"> </v>
          </cell>
        </row>
        <row r="3075">
          <cell r="A3075" t="str">
            <v xml:space="preserve"> </v>
          </cell>
        </row>
        <row r="3076">
          <cell r="A3076" t="str">
            <v xml:space="preserve"> </v>
          </cell>
        </row>
        <row r="3077">
          <cell r="A3077" t="str">
            <v xml:space="preserve"> </v>
          </cell>
        </row>
        <row r="3078">
          <cell r="A3078" t="str">
            <v xml:space="preserve"> </v>
          </cell>
        </row>
        <row r="3079">
          <cell r="A3079" t="str">
            <v xml:space="preserve"> </v>
          </cell>
        </row>
        <row r="3080">
          <cell r="A3080" t="str">
            <v xml:space="preserve"> </v>
          </cell>
        </row>
        <row r="3081">
          <cell r="A3081" t="str">
            <v xml:space="preserve"> </v>
          </cell>
        </row>
        <row r="3082">
          <cell r="A3082" t="str">
            <v xml:space="preserve"> </v>
          </cell>
        </row>
        <row r="3083">
          <cell r="A3083" t="str">
            <v xml:space="preserve"> </v>
          </cell>
        </row>
        <row r="3084">
          <cell r="A3084" t="str">
            <v xml:space="preserve"> </v>
          </cell>
        </row>
        <row r="3085">
          <cell r="A3085" t="str">
            <v xml:space="preserve"> </v>
          </cell>
        </row>
        <row r="3086">
          <cell r="A3086" t="str">
            <v xml:space="preserve"> </v>
          </cell>
        </row>
        <row r="3087">
          <cell r="A3087" t="str">
            <v xml:space="preserve"> </v>
          </cell>
        </row>
        <row r="3088">
          <cell r="A3088" t="str">
            <v xml:space="preserve"> </v>
          </cell>
        </row>
        <row r="3089">
          <cell r="A3089" t="str">
            <v xml:space="preserve"> </v>
          </cell>
        </row>
        <row r="3090">
          <cell r="A3090" t="str">
            <v xml:space="preserve"> </v>
          </cell>
        </row>
        <row r="3091">
          <cell r="A3091" t="str">
            <v xml:space="preserve"> </v>
          </cell>
        </row>
        <row r="3092">
          <cell r="A3092" t="str">
            <v xml:space="preserve"> </v>
          </cell>
        </row>
        <row r="3093">
          <cell r="A3093" t="str">
            <v xml:space="preserve"> </v>
          </cell>
        </row>
        <row r="3094">
          <cell r="A3094" t="str">
            <v xml:space="preserve"> </v>
          </cell>
        </row>
        <row r="3095">
          <cell r="A3095" t="str">
            <v xml:space="preserve"> </v>
          </cell>
        </row>
        <row r="3096">
          <cell r="A3096" t="str">
            <v xml:space="preserve"> </v>
          </cell>
        </row>
        <row r="3097">
          <cell r="A3097" t="str">
            <v xml:space="preserve"> </v>
          </cell>
        </row>
        <row r="3098">
          <cell r="A3098" t="str">
            <v xml:space="preserve"> </v>
          </cell>
        </row>
        <row r="3099">
          <cell r="A3099" t="str">
            <v xml:space="preserve"> </v>
          </cell>
        </row>
        <row r="3100">
          <cell r="A3100" t="str">
            <v xml:space="preserve"> </v>
          </cell>
        </row>
        <row r="3101">
          <cell r="A3101" t="str">
            <v xml:space="preserve"> </v>
          </cell>
        </row>
        <row r="3102">
          <cell r="A3102" t="str">
            <v xml:space="preserve"> </v>
          </cell>
        </row>
        <row r="3103">
          <cell r="A3103" t="str">
            <v xml:space="preserve"> </v>
          </cell>
        </row>
        <row r="3104">
          <cell r="A3104" t="str">
            <v xml:space="preserve"> </v>
          </cell>
        </row>
        <row r="3105">
          <cell r="A3105" t="str">
            <v xml:space="preserve"> </v>
          </cell>
        </row>
        <row r="3106">
          <cell r="A3106" t="str">
            <v xml:space="preserve"> </v>
          </cell>
        </row>
        <row r="3107">
          <cell r="A3107" t="str">
            <v xml:space="preserve"> </v>
          </cell>
        </row>
        <row r="3108">
          <cell r="A3108" t="str">
            <v xml:space="preserve"> </v>
          </cell>
        </row>
        <row r="3109">
          <cell r="A3109" t="str">
            <v xml:space="preserve"> </v>
          </cell>
        </row>
        <row r="3110">
          <cell r="A3110" t="str">
            <v xml:space="preserve"> </v>
          </cell>
        </row>
        <row r="3111">
          <cell r="A3111" t="str">
            <v xml:space="preserve"> </v>
          </cell>
        </row>
        <row r="3112">
          <cell r="A3112" t="str">
            <v xml:space="preserve"> </v>
          </cell>
        </row>
        <row r="3113">
          <cell r="A3113" t="str">
            <v xml:space="preserve"> </v>
          </cell>
        </row>
        <row r="3114">
          <cell r="A3114" t="str">
            <v xml:space="preserve"> </v>
          </cell>
        </row>
        <row r="3115">
          <cell r="A3115" t="str">
            <v xml:space="preserve"> </v>
          </cell>
        </row>
        <row r="3116">
          <cell r="A3116" t="str">
            <v xml:space="preserve"> </v>
          </cell>
        </row>
        <row r="3117">
          <cell r="A3117" t="str">
            <v xml:space="preserve"> </v>
          </cell>
        </row>
        <row r="3118">
          <cell r="A3118" t="str">
            <v xml:space="preserve"> </v>
          </cell>
        </row>
        <row r="3119">
          <cell r="A3119" t="str">
            <v xml:space="preserve"> </v>
          </cell>
        </row>
        <row r="3120">
          <cell r="A3120" t="str">
            <v xml:space="preserve"> </v>
          </cell>
        </row>
        <row r="3121">
          <cell r="A3121" t="str">
            <v xml:space="preserve"> </v>
          </cell>
        </row>
        <row r="3122">
          <cell r="A3122" t="str">
            <v xml:space="preserve"> </v>
          </cell>
        </row>
        <row r="3123">
          <cell r="A3123" t="str">
            <v xml:space="preserve"> </v>
          </cell>
        </row>
        <row r="3124">
          <cell r="A3124" t="str">
            <v xml:space="preserve"> </v>
          </cell>
        </row>
        <row r="3125">
          <cell r="A3125" t="str">
            <v xml:space="preserve"> </v>
          </cell>
        </row>
        <row r="3126">
          <cell r="A3126" t="str">
            <v xml:space="preserve"> </v>
          </cell>
        </row>
        <row r="3127">
          <cell r="A3127" t="str">
            <v xml:space="preserve"> </v>
          </cell>
        </row>
        <row r="3128">
          <cell r="A3128" t="str">
            <v xml:space="preserve"> </v>
          </cell>
        </row>
        <row r="3129">
          <cell r="A3129" t="str">
            <v xml:space="preserve"> </v>
          </cell>
        </row>
        <row r="3130">
          <cell r="A3130" t="str">
            <v xml:space="preserve"> </v>
          </cell>
        </row>
        <row r="3131">
          <cell r="A3131" t="str">
            <v xml:space="preserve"> </v>
          </cell>
        </row>
        <row r="3132">
          <cell r="A3132" t="str">
            <v xml:space="preserve"> </v>
          </cell>
        </row>
        <row r="3133">
          <cell r="A3133" t="str">
            <v xml:space="preserve"> </v>
          </cell>
        </row>
        <row r="3134">
          <cell r="A3134" t="str">
            <v xml:space="preserve"> </v>
          </cell>
        </row>
        <row r="3135">
          <cell r="A3135" t="str">
            <v xml:space="preserve"> </v>
          </cell>
        </row>
        <row r="3136">
          <cell r="A3136" t="str">
            <v xml:space="preserve"> </v>
          </cell>
        </row>
        <row r="3137">
          <cell r="A3137" t="str">
            <v xml:space="preserve"> </v>
          </cell>
        </row>
        <row r="3138">
          <cell r="A3138" t="str">
            <v xml:space="preserve"> </v>
          </cell>
        </row>
        <row r="3139">
          <cell r="A3139" t="str">
            <v xml:space="preserve"> </v>
          </cell>
        </row>
        <row r="3140">
          <cell r="A3140" t="str">
            <v xml:space="preserve"> </v>
          </cell>
        </row>
        <row r="3141">
          <cell r="A3141" t="str">
            <v xml:space="preserve"> </v>
          </cell>
        </row>
        <row r="3142">
          <cell r="A3142" t="str">
            <v xml:space="preserve"> </v>
          </cell>
        </row>
        <row r="3143">
          <cell r="A3143" t="str">
            <v xml:space="preserve"> </v>
          </cell>
        </row>
        <row r="3144">
          <cell r="A3144" t="str">
            <v xml:space="preserve"> </v>
          </cell>
        </row>
        <row r="3145">
          <cell r="A3145" t="str">
            <v xml:space="preserve"> </v>
          </cell>
        </row>
        <row r="3146">
          <cell r="A3146" t="str">
            <v xml:space="preserve"> </v>
          </cell>
        </row>
        <row r="3147">
          <cell r="A3147" t="str">
            <v xml:space="preserve"> </v>
          </cell>
        </row>
        <row r="3148">
          <cell r="A3148" t="str">
            <v xml:space="preserve"> </v>
          </cell>
        </row>
        <row r="3149">
          <cell r="A3149" t="str">
            <v xml:space="preserve"> </v>
          </cell>
        </row>
        <row r="3150">
          <cell r="A3150" t="str">
            <v xml:space="preserve"> </v>
          </cell>
        </row>
        <row r="3151">
          <cell r="A3151" t="str">
            <v xml:space="preserve"> </v>
          </cell>
        </row>
        <row r="3152">
          <cell r="A3152" t="str">
            <v xml:space="preserve"> </v>
          </cell>
        </row>
        <row r="3153">
          <cell r="A3153" t="str">
            <v xml:space="preserve"> </v>
          </cell>
        </row>
        <row r="3154">
          <cell r="A3154" t="str">
            <v xml:space="preserve"> </v>
          </cell>
        </row>
        <row r="3155">
          <cell r="A3155" t="str">
            <v xml:space="preserve"> </v>
          </cell>
        </row>
        <row r="3156">
          <cell r="A3156" t="str">
            <v xml:space="preserve"> </v>
          </cell>
        </row>
        <row r="3157">
          <cell r="A3157" t="str">
            <v xml:space="preserve"> </v>
          </cell>
        </row>
        <row r="3158">
          <cell r="A3158" t="str">
            <v xml:space="preserve"> </v>
          </cell>
        </row>
        <row r="3159">
          <cell r="A3159" t="str">
            <v xml:space="preserve"> </v>
          </cell>
        </row>
        <row r="3160">
          <cell r="A3160" t="str">
            <v xml:space="preserve"> </v>
          </cell>
        </row>
        <row r="3161">
          <cell r="A3161" t="str">
            <v xml:space="preserve"> </v>
          </cell>
        </row>
        <row r="3162">
          <cell r="A3162" t="str">
            <v xml:space="preserve"> </v>
          </cell>
        </row>
        <row r="3163">
          <cell r="A3163" t="str">
            <v xml:space="preserve"> </v>
          </cell>
        </row>
        <row r="3164">
          <cell r="A3164" t="str">
            <v xml:space="preserve"> </v>
          </cell>
        </row>
        <row r="3165">
          <cell r="A3165" t="str">
            <v xml:space="preserve"> </v>
          </cell>
        </row>
        <row r="3166">
          <cell r="A3166" t="str">
            <v xml:space="preserve"> </v>
          </cell>
        </row>
        <row r="3167">
          <cell r="A3167" t="str">
            <v xml:space="preserve"> </v>
          </cell>
        </row>
        <row r="3168">
          <cell r="A3168" t="str">
            <v xml:space="preserve"> </v>
          </cell>
        </row>
        <row r="3169">
          <cell r="A3169" t="str">
            <v xml:space="preserve"> </v>
          </cell>
        </row>
        <row r="3170">
          <cell r="A3170" t="str">
            <v xml:space="preserve"> </v>
          </cell>
        </row>
        <row r="3171">
          <cell r="A3171" t="str">
            <v xml:space="preserve"> </v>
          </cell>
        </row>
        <row r="3172">
          <cell r="A3172" t="str">
            <v xml:space="preserve"> </v>
          </cell>
        </row>
        <row r="3173">
          <cell r="A3173" t="str">
            <v xml:space="preserve"> </v>
          </cell>
        </row>
        <row r="3174">
          <cell r="A3174" t="str">
            <v xml:space="preserve"> </v>
          </cell>
        </row>
        <row r="3175">
          <cell r="A3175" t="str">
            <v xml:space="preserve"> </v>
          </cell>
        </row>
        <row r="3176">
          <cell r="A3176" t="str">
            <v xml:space="preserve"> </v>
          </cell>
        </row>
        <row r="3177">
          <cell r="A3177" t="str">
            <v xml:space="preserve"> </v>
          </cell>
        </row>
        <row r="3178">
          <cell r="A3178" t="str">
            <v xml:space="preserve"> </v>
          </cell>
        </row>
        <row r="3179">
          <cell r="A3179" t="str">
            <v xml:space="preserve"> </v>
          </cell>
        </row>
        <row r="3180">
          <cell r="A3180" t="str">
            <v xml:space="preserve"> </v>
          </cell>
        </row>
        <row r="3181">
          <cell r="A3181" t="str">
            <v xml:space="preserve"> </v>
          </cell>
        </row>
        <row r="3182">
          <cell r="A3182" t="str">
            <v xml:space="preserve"> </v>
          </cell>
        </row>
        <row r="3183">
          <cell r="A3183" t="str">
            <v xml:space="preserve"> </v>
          </cell>
        </row>
        <row r="3184">
          <cell r="A3184" t="str">
            <v xml:space="preserve"> </v>
          </cell>
        </row>
        <row r="3185">
          <cell r="A3185" t="str">
            <v xml:space="preserve"> </v>
          </cell>
        </row>
        <row r="3186">
          <cell r="A3186" t="str">
            <v xml:space="preserve"> </v>
          </cell>
        </row>
        <row r="3187">
          <cell r="A3187" t="str">
            <v xml:space="preserve"> </v>
          </cell>
        </row>
        <row r="3188">
          <cell r="A3188" t="str">
            <v xml:space="preserve"> </v>
          </cell>
        </row>
        <row r="3189">
          <cell r="A3189" t="str">
            <v xml:space="preserve"> </v>
          </cell>
        </row>
        <row r="3190">
          <cell r="A3190" t="str">
            <v xml:space="preserve"> </v>
          </cell>
        </row>
        <row r="3191">
          <cell r="A3191" t="str">
            <v xml:space="preserve"> </v>
          </cell>
        </row>
        <row r="3192">
          <cell r="A3192" t="str">
            <v xml:space="preserve"> </v>
          </cell>
        </row>
        <row r="3193">
          <cell r="A3193" t="str">
            <v xml:space="preserve"> </v>
          </cell>
        </row>
        <row r="3194">
          <cell r="A3194" t="str">
            <v xml:space="preserve"> </v>
          </cell>
        </row>
        <row r="3195">
          <cell r="A3195" t="str">
            <v xml:space="preserve"> </v>
          </cell>
        </row>
        <row r="3196">
          <cell r="A3196" t="str">
            <v xml:space="preserve"> </v>
          </cell>
        </row>
        <row r="3197">
          <cell r="A3197" t="str">
            <v xml:space="preserve"> </v>
          </cell>
        </row>
        <row r="3198">
          <cell r="A3198" t="str">
            <v xml:space="preserve"> </v>
          </cell>
        </row>
        <row r="3199">
          <cell r="A3199" t="str">
            <v xml:space="preserve"> </v>
          </cell>
        </row>
        <row r="3200">
          <cell r="A3200" t="str">
            <v xml:space="preserve"> </v>
          </cell>
        </row>
        <row r="3201">
          <cell r="A3201" t="str">
            <v xml:space="preserve"> </v>
          </cell>
        </row>
        <row r="3202">
          <cell r="A3202" t="str">
            <v xml:space="preserve"> </v>
          </cell>
        </row>
        <row r="3203">
          <cell r="A3203" t="str">
            <v xml:space="preserve"> </v>
          </cell>
        </row>
        <row r="3204">
          <cell r="A3204" t="str">
            <v xml:space="preserve"> </v>
          </cell>
        </row>
        <row r="3205">
          <cell r="A3205" t="str">
            <v xml:space="preserve"> </v>
          </cell>
        </row>
        <row r="3206">
          <cell r="A3206" t="str">
            <v xml:space="preserve"> </v>
          </cell>
        </row>
        <row r="3207">
          <cell r="A3207" t="str">
            <v xml:space="preserve"> </v>
          </cell>
        </row>
        <row r="3208">
          <cell r="A3208" t="str">
            <v xml:space="preserve"> </v>
          </cell>
        </row>
        <row r="3209">
          <cell r="A3209" t="str">
            <v xml:space="preserve"> </v>
          </cell>
        </row>
        <row r="3210">
          <cell r="A3210" t="str">
            <v xml:space="preserve"> </v>
          </cell>
        </row>
        <row r="3211">
          <cell r="A3211" t="str">
            <v xml:space="preserve"> </v>
          </cell>
        </row>
        <row r="3212">
          <cell r="A3212" t="str">
            <v xml:space="preserve"> </v>
          </cell>
        </row>
        <row r="3213">
          <cell r="A3213" t="str">
            <v xml:space="preserve"> </v>
          </cell>
        </row>
        <row r="3214">
          <cell r="A3214" t="str">
            <v xml:space="preserve"> </v>
          </cell>
        </row>
        <row r="3215">
          <cell r="A3215" t="str">
            <v xml:space="preserve"> </v>
          </cell>
        </row>
        <row r="3216">
          <cell r="A3216" t="str">
            <v xml:space="preserve"> </v>
          </cell>
        </row>
        <row r="3217">
          <cell r="A3217" t="str">
            <v xml:space="preserve"> </v>
          </cell>
        </row>
        <row r="3218">
          <cell r="A3218" t="str">
            <v xml:space="preserve"> </v>
          </cell>
        </row>
        <row r="3219">
          <cell r="A3219" t="str">
            <v xml:space="preserve"> </v>
          </cell>
        </row>
        <row r="3220">
          <cell r="A3220" t="str">
            <v xml:space="preserve"> </v>
          </cell>
        </row>
        <row r="3221">
          <cell r="A3221" t="str">
            <v xml:space="preserve"> </v>
          </cell>
        </row>
        <row r="3222">
          <cell r="A3222" t="str">
            <v xml:space="preserve"> </v>
          </cell>
        </row>
        <row r="3223">
          <cell r="A3223" t="str">
            <v xml:space="preserve"> </v>
          </cell>
        </row>
        <row r="3224">
          <cell r="A3224" t="str">
            <v xml:space="preserve"> </v>
          </cell>
        </row>
        <row r="3225">
          <cell r="A3225" t="str">
            <v xml:space="preserve"> </v>
          </cell>
        </row>
        <row r="3226">
          <cell r="A3226" t="str">
            <v xml:space="preserve"> </v>
          </cell>
        </row>
        <row r="3227">
          <cell r="A3227" t="str">
            <v xml:space="preserve"> </v>
          </cell>
        </row>
        <row r="3228">
          <cell r="A3228" t="str">
            <v xml:space="preserve"> </v>
          </cell>
        </row>
        <row r="3229">
          <cell r="A3229" t="str">
            <v xml:space="preserve"> </v>
          </cell>
        </row>
        <row r="3230">
          <cell r="A3230" t="str">
            <v xml:space="preserve"> </v>
          </cell>
        </row>
        <row r="3231">
          <cell r="A3231" t="str">
            <v xml:space="preserve"> </v>
          </cell>
        </row>
        <row r="3232">
          <cell r="A3232" t="str">
            <v xml:space="preserve"> </v>
          </cell>
        </row>
        <row r="3233">
          <cell r="A3233" t="str">
            <v xml:space="preserve"> </v>
          </cell>
        </row>
        <row r="3234">
          <cell r="A3234" t="str">
            <v xml:space="preserve"> </v>
          </cell>
        </row>
        <row r="3235">
          <cell r="A3235" t="str">
            <v xml:space="preserve"> </v>
          </cell>
        </row>
        <row r="3236">
          <cell r="A3236" t="str">
            <v xml:space="preserve"> </v>
          </cell>
        </row>
        <row r="3237">
          <cell r="A3237" t="str">
            <v xml:space="preserve"> </v>
          </cell>
        </row>
        <row r="3238">
          <cell r="A3238" t="str">
            <v xml:space="preserve"> </v>
          </cell>
        </row>
        <row r="3239">
          <cell r="A3239" t="str">
            <v xml:space="preserve"> </v>
          </cell>
        </row>
        <row r="3240">
          <cell r="A3240" t="str">
            <v xml:space="preserve"> </v>
          </cell>
        </row>
        <row r="3241">
          <cell r="A3241" t="str">
            <v xml:space="preserve"> </v>
          </cell>
        </row>
        <row r="3242">
          <cell r="A3242" t="str">
            <v xml:space="preserve"> </v>
          </cell>
        </row>
        <row r="3243">
          <cell r="A3243" t="str">
            <v xml:space="preserve"> </v>
          </cell>
        </row>
        <row r="3244">
          <cell r="A3244" t="str">
            <v xml:space="preserve"> </v>
          </cell>
        </row>
        <row r="3245">
          <cell r="A3245" t="str">
            <v xml:space="preserve"> </v>
          </cell>
        </row>
        <row r="3246">
          <cell r="A3246" t="str">
            <v xml:space="preserve"> </v>
          </cell>
        </row>
        <row r="3247">
          <cell r="A3247" t="str">
            <v xml:space="preserve"> </v>
          </cell>
        </row>
        <row r="3248">
          <cell r="A3248" t="str">
            <v xml:space="preserve"> </v>
          </cell>
        </row>
        <row r="3249">
          <cell r="A3249" t="str">
            <v xml:space="preserve"> </v>
          </cell>
        </row>
        <row r="3250">
          <cell r="A3250" t="str">
            <v xml:space="preserve"> </v>
          </cell>
        </row>
        <row r="3251">
          <cell r="A3251" t="str">
            <v xml:space="preserve"> </v>
          </cell>
        </row>
        <row r="3252">
          <cell r="A3252" t="str">
            <v xml:space="preserve"> </v>
          </cell>
        </row>
        <row r="3253">
          <cell r="A3253" t="str">
            <v xml:space="preserve"> </v>
          </cell>
        </row>
        <row r="3254">
          <cell r="A3254" t="str">
            <v xml:space="preserve"> </v>
          </cell>
        </row>
        <row r="3255">
          <cell r="A3255" t="str">
            <v xml:space="preserve"> </v>
          </cell>
        </row>
        <row r="3256">
          <cell r="A3256" t="str">
            <v xml:space="preserve"> </v>
          </cell>
        </row>
        <row r="3257">
          <cell r="A3257" t="str">
            <v xml:space="preserve"> </v>
          </cell>
        </row>
        <row r="3258">
          <cell r="A3258" t="str">
            <v xml:space="preserve"> </v>
          </cell>
        </row>
        <row r="3259">
          <cell r="A3259" t="str">
            <v xml:space="preserve"> </v>
          </cell>
        </row>
        <row r="3260">
          <cell r="A3260" t="str">
            <v xml:space="preserve"> </v>
          </cell>
        </row>
        <row r="3261">
          <cell r="A3261" t="str">
            <v xml:space="preserve"> </v>
          </cell>
        </row>
        <row r="3262">
          <cell r="A3262" t="str">
            <v xml:space="preserve"> </v>
          </cell>
        </row>
        <row r="3263">
          <cell r="A3263" t="str">
            <v xml:space="preserve"> </v>
          </cell>
        </row>
        <row r="3264">
          <cell r="A3264" t="str">
            <v xml:space="preserve"> </v>
          </cell>
        </row>
        <row r="3265">
          <cell r="A3265" t="str">
            <v xml:space="preserve"> </v>
          </cell>
        </row>
        <row r="3266">
          <cell r="A3266" t="str">
            <v xml:space="preserve"> </v>
          </cell>
        </row>
        <row r="3267">
          <cell r="A3267" t="str">
            <v xml:space="preserve"> </v>
          </cell>
        </row>
        <row r="3268">
          <cell r="A3268" t="str">
            <v xml:space="preserve"> </v>
          </cell>
        </row>
        <row r="3269">
          <cell r="A3269" t="str">
            <v xml:space="preserve"> </v>
          </cell>
        </row>
        <row r="3270">
          <cell r="A3270" t="str">
            <v xml:space="preserve"> </v>
          </cell>
        </row>
        <row r="3271">
          <cell r="A3271" t="str">
            <v xml:space="preserve">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01 </v>
          </cell>
          <cell r="B5" t="str">
            <v>01.000.000.002</v>
          </cell>
          <cell r="H5">
            <v>84.38</v>
          </cell>
        </row>
        <row r="6">
          <cell r="A6" t="str">
            <v xml:space="preserve">01 </v>
          </cell>
          <cell r="B6" t="str">
            <v>01.000.000.002</v>
          </cell>
          <cell r="H6">
            <v>50.63</v>
          </cell>
        </row>
        <row r="7">
          <cell r="A7" t="str">
            <v xml:space="preserve">01 </v>
          </cell>
          <cell r="B7" t="str">
            <v>01.000.000.002</v>
          </cell>
          <cell r="H7">
            <v>156.94</v>
          </cell>
        </row>
        <row r="8">
          <cell r="A8" t="str">
            <v xml:space="preserve">01 </v>
          </cell>
          <cell r="B8" t="str">
            <v>01.000.000.003</v>
          </cell>
          <cell r="H8">
            <v>4530.96</v>
          </cell>
        </row>
        <row r="9">
          <cell r="A9" t="str">
            <v xml:space="preserve">01 </v>
          </cell>
          <cell r="B9" t="str">
            <v>01.000.000.006</v>
          </cell>
          <cell r="H9">
            <v>231.25</v>
          </cell>
        </row>
        <row r="10">
          <cell r="A10" t="str">
            <v xml:space="preserve">01 </v>
          </cell>
          <cell r="B10" t="str">
            <v>01.000.000.006</v>
          </cell>
          <cell r="H10">
            <v>138.75</v>
          </cell>
        </row>
        <row r="11">
          <cell r="A11" t="str">
            <v xml:space="preserve">01 </v>
          </cell>
          <cell r="B11" t="str">
            <v>01.000.000.006</v>
          </cell>
          <cell r="H11">
            <v>430.13</v>
          </cell>
        </row>
        <row r="12">
          <cell r="A12" t="str">
            <v xml:space="preserve">02 </v>
          </cell>
          <cell r="B12" t="str">
            <v>02.000.000.004</v>
          </cell>
          <cell r="H12">
            <v>11.4</v>
          </cell>
        </row>
        <row r="13">
          <cell r="A13" t="str">
            <v xml:space="preserve">03 </v>
          </cell>
          <cell r="B13" t="str">
            <v>03.000.000.002</v>
          </cell>
          <cell r="H13">
            <v>346</v>
          </cell>
        </row>
        <row r="14">
          <cell r="A14" t="str">
            <v xml:space="preserve">03 </v>
          </cell>
          <cell r="B14" t="str">
            <v>03.001.000.001</v>
          </cell>
          <cell r="H14">
            <v>89.92</v>
          </cell>
        </row>
        <row r="15">
          <cell r="A15" t="str">
            <v xml:space="preserve">03 </v>
          </cell>
          <cell r="B15" t="str">
            <v>03.001.000.001</v>
          </cell>
          <cell r="H15">
            <v>67.98</v>
          </cell>
        </row>
        <row r="16">
          <cell r="A16" t="str">
            <v xml:space="preserve">03 </v>
          </cell>
          <cell r="B16" t="str">
            <v>03.001.000.003</v>
          </cell>
          <cell r="H16">
            <v>78.83</v>
          </cell>
        </row>
        <row r="17">
          <cell r="A17" t="str">
            <v xml:space="preserve">03 </v>
          </cell>
          <cell r="B17" t="str">
            <v>03.001.000.003</v>
          </cell>
          <cell r="H17">
            <v>59.59</v>
          </cell>
        </row>
        <row r="18">
          <cell r="A18" t="str">
            <v xml:space="preserve">03 </v>
          </cell>
          <cell r="B18" t="str">
            <v>03.001.000.004</v>
          </cell>
          <cell r="H18">
            <v>56.65</v>
          </cell>
        </row>
        <row r="19">
          <cell r="A19" t="str">
            <v xml:space="preserve">03 </v>
          </cell>
          <cell r="B19" t="str">
            <v>03.001.000.004</v>
          </cell>
          <cell r="H19">
            <v>42.82</v>
          </cell>
        </row>
        <row r="20">
          <cell r="A20" t="str">
            <v xml:space="preserve">03 </v>
          </cell>
          <cell r="B20" t="str">
            <v>03.001.000.007</v>
          </cell>
          <cell r="H20">
            <v>189</v>
          </cell>
        </row>
        <row r="21">
          <cell r="A21" t="str">
            <v xml:space="preserve">03 </v>
          </cell>
          <cell r="B21" t="str">
            <v>03.001.000.007</v>
          </cell>
          <cell r="H21">
            <v>267</v>
          </cell>
        </row>
        <row r="22">
          <cell r="A22" t="str">
            <v xml:space="preserve">03 </v>
          </cell>
          <cell r="B22" t="str">
            <v>03.001.000.007</v>
          </cell>
          <cell r="H22">
            <v>546.5</v>
          </cell>
        </row>
        <row r="23">
          <cell r="A23" t="str">
            <v xml:space="preserve">03 </v>
          </cell>
          <cell r="B23" t="str">
            <v>03.002.000.002</v>
          </cell>
        </row>
        <row r="24">
          <cell r="A24" t="str">
            <v xml:space="preserve">03 </v>
          </cell>
          <cell r="B24" t="str">
            <v>03.002.000.003</v>
          </cell>
          <cell r="H24">
            <v>108.54</v>
          </cell>
        </row>
        <row r="25">
          <cell r="A25" t="str">
            <v xml:space="preserve">03 </v>
          </cell>
          <cell r="B25" t="str">
            <v>03.002.000.003</v>
          </cell>
          <cell r="H25">
            <v>82.05</v>
          </cell>
        </row>
        <row r="26">
          <cell r="A26" t="str">
            <v xml:space="preserve">03 </v>
          </cell>
          <cell r="B26" t="str">
            <v>03.002.000.004</v>
          </cell>
          <cell r="H26">
            <v>379.3</v>
          </cell>
        </row>
        <row r="27">
          <cell r="A27" t="str">
            <v xml:space="preserve">03 </v>
          </cell>
          <cell r="B27" t="str">
            <v>03.002.000.004</v>
          </cell>
          <cell r="H27">
            <v>286.73</v>
          </cell>
        </row>
        <row r="28">
          <cell r="A28" t="str">
            <v xml:space="preserve">04 </v>
          </cell>
          <cell r="B28" t="str">
            <v>04.000.000.001</v>
          </cell>
          <cell r="H28">
            <v>14.97</v>
          </cell>
        </row>
        <row r="29">
          <cell r="A29" t="str">
            <v xml:space="preserve">04 </v>
          </cell>
          <cell r="B29" t="str">
            <v>04.000.000.001</v>
          </cell>
          <cell r="H29">
            <v>11.32</v>
          </cell>
        </row>
        <row r="30">
          <cell r="A30" t="str">
            <v xml:space="preserve">05 </v>
          </cell>
          <cell r="B30" t="str">
            <v xml:space="preserve">05.002.000.004 </v>
          </cell>
          <cell r="H30">
            <v>152.5</v>
          </cell>
        </row>
        <row r="31">
          <cell r="A31" t="str">
            <v xml:space="preserve">05 </v>
          </cell>
          <cell r="B31" t="str">
            <v xml:space="preserve">05.002.000.006 </v>
          </cell>
          <cell r="H31">
            <v>23.68</v>
          </cell>
        </row>
        <row r="32">
          <cell r="A32" t="str">
            <v xml:space="preserve">05 </v>
          </cell>
          <cell r="B32" t="str">
            <v xml:space="preserve">05.002.000.006 </v>
          </cell>
          <cell r="H32">
            <v>52.1</v>
          </cell>
        </row>
        <row r="33">
          <cell r="A33" t="str">
            <v xml:space="preserve">05 </v>
          </cell>
          <cell r="B33" t="str">
            <v>05.002.000.001</v>
          </cell>
          <cell r="H33">
            <v>580.65</v>
          </cell>
        </row>
        <row r="34">
          <cell r="A34" t="str">
            <v xml:space="preserve">05 </v>
          </cell>
          <cell r="B34" t="str">
            <v>05.002.000.001</v>
          </cell>
          <cell r="H34">
            <v>979.43</v>
          </cell>
        </row>
        <row r="35">
          <cell r="A35" t="str">
            <v xml:space="preserve">05 </v>
          </cell>
          <cell r="B35" t="str">
            <v>05.002.000.001</v>
          </cell>
          <cell r="H35">
            <v>685.6</v>
          </cell>
        </row>
        <row r="36">
          <cell r="A36" t="str">
            <v xml:space="preserve">05 </v>
          </cell>
          <cell r="B36" t="str">
            <v>05.002.000.001</v>
          </cell>
          <cell r="H36">
            <v>406.46</v>
          </cell>
        </row>
        <row r="37">
          <cell r="A37" t="str">
            <v xml:space="preserve">05 </v>
          </cell>
          <cell r="B37" t="str">
            <v>05.002.000.002</v>
          </cell>
          <cell r="H37">
            <v>500</v>
          </cell>
        </row>
        <row r="38">
          <cell r="A38" t="str">
            <v xml:space="preserve">05 </v>
          </cell>
          <cell r="B38" t="str">
            <v>05.002.000.002</v>
          </cell>
          <cell r="H38">
            <v>350</v>
          </cell>
        </row>
        <row r="39">
          <cell r="A39" t="str">
            <v xml:space="preserve">05 </v>
          </cell>
          <cell r="B39" t="str">
            <v>05.002.000.003</v>
          </cell>
          <cell r="H39">
            <v>131.82</v>
          </cell>
        </row>
        <row r="40">
          <cell r="A40" t="str">
            <v xml:space="preserve">05 </v>
          </cell>
          <cell r="B40" t="str">
            <v>05.002.000.003</v>
          </cell>
          <cell r="H40">
            <v>104.06</v>
          </cell>
        </row>
        <row r="41">
          <cell r="A41" t="str">
            <v xml:space="preserve">05 </v>
          </cell>
          <cell r="B41" t="str">
            <v>05.002.000.003</v>
          </cell>
          <cell r="H41">
            <v>72.510000000000005</v>
          </cell>
        </row>
        <row r="42">
          <cell r="A42" t="str">
            <v xml:space="preserve">05 </v>
          </cell>
          <cell r="B42" t="str">
            <v>05.002.000.003</v>
          </cell>
          <cell r="H42">
            <v>180.76</v>
          </cell>
        </row>
        <row r="43">
          <cell r="A43" t="str">
            <v xml:space="preserve">05 </v>
          </cell>
          <cell r="B43" t="str">
            <v>05.002.000.003</v>
          </cell>
          <cell r="H43">
            <v>69.53</v>
          </cell>
        </row>
        <row r="44">
          <cell r="A44" t="str">
            <v xml:space="preserve">05 </v>
          </cell>
          <cell r="B44" t="str">
            <v>05.002.000.004</v>
          </cell>
          <cell r="H44">
            <v>5985.65</v>
          </cell>
        </row>
        <row r="45">
          <cell r="A45" t="str">
            <v xml:space="preserve">05 </v>
          </cell>
          <cell r="B45" t="str">
            <v>05.002.000.004</v>
          </cell>
          <cell r="H45">
            <v>152.5</v>
          </cell>
        </row>
        <row r="46">
          <cell r="A46" t="str">
            <v xml:space="preserve">05 </v>
          </cell>
          <cell r="B46" t="str">
            <v>05.002.000.006</v>
          </cell>
          <cell r="H46">
            <v>80.44</v>
          </cell>
        </row>
        <row r="47">
          <cell r="A47" t="str">
            <v xml:space="preserve">05 </v>
          </cell>
          <cell r="B47" t="str">
            <v>05.002.000.006</v>
          </cell>
          <cell r="H47">
            <v>176.97</v>
          </cell>
        </row>
        <row r="48">
          <cell r="A48" t="str">
            <v xml:space="preserve">16 </v>
          </cell>
          <cell r="B48" t="str">
            <v>16.000.000.011</v>
          </cell>
          <cell r="H48">
            <v>128.24</v>
          </cell>
        </row>
        <row r="49">
          <cell r="A49" t="str">
            <v xml:space="preserve">16 </v>
          </cell>
          <cell r="B49" t="str">
            <v>16.000.000.011</v>
          </cell>
          <cell r="H49">
            <v>18666</v>
          </cell>
        </row>
        <row r="50">
          <cell r="A50" t="str">
            <v xml:space="preserve">01 </v>
          </cell>
          <cell r="B50" t="str">
            <v>01.000.000.003</v>
          </cell>
          <cell r="H50">
            <v>62</v>
          </cell>
        </row>
        <row r="51">
          <cell r="A51" t="str">
            <v xml:space="preserve">01 </v>
          </cell>
          <cell r="B51" t="str">
            <v>01.000.000.003</v>
          </cell>
          <cell r="H51">
            <v>124</v>
          </cell>
        </row>
        <row r="52">
          <cell r="A52" t="str">
            <v xml:space="preserve">01 </v>
          </cell>
          <cell r="B52" t="str">
            <v>01.000.000.003</v>
          </cell>
          <cell r="H52">
            <v>49.6</v>
          </cell>
        </row>
        <row r="53">
          <cell r="A53" t="str">
            <v xml:space="preserve">01 </v>
          </cell>
          <cell r="B53" t="str">
            <v>01.000.000.003</v>
          </cell>
          <cell r="H53">
            <v>16.12</v>
          </cell>
        </row>
        <row r="54">
          <cell r="A54" t="str">
            <v xml:space="preserve">01 </v>
          </cell>
          <cell r="B54" t="str">
            <v>01.000.000.003</v>
          </cell>
          <cell r="H54">
            <v>74.400000000000006</v>
          </cell>
        </row>
        <row r="55">
          <cell r="A55" t="str">
            <v xml:space="preserve">01 </v>
          </cell>
          <cell r="B55" t="str">
            <v>01.000.000.003</v>
          </cell>
          <cell r="H55">
            <v>148.80000000000001</v>
          </cell>
        </row>
        <row r="56">
          <cell r="A56" t="str">
            <v xml:space="preserve">01 </v>
          </cell>
          <cell r="B56" t="str">
            <v>01.000.000.003</v>
          </cell>
          <cell r="H56">
            <v>24.8</v>
          </cell>
        </row>
        <row r="57">
          <cell r="A57" t="str">
            <v xml:space="preserve">01 </v>
          </cell>
          <cell r="B57" t="str">
            <v>01.000.000.003</v>
          </cell>
          <cell r="H57">
            <v>32.24</v>
          </cell>
        </row>
        <row r="58">
          <cell r="A58" t="str">
            <v xml:space="preserve">01 </v>
          </cell>
          <cell r="B58" t="str">
            <v>01.000.000.003</v>
          </cell>
          <cell r="H58">
            <v>37.200000000000003</v>
          </cell>
        </row>
        <row r="59">
          <cell r="A59" t="str">
            <v xml:space="preserve">01 </v>
          </cell>
          <cell r="B59" t="str">
            <v>01.000.000.003</v>
          </cell>
          <cell r="H59">
            <v>74.400000000000006</v>
          </cell>
        </row>
        <row r="60">
          <cell r="A60" t="str">
            <v xml:space="preserve">03 </v>
          </cell>
          <cell r="B60" t="str">
            <v>03.002.000.002</v>
          </cell>
        </row>
        <row r="61">
          <cell r="A61" t="str">
            <v xml:space="preserve">05 </v>
          </cell>
          <cell r="B61" t="str">
            <v xml:space="preserve">05.002.000.002 </v>
          </cell>
          <cell r="H61">
            <v>220.65</v>
          </cell>
        </row>
        <row r="62">
          <cell r="A62" t="str">
            <v xml:space="preserve">05 </v>
          </cell>
          <cell r="B62" t="str">
            <v xml:space="preserve">05.002.000.002 </v>
          </cell>
          <cell r="H62">
            <v>154.46</v>
          </cell>
        </row>
        <row r="63">
          <cell r="A63" t="str">
            <v xml:space="preserve">05 </v>
          </cell>
          <cell r="B63" t="str">
            <v>05.002.000.001</v>
          </cell>
          <cell r="H63">
            <v>550.57000000000005</v>
          </cell>
        </row>
        <row r="64">
          <cell r="A64" t="str">
            <v xml:space="preserve">05 </v>
          </cell>
          <cell r="B64" t="str">
            <v>05.002.000.001</v>
          </cell>
          <cell r="H64">
            <v>385.39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</sheetData>
      <sheetData sheetId="1">
        <row r="5">
          <cell r="A5" t="str">
            <v xml:space="preserve">01 </v>
          </cell>
          <cell r="B5" t="str">
            <v>01.000.000.007</v>
          </cell>
          <cell r="H5">
            <v>770.72</v>
          </cell>
        </row>
        <row r="6">
          <cell r="A6" t="str">
            <v xml:space="preserve">02 </v>
          </cell>
          <cell r="B6" t="str">
            <v>02.000.000.002</v>
          </cell>
          <cell r="H6">
            <v>334.36</v>
          </cell>
        </row>
        <row r="7">
          <cell r="A7" t="str">
            <v xml:space="preserve">02 </v>
          </cell>
          <cell r="B7" t="str">
            <v>02.000.000.002</v>
          </cell>
          <cell r="H7">
            <v>474.4</v>
          </cell>
        </row>
        <row r="8">
          <cell r="A8" t="str">
            <v xml:space="preserve">03 </v>
          </cell>
          <cell r="B8" t="str">
            <v>03.000.001.001</v>
          </cell>
          <cell r="H8">
            <v>120</v>
          </cell>
        </row>
        <row r="9">
          <cell r="A9" t="str">
            <v xml:space="preserve">03 </v>
          </cell>
          <cell r="B9" t="str">
            <v>03.000.001.001</v>
          </cell>
          <cell r="H9">
            <v>60</v>
          </cell>
        </row>
        <row r="10">
          <cell r="A10" t="str">
            <v xml:space="preserve">03 </v>
          </cell>
          <cell r="B10" t="str">
            <v>03.000.001.001</v>
          </cell>
          <cell r="H10">
            <v>186</v>
          </cell>
        </row>
        <row r="11">
          <cell r="A11" t="str">
            <v xml:space="preserve">03 </v>
          </cell>
          <cell r="B11" t="str">
            <v>03.000.001.009</v>
          </cell>
          <cell r="H11">
            <v>44.85</v>
          </cell>
        </row>
        <row r="12">
          <cell r="A12" t="str">
            <v xml:space="preserve">03 </v>
          </cell>
          <cell r="B12" t="str">
            <v>03.000.003.003</v>
          </cell>
          <cell r="H12">
            <v>0.56000000000000005</v>
          </cell>
        </row>
        <row r="13">
          <cell r="A13" t="str">
            <v xml:space="preserve">03 </v>
          </cell>
          <cell r="B13" t="str">
            <v>03.000.003.003</v>
          </cell>
          <cell r="H13">
            <v>0.75</v>
          </cell>
        </row>
        <row r="14">
          <cell r="A14" t="str">
            <v xml:space="preserve">03 </v>
          </cell>
          <cell r="B14" t="str">
            <v>03.000.003.003</v>
          </cell>
          <cell r="H14">
            <v>0.11</v>
          </cell>
        </row>
        <row r="15">
          <cell r="A15" t="str">
            <v xml:space="preserve">03 </v>
          </cell>
          <cell r="B15" t="str">
            <v>03.000.003.006</v>
          </cell>
          <cell r="H15">
            <v>1232.1300000000001</v>
          </cell>
        </row>
        <row r="16">
          <cell r="A16" t="str">
            <v xml:space="preserve">03 </v>
          </cell>
          <cell r="B16" t="str">
            <v>03.000.003.007</v>
          </cell>
          <cell r="H16">
            <v>9295</v>
          </cell>
        </row>
        <row r="17">
          <cell r="A17" t="str">
            <v xml:space="preserve">03 </v>
          </cell>
          <cell r="B17" t="str">
            <v>03.000.003.007</v>
          </cell>
          <cell r="H17">
            <v>2283</v>
          </cell>
        </row>
        <row r="18">
          <cell r="A18" t="str">
            <v xml:space="preserve">05 </v>
          </cell>
          <cell r="B18" t="str">
            <v>05.000.001.008</v>
          </cell>
          <cell r="H18">
            <v>309.7</v>
          </cell>
        </row>
        <row r="19">
          <cell r="A19" t="str">
            <v xml:space="preserve">05 </v>
          </cell>
          <cell r="B19" t="str">
            <v xml:space="preserve">05.000.001.010 </v>
          </cell>
          <cell r="H19">
            <v>150</v>
          </cell>
        </row>
        <row r="20">
          <cell r="A20" t="str">
            <v xml:space="preserve">05 </v>
          </cell>
          <cell r="B20" t="str">
            <v xml:space="preserve">05.000.001.010 </v>
          </cell>
          <cell r="H20">
            <v>99</v>
          </cell>
        </row>
        <row r="21">
          <cell r="A21" t="str">
            <v xml:space="preserve">05 </v>
          </cell>
          <cell r="B21" t="str">
            <v xml:space="preserve">05.000.001.010 </v>
          </cell>
          <cell r="H21">
            <v>2998.05</v>
          </cell>
        </row>
        <row r="22">
          <cell r="A22" t="str">
            <v xml:space="preserve">05 </v>
          </cell>
          <cell r="B22" t="str">
            <v xml:space="preserve">05.000.001.010 </v>
          </cell>
          <cell r="H22">
            <v>75</v>
          </cell>
        </row>
        <row r="23">
          <cell r="A23" t="str">
            <v xml:space="preserve">05 </v>
          </cell>
          <cell r="B23" t="str">
            <v xml:space="preserve">05.000.002.008 </v>
          </cell>
          <cell r="H23">
            <v>232.5</v>
          </cell>
        </row>
        <row r="24">
          <cell r="A24" t="str">
            <v xml:space="preserve">05 </v>
          </cell>
          <cell r="B24" t="str">
            <v xml:space="preserve">05.000.001.010 </v>
          </cell>
          <cell r="H24">
            <v>49.5</v>
          </cell>
        </row>
        <row r="25">
          <cell r="A25" t="str">
            <v xml:space="preserve">05 </v>
          </cell>
          <cell r="B25" t="str">
            <v xml:space="preserve">05.000.001.010 </v>
          </cell>
          <cell r="H25">
            <v>153.44999999999999</v>
          </cell>
        </row>
        <row r="26">
          <cell r="A26" t="str">
            <v xml:space="preserve">05 </v>
          </cell>
          <cell r="B26" t="str">
            <v>05.000.002.010</v>
          </cell>
          <cell r="H26">
            <v>113.3</v>
          </cell>
        </row>
        <row r="27">
          <cell r="A27" t="str">
            <v xml:space="preserve">05 </v>
          </cell>
          <cell r="B27" t="str">
            <v>05.000.002.010</v>
          </cell>
          <cell r="H27">
            <v>85.65</v>
          </cell>
        </row>
        <row r="28">
          <cell r="A28" t="str">
            <v xml:space="preserve">05 </v>
          </cell>
          <cell r="B28" t="str">
            <v>05.000.002.011</v>
          </cell>
          <cell r="H28">
            <v>7.23</v>
          </cell>
        </row>
        <row r="29">
          <cell r="A29" t="str">
            <v xml:space="preserve">01 </v>
          </cell>
          <cell r="B29" t="str">
            <v>01.000.000.007</v>
          </cell>
          <cell r="H29">
            <v>770.72</v>
          </cell>
        </row>
        <row r="30">
          <cell r="A30" t="str">
            <v xml:space="preserve">01 </v>
          </cell>
          <cell r="B30" t="str">
            <v>01.000.000.007</v>
          </cell>
          <cell r="H30">
            <v>770.72</v>
          </cell>
        </row>
        <row r="31">
          <cell r="A31" t="str">
            <v xml:space="preserve"> </v>
          </cell>
        </row>
        <row r="32">
          <cell r="A32" t="str">
            <v xml:space="preserve"> </v>
          </cell>
        </row>
        <row r="33">
          <cell r="A33" t="str">
            <v xml:space="preserve"> </v>
          </cell>
        </row>
        <row r="34">
          <cell r="A34" t="str">
            <v xml:space="preserve"> </v>
          </cell>
        </row>
        <row r="35">
          <cell r="A35" t="str">
            <v xml:space="preserve"> </v>
          </cell>
        </row>
        <row r="36">
          <cell r="A36" t="str">
            <v xml:space="preserve"> </v>
          </cell>
        </row>
        <row r="37">
          <cell r="A37" t="str">
            <v xml:space="preserve"> </v>
          </cell>
        </row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 </v>
          </cell>
        </row>
        <row r="49">
          <cell r="A49" t="str">
            <v xml:space="preserve"> 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 </v>
          </cell>
        </row>
        <row r="53">
          <cell r="A53" t="str">
            <v xml:space="preserve"> </v>
          </cell>
        </row>
        <row r="54">
          <cell r="A54" t="str">
            <v xml:space="preserve"> </v>
          </cell>
        </row>
        <row r="55">
          <cell r="A55" t="str">
            <v xml:space="preserve"> </v>
          </cell>
        </row>
        <row r="56">
          <cell r="A56" t="str">
            <v xml:space="preserve"> </v>
          </cell>
        </row>
        <row r="57">
          <cell r="A57" t="str">
            <v xml:space="preserve"> </v>
          </cell>
        </row>
        <row r="58">
          <cell r="A58" t="str">
            <v xml:space="preserve"> </v>
          </cell>
        </row>
        <row r="59">
          <cell r="A59" t="str">
            <v xml:space="preserve"> </v>
          </cell>
        </row>
        <row r="60">
          <cell r="A60" t="str">
            <v xml:space="preserve"> 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oque"/>
      <sheetName val="Comprometimento"/>
    </sheetNames>
    <sheetDataSet>
      <sheetData sheetId="0">
        <row r="6">
          <cell r="A6" t="str">
            <v xml:space="preserve">03 </v>
          </cell>
          <cell r="B6" t="str">
            <v xml:space="preserve">03.001.000.007 </v>
          </cell>
          <cell r="H6">
            <v>191.2</v>
          </cell>
        </row>
        <row r="7">
          <cell r="A7" t="str">
            <v xml:space="preserve">05 </v>
          </cell>
          <cell r="B7" t="str">
            <v xml:space="preserve">05.002.000.003 </v>
          </cell>
          <cell r="H7">
            <v>573.6</v>
          </cell>
        </row>
        <row r="8">
          <cell r="A8" t="str">
            <v xml:space="preserve">05 </v>
          </cell>
          <cell r="B8" t="str">
            <v xml:space="preserve">05.001.000.005 </v>
          </cell>
          <cell r="H8">
            <v>2064.96</v>
          </cell>
        </row>
        <row r="9">
          <cell r="A9" t="str">
            <v xml:space="preserve">05 </v>
          </cell>
          <cell r="B9" t="str">
            <v xml:space="preserve">05.002.000.004 </v>
          </cell>
          <cell r="H9">
            <v>2064.96</v>
          </cell>
        </row>
        <row r="10">
          <cell r="A10" t="str">
            <v xml:space="preserve">05 </v>
          </cell>
          <cell r="B10" t="str">
            <v xml:space="preserve">05.001.000.005 </v>
          </cell>
          <cell r="H10">
            <v>695.52</v>
          </cell>
        </row>
        <row r="11">
          <cell r="A11" t="str">
            <v xml:space="preserve">05 </v>
          </cell>
          <cell r="B11" t="str">
            <v xml:space="preserve">05.002.000.004 </v>
          </cell>
          <cell r="H11">
            <v>695.52</v>
          </cell>
        </row>
        <row r="12">
          <cell r="A12" t="str">
            <v xml:space="preserve">05 </v>
          </cell>
          <cell r="B12" t="str">
            <v xml:space="preserve">05.001.000.005 </v>
          </cell>
          <cell r="H12">
            <v>16347.88</v>
          </cell>
        </row>
        <row r="13">
          <cell r="A13" t="str">
            <v xml:space="preserve">03 </v>
          </cell>
          <cell r="B13" t="str">
            <v xml:space="preserve">03.001.000.007 </v>
          </cell>
          <cell r="H13">
            <v>187.12</v>
          </cell>
        </row>
        <row r="14">
          <cell r="A14" t="str">
            <v xml:space="preserve">03 </v>
          </cell>
          <cell r="B14" t="str">
            <v xml:space="preserve">03.002.000.004 </v>
          </cell>
          <cell r="H14">
            <v>187.12</v>
          </cell>
        </row>
        <row r="15">
          <cell r="A15" t="str">
            <v xml:space="preserve">05 </v>
          </cell>
          <cell r="B15" t="str">
            <v xml:space="preserve">05.002.000.004 </v>
          </cell>
          <cell r="H15">
            <v>5985.65</v>
          </cell>
        </row>
        <row r="16">
          <cell r="A16" t="str">
            <v xml:space="preserve">05 </v>
          </cell>
          <cell r="B16" t="str">
            <v xml:space="preserve">05.002.000.003 </v>
          </cell>
        </row>
        <row r="17">
          <cell r="A17" t="str">
            <v xml:space="preserve">03 </v>
          </cell>
          <cell r="B17" t="str">
            <v xml:space="preserve">03.000.000.004 </v>
          </cell>
          <cell r="H17">
            <v>46.55</v>
          </cell>
        </row>
        <row r="18">
          <cell r="A18" t="str">
            <v xml:space="preserve">03 </v>
          </cell>
          <cell r="B18" t="str">
            <v xml:space="preserve">03.001.000.007 </v>
          </cell>
          <cell r="H18">
            <v>166.75</v>
          </cell>
        </row>
        <row r="19">
          <cell r="A19" t="str">
            <v xml:space="preserve">03 </v>
          </cell>
          <cell r="B19" t="str">
            <v xml:space="preserve">03.000.000.004 </v>
          </cell>
          <cell r="H19">
            <v>13.34</v>
          </cell>
        </row>
        <row r="20">
          <cell r="A20" t="str">
            <v xml:space="preserve">03 </v>
          </cell>
          <cell r="B20" t="str">
            <v xml:space="preserve">03.000.000.004 </v>
          </cell>
          <cell r="H20">
            <v>87.17</v>
          </cell>
        </row>
        <row r="21">
          <cell r="A21" t="str">
            <v xml:space="preserve">03 </v>
          </cell>
          <cell r="B21" t="str">
            <v xml:space="preserve">03.000.000.004 </v>
          </cell>
          <cell r="H21">
            <v>12.24</v>
          </cell>
        </row>
        <row r="22">
          <cell r="A22" t="str">
            <v xml:space="preserve">03 </v>
          </cell>
          <cell r="B22" t="str">
            <v xml:space="preserve">03.000.000.004 </v>
          </cell>
          <cell r="H22">
            <v>9.5500000000000007</v>
          </cell>
        </row>
        <row r="23">
          <cell r="A23" t="str">
            <v xml:space="preserve">03 </v>
          </cell>
          <cell r="B23" t="str">
            <v xml:space="preserve">03.000.000.002 </v>
          </cell>
          <cell r="H23">
            <v>113.33</v>
          </cell>
        </row>
        <row r="24">
          <cell r="A24" t="str">
            <v xml:space="preserve">03 </v>
          </cell>
          <cell r="B24" t="str">
            <v xml:space="preserve">03.000.000.004 </v>
          </cell>
          <cell r="H24">
            <v>183.67</v>
          </cell>
        </row>
        <row r="25">
          <cell r="A25" t="str">
            <v xml:space="preserve">03 </v>
          </cell>
          <cell r="B25" t="str">
            <v xml:space="preserve">03.000.000.004 </v>
          </cell>
          <cell r="H25">
            <v>1345.11</v>
          </cell>
        </row>
        <row r="26">
          <cell r="A26" t="str">
            <v xml:space="preserve">03 </v>
          </cell>
          <cell r="B26" t="str">
            <v xml:space="preserve">03.000.000.004 </v>
          </cell>
          <cell r="H26">
            <v>128.19</v>
          </cell>
        </row>
        <row r="27">
          <cell r="A27" t="str">
            <v xml:space="preserve">03 </v>
          </cell>
          <cell r="B27" t="str">
            <v xml:space="preserve">03.000.000.004 </v>
          </cell>
          <cell r="H27">
            <v>8.8000000000000007</v>
          </cell>
        </row>
        <row r="28">
          <cell r="A28" t="str">
            <v xml:space="preserve">03 </v>
          </cell>
          <cell r="B28" t="str">
            <v xml:space="preserve">03.000.000.002 </v>
          </cell>
          <cell r="H28">
            <v>44.3</v>
          </cell>
        </row>
        <row r="29">
          <cell r="A29" t="str">
            <v xml:space="preserve">03 </v>
          </cell>
          <cell r="B29" t="str">
            <v xml:space="preserve">03.000.000.004 </v>
          </cell>
          <cell r="H29">
            <v>11.35</v>
          </cell>
        </row>
        <row r="30">
          <cell r="A30" t="str">
            <v xml:space="preserve">03 </v>
          </cell>
          <cell r="B30" t="str">
            <v xml:space="preserve">03.000.000.002 </v>
          </cell>
          <cell r="H30">
            <v>50.99</v>
          </cell>
        </row>
        <row r="31">
          <cell r="A31" t="str">
            <v xml:space="preserve">03 </v>
          </cell>
          <cell r="B31" t="str">
            <v xml:space="preserve">03.000.000.004 </v>
          </cell>
          <cell r="H31">
            <v>6</v>
          </cell>
        </row>
        <row r="32">
          <cell r="A32" t="str">
            <v xml:space="preserve">03 </v>
          </cell>
          <cell r="B32" t="str">
            <v xml:space="preserve">03.000.000.004 </v>
          </cell>
          <cell r="H32">
            <v>4.51</v>
          </cell>
        </row>
        <row r="33">
          <cell r="A33" t="str">
            <v xml:space="preserve">03 </v>
          </cell>
          <cell r="B33" t="str">
            <v xml:space="preserve">03.000.000.004 </v>
          </cell>
          <cell r="H33">
            <v>25.12</v>
          </cell>
        </row>
        <row r="34">
          <cell r="A34" t="str">
            <v xml:space="preserve">03 </v>
          </cell>
          <cell r="B34" t="str">
            <v xml:space="preserve">03.000.000.002 </v>
          </cell>
          <cell r="H34">
            <v>1085.3699999999999</v>
          </cell>
        </row>
        <row r="35">
          <cell r="A35" t="str">
            <v xml:space="preserve">03 </v>
          </cell>
          <cell r="B35" t="str">
            <v xml:space="preserve">03.000.000.002 </v>
          </cell>
          <cell r="H35">
            <v>64.36</v>
          </cell>
        </row>
        <row r="36">
          <cell r="A36" t="str">
            <v xml:space="preserve">03 </v>
          </cell>
          <cell r="B36" t="str">
            <v xml:space="preserve">03.000.000.004 </v>
          </cell>
          <cell r="H36">
            <v>4.38</v>
          </cell>
        </row>
        <row r="37">
          <cell r="A37" t="str">
            <v xml:space="preserve">03 </v>
          </cell>
          <cell r="B37" t="str">
            <v xml:space="preserve">03.001.000.007 </v>
          </cell>
          <cell r="H37">
            <v>282.39</v>
          </cell>
        </row>
        <row r="38">
          <cell r="A38" t="str">
            <v xml:space="preserve">05 </v>
          </cell>
          <cell r="B38" t="str">
            <v xml:space="preserve">05.001.000.004 </v>
          </cell>
          <cell r="H38">
            <v>188.26</v>
          </cell>
        </row>
        <row r="39">
          <cell r="A39" t="str">
            <v xml:space="preserve">03 </v>
          </cell>
          <cell r="B39" t="str">
            <v xml:space="preserve">03.000.000.004 </v>
          </cell>
          <cell r="H39">
            <v>18.760000000000002</v>
          </cell>
        </row>
        <row r="40">
          <cell r="A40" t="str">
            <v xml:space="preserve">05 </v>
          </cell>
          <cell r="B40" t="str">
            <v xml:space="preserve">05.003.001.002 </v>
          </cell>
          <cell r="H40">
            <v>30.86</v>
          </cell>
        </row>
        <row r="41">
          <cell r="A41" t="str">
            <v xml:space="preserve">03 </v>
          </cell>
          <cell r="B41" t="str">
            <v xml:space="preserve">03.000.000.004 </v>
          </cell>
          <cell r="H41">
            <v>84</v>
          </cell>
        </row>
        <row r="42">
          <cell r="A42" t="str">
            <v xml:space="preserve">05 </v>
          </cell>
          <cell r="B42" t="str">
            <v xml:space="preserve">05.002.000.001 </v>
          </cell>
          <cell r="H42">
            <v>2818.64</v>
          </cell>
        </row>
        <row r="43">
          <cell r="A43" t="str">
            <v xml:space="preserve">05 </v>
          </cell>
          <cell r="B43" t="str">
            <v xml:space="preserve">05.002.000.003 </v>
          </cell>
          <cell r="H43">
            <v>1315.36</v>
          </cell>
        </row>
        <row r="44">
          <cell r="A44" t="str">
            <v xml:space="preserve">03 </v>
          </cell>
          <cell r="B44" t="str">
            <v xml:space="preserve">03.001.000.007 </v>
          </cell>
          <cell r="H44">
            <v>265</v>
          </cell>
        </row>
        <row r="45">
          <cell r="A45" t="str">
            <v xml:space="preserve">03 </v>
          </cell>
          <cell r="B45" t="str">
            <v xml:space="preserve">03.000.000.002 </v>
          </cell>
          <cell r="H45">
            <v>33.549999999999997</v>
          </cell>
        </row>
        <row r="46">
          <cell r="A46" t="str">
            <v xml:space="preserve">03 </v>
          </cell>
          <cell r="B46" t="str">
            <v xml:space="preserve">03.000.000.004 </v>
          </cell>
          <cell r="H46">
            <v>67.09</v>
          </cell>
        </row>
        <row r="47">
          <cell r="A47" t="str">
            <v xml:space="preserve">03 </v>
          </cell>
          <cell r="B47" t="str">
            <v xml:space="preserve">03.000.000.004 </v>
          </cell>
          <cell r="H47">
            <v>44.42</v>
          </cell>
        </row>
        <row r="48">
          <cell r="A48" t="str">
            <v xml:space="preserve">05 </v>
          </cell>
          <cell r="B48" t="str">
            <v xml:space="preserve">05.002.000.001 </v>
          </cell>
          <cell r="H48">
            <v>1473.9</v>
          </cell>
        </row>
        <row r="49">
          <cell r="A49" t="str">
            <v xml:space="preserve">03 </v>
          </cell>
          <cell r="B49" t="str">
            <v xml:space="preserve">03.000.000.004 </v>
          </cell>
          <cell r="H49">
            <v>55.79</v>
          </cell>
        </row>
        <row r="50">
          <cell r="A50" t="str">
            <v xml:space="preserve">03 </v>
          </cell>
          <cell r="B50" t="str">
            <v xml:space="preserve">03.000.000.004 </v>
          </cell>
          <cell r="H50">
            <v>985.46</v>
          </cell>
        </row>
        <row r="51">
          <cell r="A51" t="str">
            <v xml:space="preserve">05 </v>
          </cell>
          <cell r="B51" t="str">
            <v xml:space="preserve">05.001.000.005 </v>
          </cell>
          <cell r="H51">
            <v>47.87</v>
          </cell>
        </row>
        <row r="52">
          <cell r="A52" t="str">
            <v xml:space="preserve">05 </v>
          </cell>
          <cell r="B52" t="str">
            <v xml:space="preserve">05.002.000.004 </v>
          </cell>
          <cell r="H52">
            <v>47.87</v>
          </cell>
        </row>
        <row r="53">
          <cell r="A53" t="str">
            <v xml:space="preserve">03 </v>
          </cell>
          <cell r="B53" t="str">
            <v xml:space="preserve">03.001.000.007 </v>
          </cell>
          <cell r="H53">
            <v>2097.88</v>
          </cell>
        </row>
        <row r="54">
          <cell r="A54" t="str">
            <v xml:space="preserve">03 </v>
          </cell>
          <cell r="B54" t="str">
            <v xml:space="preserve">03.001.000.007 </v>
          </cell>
          <cell r="H54">
            <v>358.4</v>
          </cell>
        </row>
        <row r="55">
          <cell r="A55" t="str">
            <v xml:space="preserve">03 </v>
          </cell>
          <cell r="B55" t="str">
            <v xml:space="preserve">03.000.000.004 </v>
          </cell>
          <cell r="H55">
            <v>15.1</v>
          </cell>
        </row>
        <row r="56">
          <cell r="A56" t="str">
            <v xml:space="preserve">03 </v>
          </cell>
          <cell r="B56" t="str">
            <v xml:space="preserve">03.001.000.007 </v>
          </cell>
          <cell r="H56">
            <v>226.49</v>
          </cell>
        </row>
        <row r="57">
          <cell r="A57" t="str">
            <v xml:space="preserve">03 </v>
          </cell>
          <cell r="B57" t="str">
            <v xml:space="preserve">03.000.000.004 </v>
          </cell>
          <cell r="H57">
            <v>226.49</v>
          </cell>
        </row>
        <row r="58">
          <cell r="A58" t="str">
            <v xml:space="preserve">05 </v>
          </cell>
          <cell r="B58" t="str">
            <v xml:space="preserve">05.003.001.002 </v>
          </cell>
          <cell r="H58">
            <v>226.49</v>
          </cell>
        </row>
        <row r="59">
          <cell r="A59" t="str">
            <v xml:space="preserve">03 </v>
          </cell>
          <cell r="B59" t="str">
            <v xml:space="preserve">03.000.000.004 </v>
          </cell>
          <cell r="H59">
            <v>449.22</v>
          </cell>
        </row>
        <row r="60">
          <cell r="A60" t="str">
            <v xml:space="preserve">03 </v>
          </cell>
          <cell r="B60" t="str">
            <v xml:space="preserve">03.001.000.007 </v>
          </cell>
          <cell r="H60">
            <v>152.07</v>
          </cell>
        </row>
        <row r="61">
          <cell r="A61" t="str">
            <v xml:space="preserve">03 </v>
          </cell>
          <cell r="B61" t="str">
            <v xml:space="preserve">03.000.000.004 </v>
          </cell>
          <cell r="H61">
            <v>341.84</v>
          </cell>
        </row>
        <row r="62">
          <cell r="A62" t="str">
            <v xml:space="preserve">03 </v>
          </cell>
          <cell r="B62" t="str">
            <v xml:space="preserve">03.000.000.004 </v>
          </cell>
          <cell r="H62">
            <v>341.84</v>
          </cell>
        </row>
        <row r="63">
          <cell r="A63" t="str">
            <v xml:space="preserve">03 </v>
          </cell>
          <cell r="B63" t="str">
            <v xml:space="preserve">03.000.000.004 </v>
          </cell>
          <cell r="H63">
            <v>170.92</v>
          </cell>
        </row>
        <row r="64">
          <cell r="A64" t="str">
            <v xml:space="preserve">03 </v>
          </cell>
          <cell r="B64" t="str">
            <v xml:space="preserve">03.000.000.004 </v>
          </cell>
          <cell r="H64">
            <v>341.84</v>
          </cell>
        </row>
        <row r="65">
          <cell r="A65" t="str">
            <v xml:space="preserve">03 </v>
          </cell>
          <cell r="B65" t="str">
            <v xml:space="preserve">03.000.000.004 </v>
          </cell>
          <cell r="H65">
            <v>131.22999999999999</v>
          </cell>
        </row>
        <row r="66">
          <cell r="A66" t="str">
            <v xml:space="preserve">03 </v>
          </cell>
          <cell r="B66" t="str">
            <v xml:space="preserve">03.000.000.004 </v>
          </cell>
          <cell r="H66">
            <v>131.22999999999999</v>
          </cell>
        </row>
        <row r="67">
          <cell r="A67" t="str">
            <v xml:space="preserve">03 </v>
          </cell>
          <cell r="B67" t="str">
            <v xml:space="preserve">03.000.000.004 </v>
          </cell>
          <cell r="H67">
            <v>448.37</v>
          </cell>
        </row>
        <row r="68">
          <cell r="A68" t="str">
            <v xml:space="preserve">03 </v>
          </cell>
          <cell r="B68" t="str">
            <v xml:space="preserve">03.000.000.002 </v>
          </cell>
          <cell r="H68">
            <v>106</v>
          </cell>
        </row>
        <row r="69">
          <cell r="A69" t="str">
            <v xml:space="preserve">05 </v>
          </cell>
          <cell r="B69" t="str">
            <v xml:space="preserve">05.002.000.003 </v>
          </cell>
        </row>
        <row r="70">
          <cell r="A70" t="str">
            <v xml:space="preserve">05 </v>
          </cell>
          <cell r="B70" t="str">
            <v xml:space="preserve">05.003.001.002 </v>
          </cell>
          <cell r="H70">
            <v>424.21000000000004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</sheetData>
      <sheetData sheetId="1">
        <row r="6">
          <cell r="A6" t="str">
            <v xml:space="preserve">16 </v>
          </cell>
          <cell r="B6" t="str">
            <v xml:space="preserve">16.000.000.011 </v>
          </cell>
          <cell r="E6">
            <v>-18794.240000000002</v>
          </cell>
        </row>
        <row r="7">
          <cell r="A7" t="str">
            <v xml:space="preserve">05 </v>
          </cell>
          <cell r="B7" t="str">
            <v xml:space="preserve">05.002.000.001 </v>
          </cell>
          <cell r="E7">
            <v>4951.45</v>
          </cell>
        </row>
        <row r="8">
          <cell r="A8" t="str">
            <v xml:space="preserve">05 </v>
          </cell>
          <cell r="B8" t="str">
            <v xml:space="preserve">05.002.000.002 </v>
          </cell>
          <cell r="E8">
            <v>4951.45</v>
          </cell>
        </row>
        <row r="9">
          <cell r="A9" t="str">
            <v xml:space="preserve">05 </v>
          </cell>
          <cell r="B9" t="str">
            <v xml:space="preserve">05.002.000.003 </v>
          </cell>
          <cell r="E9">
            <v>67255.407036726698</v>
          </cell>
        </row>
        <row r="10">
          <cell r="A10" t="str">
            <v xml:space="preserve">05 </v>
          </cell>
          <cell r="B10" t="str">
            <v xml:space="preserve">05.002.000.006 </v>
          </cell>
          <cell r="E10">
            <v>13680</v>
          </cell>
        </row>
        <row r="11">
          <cell r="A11" t="str">
            <v xml:space="preserve"> </v>
          </cell>
        </row>
        <row r="12">
          <cell r="A12" t="str">
            <v xml:space="preserve"> </v>
          </cell>
        </row>
        <row r="13">
          <cell r="A13" t="str">
            <v xml:space="preserve"> </v>
          </cell>
        </row>
        <row r="14">
          <cell r="A14" t="str">
            <v xml:space="preserve"> </v>
          </cell>
        </row>
        <row r="15">
          <cell r="A15" t="str">
            <v xml:space="preserve"> </v>
          </cell>
        </row>
        <row r="16">
          <cell r="A16" t="str">
            <v xml:space="preserve"> </v>
          </cell>
        </row>
        <row r="17">
          <cell r="A17" t="str">
            <v xml:space="preserve"> </v>
          </cell>
        </row>
        <row r="18">
          <cell r="A18" t="str">
            <v xml:space="preserve"> </v>
          </cell>
        </row>
        <row r="19">
          <cell r="A19" t="str">
            <v xml:space="preserve"> </v>
          </cell>
        </row>
        <row r="20">
          <cell r="A20" t="str">
            <v xml:space="preserve"> </v>
          </cell>
        </row>
        <row r="21">
          <cell r="A21" t="str">
            <v xml:space="preserve"> </v>
          </cell>
        </row>
        <row r="22">
          <cell r="A22" t="str">
            <v xml:space="preserve"> </v>
          </cell>
        </row>
        <row r="23">
          <cell r="A23" t="str">
            <v xml:space="preserve"> </v>
          </cell>
        </row>
        <row r="24">
          <cell r="A24" t="str">
            <v xml:space="preserve"> </v>
          </cell>
        </row>
        <row r="25">
          <cell r="A25" t="str">
            <v xml:space="preserve"> </v>
          </cell>
        </row>
        <row r="26">
          <cell r="A26" t="str">
            <v xml:space="preserve"> </v>
          </cell>
        </row>
        <row r="27">
          <cell r="A27" t="str">
            <v xml:space="preserve"> </v>
          </cell>
        </row>
        <row r="28">
          <cell r="A28" t="str">
            <v xml:space="preserve"> </v>
          </cell>
        </row>
        <row r="29">
          <cell r="A29" t="str">
            <v xml:space="preserve"> </v>
          </cell>
        </row>
        <row r="30">
          <cell r="A30" t="str">
            <v xml:space="preserve"> </v>
          </cell>
        </row>
        <row r="31">
          <cell r="A31" t="str">
            <v xml:space="preserve"> </v>
          </cell>
        </row>
        <row r="32">
          <cell r="A32" t="str">
            <v xml:space="preserve"> </v>
          </cell>
        </row>
        <row r="33">
          <cell r="A33" t="str">
            <v xml:space="preserve"> </v>
          </cell>
        </row>
        <row r="34">
          <cell r="A34" t="str">
            <v xml:space="preserve"> </v>
          </cell>
        </row>
        <row r="35">
          <cell r="A35" t="str">
            <v xml:space="preserve"> </v>
          </cell>
        </row>
        <row r="36">
          <cell r="A36" t="str">
            <v xml:space="preserve"> </v>
          </cell>
        </row>
        <row r="37">
          <cell r="A37" t="str">
            <v xml:space="preserve"> </v>
          </cell>
        </row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 </v>
          </cell>
        </row>
        <row r="49">
          <cell r="A49" t="str">
            <v xml:space="preserve"> 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 </v>
          </cell>
        </row>
        <row r="53">
          <cell r="A53" t="str">
            <v xml:space="preserve"> </v>
          </cell>
        </row>
        <row r="54">
          <cell r="A54" t="str">
            <v xml:space="preserve"> </v>
          </cell>
        </row>
        <row r="55">
          <cell r="A55" t="str">
            <v xml:space="preserve"> </v>
          </cell>
        </row>
        <row r="56">
          <cell r="A56" t="str">
            <v xml:space="preserve"> </v>
          </cell>
        </row>
        <row r="57">
          <cell r="A57" t="str">
            <v xml:space="preserve"> </v>
          </cell>
        </row>
        <row r="58">
          <cell r="A58" t="str">
            <v xml:space="preserve"> </v>
          </cell>
        </row>
        <row r="59">
          <cell r="A59" t="str">
            <v xml:space="preserve"> </v>
          </cell>
        </row>
        <row r="60">
          <cell r="A60" t="str">
            <v xml:space="preserve"> 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06 </v>
          </cell>
          <cell r="B168" t="str">
            <v xml:space="preserve">06.000.000.001 </v>
          </cell>
          <cell r="E168">
            <v>91602.215999999986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Tr </v>
          </cell>
          <cell r="B177" t="str">
            <v>Transferência de M.O - Acumulada até Mai/20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2532"/>
  <sheetViews>
    <sheetView topLeftCell="A9" zoomScale="110" zoomScaleNormal="110" workbookViewId="0">
      <pane xSplit="4" ySplit="7" topLeftCell="K840" activePane="bottomRight" state="frozen"/>
      <selection activeCell="A9" sqref="A9"/>
      <selection pane="topRight" activeCell="E9" sqref="E9"/>
      <selection pane="bottomLeft" activeCell="A16" sqref="A16"/>
      <selection pane="bottomRight" activeCell="I492" sqref="I492:P858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7" max="37" width="10.140625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58" max="58" width="9.425781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0" max="70" width="9.42578125" bestFit="1" customWidth="1"/>
    <col min="75" max="75" width="10" bestFit="1" customWidth="1"/>
    <col min="76" max="76" width="9.42578125" bestFit="1" customWidth="1"/>
    <col min="79" max="79" width="9.7109375" bestFit="1" customWidth="1"/>
    <col min="82" max="82" width="9.7109375" bestFit="1" customWidth="1"/>
    <col min="84" max="84" width="10.5703125" bestFit="1" customWidth="1"/>
    <col min="85" max="85" width="9.42578125" bestFit="1" customWidth="1"/>
    <col min="88" max="88" width="9.42578125" bestFit="1" customWidth="1"/>
  </cols>
  <sheetData>
    <row r="1" spans="1:110" x14ac:dyDescent="0.2">
      <c r="C1" s="130" t="s">
        <v>199</v>
      </c>
    </row>
    <row r="2" spans="1:110" x14ac:dyDescent="0.2">
      <c r="C2" s="359" t="s">
        <v>200</v>
      </c>
    </row>
    <row r="3" spans="1:110" x14ac:dyDescent="0.2">
      <c r="C3" s="130" t="s">
        <v>201</v>
      </c>
    </row>
    <row r="4" spans="1:110" x14ac:dyDescent="0.2">
      <c r="C4" s="359" t="s">
        <v>202</v>
      </c>
    </row>
    <row r="5" spans="1:110" x14ac:dyDescent="0.2">
      <c r="C5" s="359" t="s">
        <v>203</v>
      </c>
    </row>
    <row r="6" spans="1:110" x14ac:dyDescent="0.2">
      <c r="C6" s="359" t="s">
        <v>204</v>
      </c>
    </row>
    <row r="7" spans="1:110" x14ac:dyDescent="0.2">
      <c r="C7" s="359" t="s">
        <v>205</v>
      </c>
    </row>
    <row r="8" spans="1:110" x14ac:dyDescent="0.2">
      <c r="C8" t="s">
        <v>206</v>
      </c>
    </row>
    <row r="9" spans="1:110" x14ac:dyDescent="0.2">
      <c r="C9" s="359" t="s">
        <v>209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44043</v>
      </c>
      <c r="M10">
        <v>44074</v>
      </c>
      <c r="P10">
        <v>44104</v>
      </c>
      <c r="S10">
        <v>44135</v>
      </c>
      <c r="V10">
        <v>44165</v>
      </c>
      <c r="Y10">
        <v>44196</v>
      </c>
      <c r="AB10">
        <v>44227</v>
      </c>
      <c r="AE10">
        <v>44255</v>
      </c>
      <c r="AH10">
        <v>44286</v>
      </c>
      <c r="AK10">
        <v>44316</v>
      </c>
      <c r="AN10">
        <v>44347</v>
      </c>
      <c r="AQ10">
        <v>44377</v>
      </c>
      <c r="AT10">
        <v>44408</v>
      </c>
      <c r="AW10">
        <v>44439</v>
      </c>
      <c r="AZ10">
        <v>44469</v>
      </c>
      <c r="BC10">
        <v>44500</v>
      </c>
      <c r="BF10">
        <v>44530</v>
      </c>
      <c r="BI10">
        <v>44561</v>
      </c>
      <c r="BL10">
        <v>44592</v>
      </c>
      <c r="BO10">
        <v>44620</v>
      </c>
      <c r="BR10">
        <v>44651</v>
      </c>
      <c r="BU10">
        <v>44681</v>
      </c>
      <c r="BX10">
        <v>44712</v>
      </c>
      <c r="CA10">
        <v>44742</v>
      </c>
      <c r="CD10">
        <v>44773</v>
      </c>
    </row>
    <row r="11" spans="1:110" x14ac:dyDescent="0.2">
      <c r="A11" s="487"/>
      <c r="B11" s="483"/>
      <c r="C11" s="483"/>
      <c r="D11" s="483"/>
      <c r="E11" s="483"/>
      <c r="F11" s="483"/>
      <c r="G11" s="483"/>
      <c r="H11" s="483"/>
      <c r="I11" s="483"/>
      <c r="J11" s="483">
        <v>1</v>
      </c>
      <c r="K11" s="483"/>
      <c r="L11" s="483"/>
      <c r="M11" s="483">
        <v>2</v>
      </c>
      <c r="N11" s="483"/>
      <c r="O11" s="483"/>
      <c r="P11" s="483">
        <v>3</v>
      </c>
      <c r="Q11" s="483"/>
      <c r="R11" s="483"/>
      <c r="S11" s="483">
        <v>4</v>
      </c>
      <c r="T11" s="483"/>
      <c r="U11" s="483"/>
      <c r="V11" s="483">
        <v>5</v>
      </c>
      <c r="W11" s="483"/>
      <c r="X11" s="483"/>
      <c r="Y11" s="483">
        <v>6</v>
      </c>
      <c r="Z11" s="483"/>
      <c r="AA11" s="483"/>
      <c r="AB11" s="483">
        <v>7</v>
      </c>
      <c r="AC11" s="483"/>
      <c r="AD11" s="483"/>
      <c r="AE11" s="483">
        <v>8</v>
      </c>
      <c r="AF11" s="483"/>
      <c r="AG11" s="483"/>
      <c r="AH11" s="483">
        <v>9</v>
      </c>
      <c r="AI11" s="483"/>
      <c r="AJ11" s="483"/>
      <c r="AK11" s="483">
        <v>10</v>
      </c>
      <c r="AL11" s="483"/>
      <c r="AM11" s="483"/>
      <c r="AN11" s="483">
        <v>11</v>
      </c>
      <c r="AO11" s="483"/>
      <c r="AP11" s="483"/>
      <c r="AQ11" s="483">
        <v>12</v>
      </c>
      <c r="AR11" s="483"/>
      <c r="AS11" s="483"/>
      <c r="AT11" s="483">
        <v>13</v>
      </c>
      <c r="AU11" s="483"/>
      <c r="AV11" s="483"/>
      <c r="AW11" s="483">
        <v>14</v>
      </c>
      <c r="AX11" s="483"/>
      <c r="AY11" s="483"/>
      <c r="AZ11" s="483">
        <v>15</v>
      </c>
      <c r="BA11" s="483"/>
      <c r="BB11" s="483"/>
      <c r="BC11" s="483">
        <v>16</v>
      </c>
      <c r="BD11" s="483"/>
      <c r="BE11" s="483"/>
      <c r="BF11" s="483">
        <v>17</v>
      </c>
      <c r="BG11" s="483"/>
      <c r="BH11" s="483"/>
      <c r="BI11" s="483">
        <v>18</v>
      </c>
      <c r="BJ11" s="483"/>
      <c r="BK11" s="483"/>
      <c r="BL11" s="483">
        <v>19</v>
      </c>
      <c r="BM11" s="483"/>
      <c r="BN11" s="483"/>
      <c r="BO11" s="483">
        <v>20</v>
      </c>
      <c r="BP11" s="483"/>
      <c r="BQ11" s="483"/>
      <c r="BR11" s="483">
        <v>21</v>
      </c>
      <c r="BS11" s="483"/>
      <c r="BT11" s="483"/>
      <c r="BU11" s="483">
        <v>22</v>
      </c>
      <c r="BV11" s="483"/>
      <c r="BW11" s="483"/>
      <c r="BX11" s="483">
        <v>23</v>
      </c>
      <c r="BY11" s="483"/>
      <c r="BZ11" s="483"/>
      <c r="CA11" s="483">
        <v>24</v>
      </c>
      <c r="CB11" s="483"/>
      <c r="CC11" s="483"/>
      <c r="CD11" s="483">
        <v>25</v>
      </c>
      <c r="CE11" s="483"/>
      <c r="CF11" s="994"/>
      <c r="CG11" s="994"/>
      <c r="CH11" s="994"/>
      <c r="CI11" s="389"/>
      <c r="CJ11" s="994"/>
      <c r="CK11" s="389"/>
      <c r="CL11" s="389"/>
      <c r="CM11" s="994"/>
      <c r="CN11" s="389"/>
    </row>
    <row r="12" spans="1:110" s="117" customFormat="1" ht="15" customHeight="1" x14ac:dyDescent="0.2">
      <c r="A12" s="540">
        <v>1</v>
      </c>
      <c r="B12" s="541">
        <v>2</v>
      </c>
      <c r="C12" s="540">
        <v>3</v>
      </c>
      <c r="D12" s="541">
        <v>4</v>
      </c>
      <c r="E12" s="540">
        <v>5</v>
      </c>
      <c r="F12" s="541">
        <v>6</v>
      </c>
      <c r="G12" s="540">
        <v>7</v>
      </c>
      <c r="H12" s="541">
        <v>8</v>
      </c>
      <c r="I12" s="540">
        <v>9</v>
      </c>
      <c r="J12" s="541">
        <v>10</v>
      </c>
      <c r="K12" s="540">
        <v>11</v>
      </c>
      <c r="L12" s="541">
        <v>12</v>
      </c>
      <c r="M12" s="540">
        <v>13</v>
      </c>
      <c r="N12" s="541">
        <v>14</v>
      </c>
      <c r="O12" s="540">
        <v>15</v>
      </c>
      <c r="P12" s="541">
        <v>16</v>
      </c>
      <c r="Q12" s="540">
        <v>17</v>
      </c>
      <c r="R12" s="541">
        <v>18</v>
      </c>
      <c r="S12" s="540">
        <v>19</v>
      </c>
      <c r="T12" s="541">
        <v>20</v>
      </c>
      <c r="U12" s="540">
        <v>21</v>
      </c>
      <c r="V12" s="541">
        <v>22</v>
      </c>
      <c r="W12" s="540">
        <v>23</v>
      </c>
      <c r="X12" s="541">
        <v>24</v>
      </c>
      <c r="Y12" s="540">
        <v>25</v>
      </c>
      <c r="Z12" s="541">
        <v>26</v>
      </c>
      <c r="AA12" s="540">
        <v>27</v>
      </c>
      <c r="AB12" s="541">
        <v>28</v>
      </c>
      <c r="AC12" s="540">
        <v>29</v>
      </c>
      <c r="AD12" s="541">
        <v>30</v>
      </c>
      <c r="AE12" s="540">
        <v>31</v>
      </c>
      <c r="AF12" s="541">
        <v>32</v>
      </c>
      <c r="AG12" s="540">
        <v>33</v>
      </c>
      <c r="AH12" s="541">
        <v>34</v>
      </c>
      <c r="AI12" s="540">
        <v>35</v>
      </c>
      <c r="AJ12" s="541">
        <v>36</v>
      </c>
      <c r="AK12" s="540">
        <v>37</v>
      </c>
      <c r="AL12" s="541">
        <v>38</v>
      </c>
      <c r="AM12" s="540">
        <v>39</v>
      </c>
      <c r="AN12" s="541">
        <v>40</v>
      </c>
      <c r="AO12" s="540">
        <v>41</v>
      </c>
      <c r="AP12" s="541">
        <v>42</v>
      </c>
      <c r="AQ12" s="540">
        <v>43</v>
      </c>
      <c r="AR12" s="541">
        <v>44</v>
      </c>
      <c r="AS12" s="540">
        <v>45</v>
      </c>
      <c r="AT12" s="541">
        <v>46</v>
      </c>
      <c r="AU12" s="540">
        <v>47</v>
      </c>
      <c r="AV12" s="541">
        <v>48</v>
      </c>
      <c r="AW12" s="540">
        <v>49</v>
      </c>
      <c r="AX12" s="541">
        <v>50</v>
      </c>
      <c r="AY12" s="540">
        <v>51</v>
      </c>
      <c r="AZ12" s="541">
        <v>52</v>
      </c>
      <c r="BA12" s="540">
        <v>53</v>
      </c>
      <c r="BB12" s="541">
        <v>54</v>
      </c>
      <c r="BC12" s="540">
        <v>55</v>
      </c>
      <c r="BD12" s="541">
        <v>56</v>
      </c>
      <c r="BE12" s="540">
        <v>57</v>
      </c>
      <c r="BF12" s="541">
        <v>58</v>
      </c>
      <c r="BG12" s="540">
        <v>59</v>
      </c>
      <c r="BH12" s="541">
        <v>60</v>
      </c>
      <c r="BI12" s="540">
        <v>61</v>
      </c>
      <c r="BJ12" s="541">
        <v>62</v>
      </c>
      <c r="BK12" s="540">
        <v>63</v>
      </c>
      <c r="BL12" s="541">
        <v>64</v>
      </c>
      <c r="BM12" s="540">
        <v>65</v>
      </c>
      <c r="BN12" s="541">
        <v>66</v>
      </c>
      <c r="BO12" s="540">
        <v>67</v>
      </c>
      <c r="BP12" s="541">
        <v>68</v>
      </c>
      <c r="BQ12" s="540">
        <v>69</v>
      </c>
      <c r="BR12" s="541">
        <v>70</v>
      </c>
      <c r="BS12" s="540">
        <v>71</v>
      </c>
      <c r="BT12" s="541">
        <v>72</v>
      </c>
      <c r="BU12" s="540">
        <v>73</v>
      </c>
      <c r="BV12" s="541">
        <v>74</v>
      </c>
      <c r="BW12" s="540">
        <v>75</v>
      </c>
      <c r="BX12" s="541">
        <v>76</v>
      </c>
      <c r="BY12" s="540">
        <v>77</v>
      </c>
      <c r="BZ12" s="541">
        <v>78</v>
      </c>
      <c r="CA12" s="540">
        <v>79</v>
      </c>
      <c r="CB12" s="541">
        <v>80</v>
      </c>
      <c r="CC12" s="540">
        <v>81</v>
      </c>
      <c r="CD12" s="541">
        <v>82</v>
      </c>
      <c r="CE12" s="540">
        <v>83</v>
      </c>
      <c r="CF12" s="995"/>
      <c r="CG12" s="996"/>
      <c r="CH12" s="995"/>
      <c r="CI12" s="996"/>
      <c r="CJ12" s="995"/>
      <c r="CK12" s="996"/>
      <c r="CL12" s="995"/>
      <c r="CM12" s="996"/>
      <c r="CN12" s="995"/>
    </row>
    <row r="13" spans="1:110" ht="8.4499999999999993" customHeight="1" x14ac:dyDescent="0.2">
      <c r="B13" s="83"/>
      <c r="C13" s="83"/>
      <c r="D13" s="83"/>
      <c r="E13" s="83"/>
      <c r="F13" s="83"/>
      <c r="G13" s="1008"/>
      <c r="H13" s="1008"/>
      <c r="I13" s="1003" t="s">
        <v>50</v>
      </c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 t="s">
        <v>50</v>
      </c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 t="s">
        <v>50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 t="s">
        <v>50</v>
      </c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 t="s">
        <v>50</v>
      </c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 t="s">
        <v>50</v>
      </c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 t="s">
        <v>50</v>
      </c>
      <c r="CD13" s="1003"/>
      <c r="CE13" s="1010"/>
      <c r="CF13" s="464"/>
      <c r="CG13" s="464"/>
      <c r="CH13" s="464"/>
      <c r="CI13" s="464"/>
      <c r="CJ13" s="464"/>
      <c r="CK13" s="464"/>
      <c r="CL13" s="464"/>
      <c r="CM13" s="464"/>
      <c r="CN13" s="464"/>
      <c r="CO13" s="464"/>
      <c r="CP13" s="464"/>
      <c r="CQ13" s="464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64"/>
      <c r="DC13" s="464"/>
      <c r="DD13" s="464"/>
      <c r="DE13" s="464"/>
      <c r="DF13" s="464"/>
    </row>
    <row r="14" spans="1:110" ht="8.4499999999999993" customHeight="1" x14ac:dyDescent="0.2">
      <c r="B14" s="84"/>
      <c r="C14" s="84"/>
      <c r="D14" s="84"/>
      <c r="E14" s="84"/>
      <c r="F14" s="84"/>
      <c r="G14" s="1009" t="s">
        <v>51</v>
      </c>
      <c r="H14" s="1009"/>
      <c r="I14" s="1003" t="s">
        <v>1938</v>
      </c>
      <c r="J14" s="1003"/>
      <c r="K14" s="1003"/>
      <c r="L14" s="1003" t="s">
        <v>1939</v>
      </c>
      <c r="M14" s="1003"/>
      <c r="N14" s="1003"/>
      <c r="O14" s="1003" t="s">
        <v>1940</v>
      </c>
      <c r="P14" s="1003"/>
      <c r="Q14" s="1003"/>
      <c r="R14" s="1003" t="s">
        <v>1941</v>
      </c>
      <c r="S14" s="1003"/>
      <c r="T14" s="1003"/>
      <c r="U14" s="1003" t="s">
        <v>1942</v>
      </c>
      <c r="V14" s="1003"/>
      <c r="W14" s="1003"/>
      <c r="X14" s="1003" t="s">
        <v>1943</v>
      </c>
      <c r="Y14" s="1003"/>
      <c r="Z14" s="1003"/>
      <c r="AA14" s="1003" t="s">
        <v>1944</v>
      </c>
      <c r="AB14" s="1003"/>
      <c r="AC14" s="1003"/>
      <c r="AD14" s="1003" t="s">
        <v>1945</v>
      </c>
      <c r="AE14" s="1003"/>
      <c r="AF14" s="1003"/>
      <c r="AG14" s="1003" t="s">
        <v>1946</v>
      </c>
      <c r="AH14" s="1003"/>
      <c r="AI14" s="1003"/>
      <c r="AJ14" s="1003" t="s">
        <v>1947</v>
      </c>
      <c r="AK14" s="1003"/>
      <c r="AL14" s="1003"/>
      <c r="AM14" s="1003" t="s">
        <v>1995</v>
      </c>
      <c r="AN14" s="1003"/>
      <c r="AO14" s="1003"/>
      <c r="AP14" s="1003" t="s">
        <v>1996</v>
      </c>
      <c r="AQ14" s="1003"/>
      <c r="AR14" s="1003"/>
      <c r="AS14" s="1003" t="s">
        <v>1997</v>
      </c>
      <c r="AT14" s="1003"/>
      <c r="AU14" s="1003"/>
      <c r="AV14" s="1003" t="s">
        <v>1998</v>
      </c>
      <c r="AW14" s="1003"/>
      <c r="AX14" s="1003"/>
      <c r="AY14" s="1003" t="s">
        <v>1999</v>
      </c>
      <c r="AZ14" s="1003"/>
      <c r="BA14" s="1003"/>
      <c r="BB14" s="1003" t="s">
        <v>2000</v>
      </c>
      <c r="BC14" s="1003"/>
      <c r="BD14" s="1003"/>
      <c r="BE14" s="1003" t="s">
        <v>2001</v>
      </c>
      <c r="BF14" s="1003"/>
      <c r="BG14" s="1003"/>
      <c r="BH14" s="1003" t="s">
        <v>2002</v>
      </c>
      <c r="BI14" s="1003"/>
      <c r="BJ14" s="1003"/>
      <c r="BK14" s="1003" t="s">
        <v>2003</v>
      </c>
      <c r="BL14" s="1003"/>
      <c r="BM14" s="1003"/>
      <c r="BN14" s="1003" t="s">
        <v>2004</v>
      </c>
      <c r="BO14" s="1003"/>
      <c r="BP14" s="1003"/>
      <c r="BQ14" s="1003" t="s">
        <v>2005</v>
      </c>
      <c r="BR14" s="1003"/>
      <c r="BS14" s="1003"/>
      <c r="BT14" s="1003" t="s">
        <v>2006</v>
      </c>
      <c r="BU14" s="1003"/>
      <c r="BV14" s="1003"/>
      <c r="BW14" s="1003" t="s">
        <v>2007</v>
      </c>
      <c r="BX14" s="1003"/>
      <c r="BY14" s="1003"/>
      <c r="BZ14" s="1003" t="s">
        <v>2192</v>
      </c>
      <c r="CA14" s="1003"/>
      <c r="CB14" s="1003"/>
      <c r="CC14" s="1003" t="s">
        <v>2777</v>
      </c>
      <c r="CD14" s="1003"/>
      <c r="CE14" s="1010"/>
      <c r="CF14" s="464"/>
      <c r="CG14" s="464"/>
      <c r="CH14" s="464"/>
      <c r="CI14" s="464"/>
      <c r="CJ14" s="464"/>
      <c r="CK14" s="464"/>
      <c r="CL14" s="464"/>
      <c r="CM14" s="464"/>
      <c r="CN14" s="464"/>
      <c r="CO14" s="464"/>
      <c r="CP14" s="464"/>
      <c r="CQ14" s="464"/>
      <c r="CR14" s="464"/>
      <c r="CS14" s="464"/>
      <c r="CT14" s="464"/>
      <c r="CU14" s="464"/>
      <c r="CV14" s="464"/>
      <c r="CW14" s="464"/>
      <c r="CX14" s="464"/>
      <c r="CY14" s="464"/>
      <c r="CZ14" s="464"/>
      <c r="DA14" s="464"/>
      <c r="DB14" s="464"/>
      <c r="DC14" s="464"/>
      <c r="DD14" s="464"/>
      <c r="DE14" s="464"/>
      <c r="DF14" s="464"/>
    </row>
    <row r="15" spans="1:110" ht="16.899999999999999" customHeight="1" x14ac:dyDescent="0.2">
      <c r="B15" s="85" t="s">
        <v>52</v>
      </c>
      <c r="C15" s="85" t="s">
        <v>39</v>
      </c>
      <c r="D15" s="85" t="s">
        <v>53</v>
      </c>
      <c r="E15" s="85" t="s">
        <v>54</v>
      </c>
      <c r="F15" s="85" t="s">
        <v>55</v>
      </c>
      <c r="G15" s="793" t="s">
        <v>3</v>
      </c>
      <c r="H15" s="793" t="s">
        <v>56</v>
      </c>
      <c r="I15" s="793" t="s">
        <v>3</v>
      </c>
      <c r="J15" s="793" t="s">
        <v>57</v>
      </c>
      <c r="K15" s="793" t="s">
        <v>58</v>
      </c>
      <c r="L15" s="793" t="s">
        <v>3</v>
      </c>
      <c r="M15" s="793" t="s">
        <v>57</v>
      </c>
      <c r="N15" s="793" t="s">
        <v>58</v>
      </c>
      <c r="O15" s="793" t="s">
        <v>3</v>
      </c>
      <c r="P15" s="793" t="s">
        <v>57</v>
      </c>
      <c r="Q15" s="793" t="s">
        <v>58</v>
      </c>
      <c r="R15" s="793" t="s">
        <v>3</v>
      </c>
      <c r="S15" s="793" t="s">
        <v>57</v>
      </c>
      <c r="T15" s="793" t="s">
        <v>58</v>
      </c>
      <c r="U15" s="793" t="s">
        <v>3</v>
      </c>
      <c r="V15" s="793" t="s">
        <v>57</v>
      </c>
      <c r="W15" s="793" t="s">
        <v>58</v>
      </c>
      <c r="X15" s="793" t="s">
        <v>3</v>
      </c>
      <c r="Y15" s="793" t="s">
        <v>57</v>
      </c>
      <c r="Z15" s="793" t="s">
        <v>58</v>
      </c>
      <c r="AA15" s="793" t="s">
        <v>3</v>
      </c>
      <c r="AB15" s="793" t="s">
        <v>57</v>
      </c>
      <c r="AC15" s="793" t="s">
        <v>58</v>
      </c>
      <c r="AD15" s="793" t="s">
        <v>3</v>
      </c>
      <c r="AE15" s="793" t="s">
        <v>57</v>
      </c>
      <c r="AF15" s="793" t="s">
        <v>58</v>
      </c>
      <c r="AG15" s="793" t="s">
        <v>3</v>
      </c>
      <c r="AH15" s="793" t="s">
        <v>57</v>
      </c>
      <c r="AI15" s="793" t="s">
        <v>58</v>
      </c>
      <c r="AJ15" s="793" t="s">
        <v>3</v>
      </c>
      <c r="AK15" s="793" t="s">
        <v>57</v>
      </c>
      <c r="AL15" s="793" t="s">
        <v>58</v>
      </c>
      <c r="AM15" s="793" t="s">
        <v>3</v>
      </c>
      <c r="AN15" s="793" t="s">
        <v>57</v>
      </c>
      <c r="AO15" s="793" t="s">
        <v>58</v>
      </c>
      <c r="AP15" s="793" t="s">
        <v>3</v>
      </c>
      <c r="AQ15" s="793" t="s">
        <v>57</v>
      </c>
      <c r="AR15" s="793" t="s">
        <v>58</v>
      </c>
      <c r="AS15" s="793" t="s">
        <v>3</v>
      </c>
      <c r="AT15" s="793" t="s">
        <v>57</v>
      </c>
      <c r="AU15" s="793" t="s">
        <v>58</v>
      </c>
      <c r="AV15" s="793" t="s">
        <v>3</v>
      </c>
      <c r="AW15" s="793" t="s">
        <v>57</v>
      </c>
      <c r="AX15" s="793" t="s">
        <v>58</v>
      </c>
      <c r="AY15" s="793" t="s">
        <v>3</v>
      </c>
      <c r="AZ15" s="793" t="s">
        <v>57</v>
      </c>
      <c r="BA15" s="793" t="s">
        <v>58</v>
      </c>
      <c r="BB15" s="793" t="s">
        <v>3</v>
      </c>
      <c r="BC15" s="793" t="s">
        <v>57</v>
      </c>
      <c r="BD15" s="793" t="s">
        <v>58</v>
      </c>
      <c r="BE15" s="793" t="s">
        <v>3</v>
      </c>
      <c r="BF15" s="793" t="s">
        <v>57</v>
      </c>
      <c r="BG15" s="793" t="s">
        <v>58</v>
      </c>
      <c r="BH15" s="793" t="s">
        <v>3</v>
      </c>
      <c r="BI15" s="793" t="s">
        <v>57</v>
      </c>
      <c r="BJ15" s="793" t="s">
        <v>58</v>
      </c>
      <c r="BK15" s="793" t="s">
        <v>3</v>
      </c>
      <c r="BL15" s="793" t="s">
        <v>57</v>
      </c>
      <c r="BM15" s="793" t="s">
        <v>58</v>
      </c>
      <c r="BN15" s="793" t="s">
        <v>3</v>
      </c>
      <c r="BO15" s="793" t="s">
        <v>57</v>
      </c>
      <c r="BP15" s="793" t="s">
        <v>58</v>
      </c>
      <c r="BQ15" s="793" t="s">
        <v>3</v>
      </c>
      <c r="BR15" s="793" t="s">
        <v>57</v>
      </c>
      <c r="BS15" s="793" t="s">
        <v>58</v>
      </c>
      <c r="BT15" s="793" t="s">
        <v>3</v>
      </c>
      <c r="BU15" s="793" t="s">
        <v>57</v>
      </c>
      <c r="BV15" s="793" t="s">
        <v>58</v>
      </c>
      <c r="BW15" s="793" t="s">
        <v>3</v>
      </c>
      <c r="BX15" s="793" t="s">
        <v>57</v>
      </c>
      <c r="BY15" s="793" t="s">
        <v>58</v>
      </c>
      <c r="BZ15" s="793" t="s">
        <v>3</v>
      </c>
      <c r="CA15" s="793" t="s">
        <v>57</v>
      </c>
      <c r="CB15" s="793" t="s">
        <v>58</v>
      </c>
      <c r="CC15" s="793" t="s">
        <v>3</v>
      </c>
      <c r="CD15" s="793" t="s">
        <v>57</v>
      </c>
      <c r="CE15" s="987" t="s">
        <v>58</v>
      </c>
      <c r="CF15" s="460"/>
      <c r="CG15" s="460"/>
      <c r="CH15" s="460"/>
      <c r="CI15" s="460"/>
      <c r="CJ15" s="460"/>
      <c r="CK15" s="460"/>
      <c r="CL15" s="460"/>
      <c r="CM15" s="460"/>
      <c r="CN15" s="460"/>
      <c r="CO15" s="464"/>
      <c r="CP15" s="464"/>
      <c r="CQ15" s="460"/>
      <c r="CR15" s="460"/>
      <c r="CS15" s="460"/>
      <c r="CT15" s="460"/>
      <c r="CU15" s="460"/>
      <c r="CV15" s="460"/>
      <c r="CW15" s="460"/>
      <c r="CX15" s="464"/>
      <c r="CY15" s="464"/>
      <c r="CZ15" s="460"/>
      <c r="DA15" s="460"/>
      <c r="DB15" s="464"/>
      <c r="DC15" s="464"/>
      <c r="DD15" s="464"/>
      <c r="DE15" s="464"/>
      <c r="DF15" s="460"/>
    </row>
    <row r="16" spans="1:110" ht="8.4499999999999993" customHeight="1" x14ac:dyDescent="0.2">
      <c r="A16" s="130" t="s">
        <v>75</v>
      </c>
      <c r="B16" s="86">
        <v>1</v>
      </c>
      <c r="C16" s="87" t="s">
        <v>330</v>
      </c>
      <c r="D16" s="103">
        <v>446</v>
      </c>
      <c r="E16" s="87" t="s">
        <v>1557</v>
      </c>
      <c r="F16" s="87" t="s">
        <v>2013</v>
      </c>
      <c r="G16" s="105">
        <v>170985</v>
      </c>
      <c r="H16" s="90">
        <v>1.94</v>
      </c>
      <c r="I16" s="92">
        <v>3000</v>
      </c>
      <c r="J16" s="90">
        <v>1.75</v>
      </c>
      <c r="K16" s="90">
        <v>1.75</v>
      </c>
      <c r="L16" s="94"/>
      <c r="M16" s="94"/>
      <c r="N16" s="90">
        <v>1.75</v>
      </c>
      <c r="O16" s="92">
        <v>6204.91</v>
      </c>
      <c r="P16" s="90">
        <v>3.63</v>
      </c>
      <c r="Q16" s="90">
        <v>5.38</v>
      </c>
      <c r="R16" s="89">
        <v>27768.639999999999</v>
      </c>
      <c r="S16" s="91">
        <v>16.239999999999998</v>
      </c>
      <c r="T16" s="91">
        <v>21.62</v>
      </c>
      <c r="U16" s="89">
        <v>32059.78</v>
      </c>
      <c r="V16" s="91">
        <v>18.75</v>
      </c>
      <c r="W16" s="91">
        <v>40.369999999999997</v>
      </c>
      <c r="X16" s="89">
        <v>20937.5</v>
      </c>
      <c r="Y16" s="91">
        <v>12.25</v>
      </c>
      <c r="Z16" s="91">
        <v>52.62</v>
      </c>
      <c r="AA16" s="92">
        <v>6014.18</v>
      </c>
      <c r="AB16" s="90">
        <v>3.52</v>
      </c>
      <c r="AC16" s="91">
        <v>56.14</v>
      </c>
      <c r="AD16" s="94"/>
      <c r="AE16" s="94"/>
      <c r="AF16" s="91">
        <v>56.14</v>
      </c>
      <c r="AG16" s="92">
        <v>2800</v>
      </c>
      <c r="AH16" s="90">
        <v>1.64</v>
      </c>
      <c r="AI16" s="91">
        <v>57.77</v>
      </c>
      <c r="AJ16" s="94"/>
      <c r="AK16" s="94"/>
      <c r="AL16" s="91">
        <v>57.77</v>
      </c>
      <c r="AM16" s="92">
        <v>3500</v>
      </c>
      <c r="AN16" s="90">
        <v>2.0499999999999998</v>
      </c>
      <c r="AO16" s="91">
        <v>59.82</v>
      </c>
      <c r="AP16" s="89">
        <v>50000</v>
      </c>
      <c r="AQ16" s="91">
        <v>29.24</v>
      </c>
      <c r="AR16" s="91">
        <v>89.06</v>
      </c>
      <c r="AS16" s="94"/>
      <c r="AT16" s="94"/>
      <c r="AU16" s="91">
        <v>89.06</v>
      </c>
      <c r="AV16" s="94"/>
      <c r="AW16" s="94"/>
      <c r="AX16" s="91">
        <v>89.06</v>
      </c>
      <c r="AY16" s="94"/>
      <c r="AZ16" s="94"/>
      <c r="BA16" s="91">
        <v>89.06</v>
      </c>
      <c r="BB16" s="94"/>
      <c r="BC16" s="94"/>
      <c r="BD16" s="91">
        <v>89.06</v>
      </c>
      <c r="BE16" s="89">
        <v>15000</v>
      </c>
      <c r="BF16" s="90">
        <v>8.77</v>
      </c>
      <c r="BG16" s="91">
        <v>97.84</v>
      </c>
      <c r="BH16" s="92">
        <v>2400</v>
      </c>
      <c r="BI16" s="90">
        <v>1.4</v>
      </c>
      <c r="BJ16" s="91">
        <v>99.24</v>
      </c>
      <c r="BK16" s="94"/>
      <c r="BL16" s="94"/>
      <c r="BM16" s="91">
        <v>99.24</v>
      </c>
      <c r="BN16" s="94"/>
      <c r="BO16" s="94"/>
      <c r="BP16" s="91">
        <v>99.24</v>
      </c>
      <c r="BQ16" s="92">
        <v>1300</v>
      </c>
      <c r="BR16" s="90">
        <v>0.76</v>
      </c>
      <c r="BS16" s="93">
        <v>100</v>
      </c>
      <c r="BT16" s="94"/>
      <c r="BU16" s="94"/>
      <c r="BV16" s="93">
        <v>100</v>
      </c>
      <c r="BW16" s="94"/>
      <c r="BX16" s="94"/>
      <c r="BY16" s="93">
        <v>100</v>
      </c>
      <c r="BZ16" s="94"/>
      <c r="CA16" s="94"/>
      <c r="CB16" s="93">
        <v>100</v>
      </c>
      <c r="CC16" s="94"/>
      <c r="CD16" s="94"/>
      <c r="CE16" s="988">
        <v>100</v>
      </c>
      <c r="CF16" s="460"/>
      <c r="CG16" s="460"/>
      <c r="CH16" s="405"/>
      <c r="CI16" s="460"/>
      <c r="CJ16" s="460"/>
      <c r="CK16" s="405"/>
      <c r="CL16" s="460"/>
      <c r="CM16" s="460"/>
      <c r="CN16" s="460"/>
      <c r="CO16" s="466"/>
      <c r="CP16" s="464"/>
      <c r="CQ16" s="404"/>
      <c r="CR16" s="403"/>
      <c r="CS16" s="462"/>
      <c r="CT16" s="404"/>
      <c r="CU16" s="403"/>
      <c r="CV16" s="462"/>
      <c r="CW16" s="404"/>
      <c r="CX16" s="465"/>
      <c r="CY16" s="464"/>
      <c r="CZ16" s="462"/>
      <c r="DA16" s="404"/>
      <c r="DB16" s="465"/>
      <c r="DC16" s="464"/>
      <c r="DD16" s="466"/>
      <c r="DE16" s="464"/>
      <c r="DF16" s="405"/>
    </row>
    <row r="17" spans="1:110" ht="8.4499999999999993" customHeight="1" x14ac:dyDescent="0.2">
      <c r="A17" s="130" t="s">
        <v>76</v>
      </c>
      <c r="B17" s="95">
        <v>2</v>
      </c>
      <c r="C17" s="82" t="s">
        <v>2363</v>
      </c>
      <c r="D17" s="96">
        <v>43</v>
      </c>
      <c r="E17" s="82" t="s">
        <v>2364</v>
      </c>
      <c r="F17" s="82" t="s">
        <v>2365</v>
      </c>
      <c r="G17" s="97">
        <v>56000</v>
      </c>
      <c r="H17" s="98">
        <v>0.64</v>
      </c>
      <c r="I17" s="99"/>
      <c r="J17" s="99"/>
      <c r="K17" s="99"/>
      <c r="L17" s="99"/>
      <c r="M17" s="99"/>
      <c r="N17" s="99"/>
      <c r="O17" s="99"/>
      <c r="P17" s="99"/>
      <c r="Q17" s="99"/>
      <c r="R17" s="97">
        <v>15629.6</v>
      </c>
      <c r="S17" s="102">
        <v>27.91</v>
      </c>
      <c r="T17" s="102">
        <v>27.91</v>
      </c>
      <c r="U17" s="97">
        <v>26045.599999999999</v>
      </c>
      <c r="V17" s="102">
        <v>46.51</v>
      </c>
      <c r="W17" s="102">
        <v>74.42</v>
      </c>
      <c r="X17" s="97">
        <v>14324.8</v>
      </c>
      <c r="Y17" s="102">
        <v>25.58</v>
      </c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100">
        <v>100</v>
      </c>
      <c r="BW17" s="99"/>
      <c r="BX17" s="99"/>
      <c r="BY17" s="100">
        <v>100</v>
      </c>
      <c r="BZ17" s="99"/>
      <c r="CA17" s="99"/>
      <c r="CB17" s="100">
        <v>100</v>
      </c>
      <c r="CC17" s="99"/>
      <c r="CD17" s="99"/>
      <c r="CE17" s="989">
        <v>100</v>
      </c>
      <c r="CF17" s="406"/>
      <c r="CG17" s="406"/>
      <c r="CH17" s="407"/>
      <c r="CI17" s="406"/>
      <c r="CJ17" s="406"/>
      <c r="CK17" s="407"/>
      <c r="CL17" s="406"/>
      <c r="CM17" s="406"/>
      <c r="CN17" s="406"/>
      <c r="CO17" s="467"/>
      <c r="CP17" s="467"/>
      <c r="CQ17" s="407"/>
      <c r="CR17" s="406"/>
      <c r="CS17" s="406"/>
      <c r="CT17" s="407"/>
      <c r="CU17" s="406"/>
      <c r="CV17" s="406"/>
      <c r="CW17" s="407"/>
      <c r="CX17" s="467"/>
      <c r="CY17" s="467"/>
      <c r="CZ17" s="406"/>
      <c r="DA17" s="407"/>
      <c r="DB17" s="467"/>
      <c r="DC17" s="467"/>
      <c r="DD17" s="467"/>
      <c r="DE17" s="467"/>
      <c r="DF17" s="407"/>
    </row>
    <row r="18" spans="1:110" ht="8.4499999999999993" customHeight="1" x14ac:dyDescent="0.2">
      <c r="A18" s="130" t="s">
        <v>77</v>
      </c>
      <c r="B18" s="95">
        <v>3</v>
      </c>
      <c r="C18" s="82" t="s">
        <v>2366</v>
      </c>
      <c r="D18" s="96">
        <v>19</v>
      </c>
      <c r="E18" s="82" t="s">
        <v>2367</v>
      </c>
      <c r="F18" s="82" t="s">
        <v>2368</v>
      </c>
      <c r="G18" s="101">
        <v>9735</v>
      </c>
      <c r="H18" s="98">
        <v>0.11</v>
      </c>
      <c r="I18" s="99"/>
      <c r="J18" s="99"/>
      <c r="K18" s="99"/>
      <c r="L18" s="99"/>
      <c r="M18" s="99"/>
      <c r="N18" s="99"/>
      <c r="O18" s="101">
        <v>4099.41</v>
      </c>
      <c r="P18" s="102">
        <v>42.11</v>
      </c>
      <c r="Q18" s="102">
        <v>42.11</v>
      </c>
      <c r="R18" s="101">
        <v>5635.59</v>
      </c>
      <c r="S18" s="102">
        <v>57.89</v>
      </c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100">
        <v>100</v>
      </c>
      <c r="BW18" s="99"/>
      <c r="BX18" s="99"/>
      <c r="BY18" s="100">
        <v>100</v>
      </c>
      <c r="BZ18" s="99"/>
      <c r="CA18" s="99"/>
      <c r="CB18" s="100">
        <v>100</v>
      </c>
      <c r="CC18" s="99"/>
      <c r="CD18" s="99"/>
      <c r="CE18" s="989">
        <v>100</v>
      </c>
      <c r="CF18" s="406"/>
      <c r="CG18" s="406"/>
      <c r="CH18" s="407"/>
      <c r="CI18" s="406"/>
      <c r="CJ18" s="406"/>
      <c r="CK18" s="407"/>
      <c r="CL18" s="406"/>
      <c r="CM18" s="406"/>
      <c r="CN18" s="406"/>
      <c r="CO18" s="467"/>
      <c r="CP18" s="467"/>
      <c r="CQ18" s="407"/>
      <c r="CR18" s="406"/>
      <c r="CS18" s="406"/>
      <c r="CT18" s="407"/>
      <c r="CU18" s="406"/>
      <c r="CV18" s="406"/>
      <c r="CW18" s="407"/>
      <c r="CX18" s="467"/>
      <c r="CY18" s="467"/>
      <c r="CZ18" s="406"/>
      <c r="DA18" s="407"/>
      <c r="DB18" s="467"/>
      <c r="DC18" s="467"/>
      <c r="DD18" s="467"/>
      <c r="DE18" s="467"/>
      <c r="DF18" s="407"/>
    </row>
    <row r="19" spans="1:110" ht="8.4499999999999993" customHeight="1" x14ac:dyDescent="0.2">
      <c r="A19" s="130" t="s">
        <v>78</v>
      </c>
      <c r="B19" s="95">
        <v>4</v>
      </c>
      <c r="C19" s="82" t="s">
        <v>2369</v>
      </c>
      <c r="D19" s="96">
        <v>19</v>
      </c>
      <c r="E19" s="82" t="s">
        <v>2367</v>
      </c>
      <c r="F19" s="82" t="s">
        <v>2368</v>
      </c>
      <c r="G19" s="101">
        <v>5000</v>
      </c>
      <c r="H19" s="98">
        <v>0.06</v>
      </c>
      <c r="I19" s="99"/>
      <c r="J19" s="99"/>
      <c r="K19" s="99"/>
      <c r="L19" s="99"/>
      <c r="M19" s="99"/>
      <c r="N19" s="99"/>
      <c r="O19" s="101">
        <v>2105.5</v>
      </c>
      <c r="P19" s="102">
        <v>42.11</v>
      </c>
      <c r="Q19" s="102">
        <v>42.11</v>
      </c>
      <c r="R19" s="101">
        <v>2894.5</v>
      </c>
      <c r="S19" s="102">
        <v>57.89</v>
      </c>
      <c r="T19" s="100">
        <v>100</v>
      </c>
      <c r="U19" s="99"/>
      <c r="V19" s="99"/>
      <c r="W19" s="100">
        <v>100</v>
      </c>
      <c r="X19" s="99"/>
      <c r="Y19" s="99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100">
        <v>100</v>
      </c>
      <c r="BW19" s="99"/>
      <c r="BX19" s="99"/>
      <c r="BY19" s="100">
        <v>100</v>
      </c>
      <c r="BZ19" s="99"/>
      <c r="CA19" s="99"/>
      <c r="CB19" s="100">
        <v>100</v>
      </c>
      <c r="CC19" s="99"/>
      <c r="CD19" s="99"/>
      <c r="CE19" s="989">
        <v>100</v>
      </c>
      <c r="CF19" s="406"/>
      <c r="CG19" s="406"/>
      <c r="CH19" s="407"/>
      <c r="CI19" s="406"/>
      <c r="CJ19" s="406"/>
      <c r="CK19" s="407"/>
      <c r="CL19" s="406"/>
      <c r="CM19" s="406"/>
      <c r="CN19" s="406"/>
      <c r="CO19" s="467"/>
      <c r="CP19" s="467"/>
      <c r="CQ19" s="407"/>
      <c r="CR19" s="406"/>
      <c r="CS19" s="406"/>
      <c r="CT19" s="407"/>
      <c r="CU19" s="406"/>
      <c r="CV19" s="406"/>
      <c r="CW19" s="407"/>
      <c r="CX19" s="467"/>
      <c r="CY19" s="467"/>
      <c r="CZ19" s="406"/>
      <c r="DA19" s="407"/>
      <c r="DB19" s="467"/>
      <c r="DC19" s="467"/>
      <c r="DD19" s="467"/>
      <c r="DE19" s="467"/>
      <c r="DF19" s="407"/>
    </row>
    <row r="20" spans="1:110" ht="8.4499999999999993" customHeight="1" x14ac:dyDescent="0.2">
      <c r="A20" s="130" t="s">
        <v>79</v>
      </c>
      <c r="B20" s="95">
        <v>5</v>
      </c>
      <c r="C20" s="82" t="s">
        <v>2370</v>
      </c>
      <c r="D20" s="96">
        <v>22</v>
      </c>
      <c r="E20" s="82" t="s">
        <v>1951</v>
      </c>
      <c r="F20" s="82" t="s">
        <v>1954</v>
      </c>
      <c r="G20" s="101">
        <v>2800</v>
      </c>
      <c r="H20" s="98">
        <v>0.03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101">
        <v>2800</v>
      </c>
      <c r="AH20" s="100">
        <v>100</v>
      </c>
      <c r="AI20" s="100">
        <v>100</v>
      </c>
      <c r="AJ20" s="99"/>
      <c r="AK20" s="99"/>
      <c r="AL20" s="100">
        <v>100</v>
      </c>
      <c r="AM20" s="99"/>
      <c r="AN20" s="99"/>
      <c r="AO20" s="100">
        <v>100</v>
      </c>
      <c r="AP20" s="99"/>
      <c r="AQ20" s="99"/>
      <c r="AR20" s="100">
        <v>100</v>
      </c>
      <c r="AS20" s="99"/>
      <c r="AT20" s="99"/>
      <c r="AU20" s="100">
        <v>100</v>
      </c>
      <c r="AV20" s="99"/>
      <c r="AW20" s="99"/>
      <c r="AX20" s="100">
        <v>100</v>
      </c>
      <c r="AY20" s="99"/>
      <c r="AZ20" s="99"/>
      <c r="BA20" s="100">
        <v>100</v>
      </c>
      <c r="BB20" s="99"/>
      <c r="BC20" s="99"/>
      <c r="BD20" s="100">
        <v>100</v>
      </c>
      <c r="BE20" s="99"/>
      <c r="BF20" s="99"/>
      <c r="BG20" s="100">
        <v>100</v>
      </c>
      <c r="BH20" s="99"/>
      <c r="BI20" s="99"/>
      <c r="BJ20" s="100">
        <v>100</v>
      </c>
      <c r="BK20" s="99"/>
      <c r="BL20" s="99"/>
      <c r="BM20" s="100">
        <v>100</v>
      </c>
      <c r="BN20" s="99"/>
      <c r="BO20" s="99"/>
      <c r="BP20" s="100">
        <v>100</v>
      </c>
      <c r="BQ20" s="99"/>
      <c r="BR20" s="99"/>
      <c r="BS20" s="100">
        <v>100</v>
      </c>
      <c r="BT20" s="99"/>
      <c r="BU20" s="99"/>
      <c r="BV20" s="100">
        <v>100</v>
      </c>
      <c r="BW20" s="99"/>
      <c r="BX20" s="99"/>
      <c r="BY20" s="100">
        <v>100</v>
      </c>
      <c r="BZ20" s="99"/>
      <c r="CA20" s="99"/>
      <c r="CB20" s="100">
        <v>100</v>
      </c>
      <c r="CC20" s="99"/>
      <c r="CD20" s="99"/>
      <c r="CE20" s="989">
        <v>100</v>
      </c>
      <c r="CF20" s="406"/>
      <c r="CG20" s="406"/>
      <c r="CH20" s="407"/>
      <c r="CI20" s="406"/>
      <c r="CJ20" s="406"/>
      <c r="CK20" s="407"/>
      <c r="CL20" s="406"/>
      <c r="CM20" s="406"/>
      <c r="CN20" s="406"/>
      <c r="CO20" s="467"/>
      <c r="CP20" s="467"/>
      <c r="CQ20" s="407"/>
      <c r="CR20" s="406"/>
      <c r="CS20" s="406"/>
      <c r="CT20" s="407"/>
      <c r="CU20" s="406"/>
      <c r="CV20" s="406"/>
      <c r="CW20" s="407"/>
      <c r="CX20" s="467"/>
      <c r="CY20" s="467"/>
      <c r="CZ20" s="406"/>
      <c r="DA20" s="407"/>
      <c r="DB20" s="467"/>
      <c r="DC20" s="467"/>
      <c r="DD20" s="467"/>
      <c r="DE20" s="467"/>
      <c r="DF20" s="407"/>
    </row>
    <row r="21" spans="1:110" ht="8.4499999999999993" customHeight="1" x14ac:dyDescent="0.2">
      <c r="A21" s="130" t="s">
        <v>80</v>
      </c>
      <c r="B21" s="95">
        <v>6</v>
      </c>
      <c r="C21" s="82" t="s">
        <v>2371</v>
      </c>
      <c r="D21" s="96">
        <v>22</v>
      </c>
      <c r="E21" s="82" t="s">
        <v>2031</v>
      </c>
      <c r="F21" s="82" t="s">
        <v>2027</v>
      </c>
      <c r="G21" s="97">
        <v>50000</v>
      </c>
      <c r="H21" s="98">
        <v>0.56999999999999995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7">
        <v>50000</v>
      </c>
      <c r="AQ21" s="100">
        <v>100</v>
      </c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100">
        <v>100</v>
      </c>
      <c r="BW21" s="99"/>
      <c r="BX21" s="99"/>
      <c r="BY21" s="100">
        <v>100</v>
      </c>
      <c r="BZ21" s="99"/>
      <c r="CA21" s="99"/>
      <c r="CB21" s="100">
        <v>100</v>
      </c>
      <c r="CC21" s="99"/>
      <c r="CD21" s="99"/>
      <c r="CE21" s="989">
        <v>100</v>
      </c>
      <c r="CF21" s="406"/>
      <c r="CG21" s="406"/>
      <c r="CH21" s="407"/>
      <c r="CI21" s="406"/>
      <c r="CJ21" s="406"/>
      <c r="CK21" s="407"/>
      <c r="CL21" s="406"/>
      <c r="CM21" s="406"/>
      <c r="CN21" s="406"/>
      <c r="CO21" s="469"/>
      <c r="CP21" s="467"/>
      <c r="CQ21" s="409"/>
      <c r="CR21" s="407"/>
      <c r="CS21" s="408"/>
      <c r="CT21" s="409"/>
      <c r="CU21" s="407"/>
      <c r="CV21" s="408"/>
      <c r="CW21" s="409"/>
      <c r="CX21" s="468"/>
      <c r="CY21" s="467"/>
      <c r="CZ21" s="408"/>
      <c r="DA21" s="409"/>
      <c r="DB21" s="468"/>
      <c r="DC21" s="467"/>
      <c r="DD21" s="469"/>
      <c r="DE21" s="467"/>
      <c r="DF21" s="407"/>
    </row>
    <row r="22" spans="1:110" ht="8.4499999999999993" customHeight="1" x14ac:dyDescent="0.2">
      <c r="A22" s="130" t="s">
        <v>81</v>
      </c>
      <c r="B22" s="95">
        <v>7</v>
      </c>
      <c r="C22" s="82" t="s">
        <v>2372</v>
      </c>
      <c r="D22" s="96">
        <v>74</v>
      </c>
      <c r="E22" s="82" t="s">
        <v>2364</v>
      </c>
      <c r="F22" s="82" t="s">
        <v>1952</v>
      </c>
      <c r="G22" s="97">
        <v>22250</v>
      </c>
      <c r="H22" s="98">
        <v>0.25</v>
      </c>
      <c r="I22" s="99"/>
      <c r="J22" s="99"/>
      <c r="K22" s="99"/>
      <c r="L22" s="99"/>
      <c r="M22" s="99"/>
      <c r="N22" s="99"/>
      <c r="O22" s="99"/>
      <c r="P22" s="99"/>
      <c r="Q22" s="99"/>
      <c r="R22" s="101">
        <v>3608.95</v>
      </c>
      <c r="S22" s="102">
        <v>16.22</v>
      </c>
      <c r="T22" s="102">
        <v>16.22</v>
      </c>
      <c r="U22" s="101">
        <v>6014.18</v>
      </c>
      <c r="V22" s="102">
        <v>27.03</v>
      </c>
      <c r="W22" s="102">
        <v>43.25</v>
      </c>
      <c r="X22" s="101">
        <v>6612.7</v>
      </c>
      <c r="Y22" s="102">
        <v>29.72</v>
      </c>
      <c r="Z22" s="102">
        <v>72.97</v>
      </c>
      <c r="AA22" s="101">
        <v>6014.18</v>
      </c>
      <c r="AB22" s="102">
        <v>27.03</v>
      </c>
      <c r="AC22" s="100">
        <v>100</v>
      </c>
      <c r="AD22" s="99"/>
      <c r="AE22" s="99"/>
      <c r="AF22" s="100">
        <v>100</v>
      </c>
      <c r="AG22" s="99"/>
      <c r="AH22" s="99"/>
      <c r="AI22" s="100">
        <v>100</v>
      </c>
      <c r="AJ22" s="99"/>
      <c r="AK22" s="99"/>
      <c r="AL22" s="100">
        <v>100</v>
      </c>
      <c r="AM22" s="99"/>
      <c r="AN22" s="99"/>
      <c r="AO22" s="100">
        <v>100</v>
      </c>
      <c r="AP22" s="99"/>
      <c r="AQ22" s="99"/>
      <c r="AR22" s="100">
        <v>100</v>
      </c>
      <c r="AS22" s="99"/>
      <c r="AT22" s="99"/>
      <c r="AU22" s="100">
        <v>100</v>
      </c>
      <c r="AV22" s="99"/>
      <c r="AW22" s="99"/>
      <c r="AX22" s="100">
        <v>100</v>
      </c>
      <c r="AY22" s="99"/>
      <c r="AZ22" s="99"/>
      <c r="BA22" s="100">
        <v>100</v>
      </c>
      <c r="BB22" s="99"/>
      <c r="BC22" s="99"/>
      <c r="BD22" s="100">
        <v>100</v>
      </c>
      <c r="BE22" s="99"/>
      <c r="BF22" s="99"/>
      <c r="BG22" s="100">
        <v>100</v>
      </c>
      <c r="BH22" s="99"/>
      <c r="BI22" s="99"/>
      <c r="BJ22" s="100">
        <v>100</v>
      </c>
      <c r="BK22" s="99"/>
      <c r="BL22" s="99"/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100">
        <v>100</v>
      </c>
      <c r="BW22" s="99"/>
      <c r="BX22" s="99"/>
      <c r="BY22" s="100">
        <v>100</v>
      </c>
      <c r="BZ22" s="99"/>
      <c r="CA22" s="99"/>
      <c r="CB22" s="100">
        <v>100</v>
      </c>
      <c r="CC22" s="99"/>
      <c r="CD22" s="99"/>
      <c r="CE22" s="989">
        <v>100</v>
      </c>
      <c r="CF22" s="406"/>
      <c r="CG22" s="406"/>
      <c r="CH22" s="407"/>
      <c r="CI22" s="406"/>
      <c r="CJ22" s="406"/>
      <c r="CK22" s="407"/>
      <c r="CL22" s="406"/>
      <c r="CM22" s="406"/>
      <c r="CN22" s="406"/>
      <c r="CO22" s="467"/>
      <c r="CP22" s="467"/>
      <c r="CQ22" s="407"/>
      <c r="CR22" s="406"/>
      <c r="CS22" s="406"/>
      <c r="CT22" s="407"/>
      <c r="CU22" s="406"/>
      <c r="CV22" s="406"/>
      <c r="CW22" s="407"/>
      <c r="CX22" s="467"/>
      <c r="CY22" s="467"/>
      <c r="CZ22" s="406"/>
      <c r="DA22" s="407"/>
      <c r="DB22" s="467"/>
      <c r="DC22" s="467"/>
      <c r="DD22" s="467"/>
      <c r="DE22" s="467"/>
      <c r="DF22" s="407"/>
    </row>
    <row r="23" spans="1:110" ht="8.4499999999999993" customHeight="1" x14ac:dyDescent="0.2">
      <c r="A23" s="130" t="s">
        <v>153</v>
      </c>
      <c r="B23" s="95">
        <v>8</v>
      </c>
      <c r="C23" s="82" t="s">
        <v>2373</v>
      </c>
      <c r="D23" s="96">
        <v>20</v>
      </c>
      <c r="E23" s="82" t="s">
        <v>2180</v>
      </c>
      <c r="F23" s="82" t="s">
        <v>2374</v>
      </c>
      <c r="G23" s="101">
        <v>3500</v>
      </c>
      <c r="H23" s="98">
        <v>0.04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101">
        <v>3500</v>
      </c>
      <c r="AN23" s="100">
        <v>100</v>
      </c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100">
        <v>100</v>
      </c>
      <c r="BW23" s="99"/>
      <c r="BX23" s="99"/>
      <c r="BY23" s="100">
        <v>100</v>
      </c>
      <c r="BZ23" s="99"/>
      <c r="CA23" s="99"/>
      <c r="CB23" s="100">
        <v>100</v>
      </c>
      <c r="CC23" s="99"/>
      <c r="CD23" s="99"/>
      <c r="CE23" s="989">
        <v>100</v>
      </c>
      <c r="CF23" s="406"/>
      <c r="CG23" s="406"/>
      <c r="CH23" s="407"/>
      <c r="CI23" s="406"/>
      <c r="CJ23" s="406"/>
      <c r="CK23" s="407"/>
      <c r="CL23" s="406"/>
      <c r="CM23" s="406"/>
      <c r="CN23" s="406"/>
      <c r="CO23" s="467"/>
      <c r="CP23" s="467"/>
      <c r="CQ23" s="407"/>
      <c r="CR23" s="406"/>
      <c r="CS23" s="406"/>
      <c r="CT23" s="407"/>
      <c r="CU23" s="406"/>
      <c r="CV23" s="406"/>
      <c r="CW23" s="407"/>
      <c r="CX23" s="467"/>
      <c r="CY23" s="467"/>
      <c r="CZ23" s="406"/>
      <c r="DA23" s="407"/>
      <c r="DB23" s="467"/>
      <c r="DC23" s="467"/>
      <c r="DD23" s="467"/>
      <c r="DE23" s="467"/>
      <c r="DF23" s="407"/>
    </row>
    <row r="24" spans="1:110" ht="8.4499999999999993" customHeight="1" x14ac:dyDescent="0.2">
      <c r="A24" s="130" t="s">
        <v>261</v>
      </c>
      <c r="B24" s="95">
        <v>9</v>
      </c>
      <c r="C24" s="82" t="s">
        <v>2375</v>
      </c>
      <c r="D24" s="96">
        <v>22</v>
      </c>
      <c r="E24" s="82" t="s">
        <v>1557</v>
      </c>
      <c r="F24" s="82" t="s">
        <v>2376</v>
      </c>
      <c r="G24" s="101">
        <v>3000</v>
      </c>
      <c r="H24" s="98">
        <v>0.03</v>
      </c>
      <c r="I24" s="101">
        <v>3000</v>
      </c>
      <c r="J24" s="100">
        <v>100</v>
      </c>
      <c r="K24" s="100">
        <v>100</v>
      </c>
      <c r="L24" s="99"/>
      <c r="M24" s="99"/>
      <c r="N24" s="100">
        <v>100</v>
      </c>
      <c r="O24" s="99"/>
      <c r="P24" s="99"/>
      <c r="Q24" s="100">
        <v>100</v>
      </c>
      <c r="R24" s="99"/>
      <c r="S24" s="99"/>
      <c r="T24" s="100">
        <v>100</v>
      </c>
      <c r="U24" s="99"/>
      <c r="V24" s="99"/>
      <c r="W24" s="100">
        <v>100</v>
      </c>
      <c r="X24" s="99"/>
      <c r="Y24" s="99"/>
      <c r="Z24" s="100">
        <v>100</v>
      </c>
      <c r="AA24" s="99"/>
      <c r="AB24" s="99"/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100">
        <v>100</v>
      </c>
      <c r="BW24" s="99"/>
      <c r="BX24" s="99"/>
      <c r="BY24" s="100">
        <v>100</v>
      </c>
      <c r="BZ24" s="99"/>
      <c r="CA24" s="99"/>
      <c r="CB24" s="100">
        <v>100</v>
      </c>
      <c r="CC24" s="99"/>
      <c r="CD24" s="99"/>
      <c r="CE24" s="989">
        <v>100</v>
      </c>
      <c r="CF24" s="406"/>
      <c r="CG24" s="406"/>
      <c r="CH24" s="407"/>
      <c r="CI24" s="406"/>
      <c r="CJ24" s="406"/>
      <c r="CK24" s="407"/>
      <c r="CL24" s="406"/>
      <c r="CM24" s="406"/>
      <c r="CN24" s="406"/>
      <c r="CO24" s="467"/>
      <c r="CP24" s="467"/>
      <c r="CQ24" s="406"/>
      <c r="CR24" s="406"/>
      <c r="CS24" s="406"/>
      <c r="CT24" s="406"/>
      <c r="CU24" s="410"/>
      <c r="CV24" s="407"/>
      <c r="CW24" s="407"/>
      <c r="CX24" s="467"/>
      <c r="CY24" s="467"/>
      <c r="CZ24" s="406"/>
      <c r="DA24" s="407"/>
      <c r="DB24" s="467"/>
      <c r="DC24" s="467"/>
      <c r="DD24" s="467"/>
      <c r="DE24" s="467"/>
      <c r="DF24" s="407"/>
    </row>
    <row r="25" spans="1:110" ht="8.4499999999999993" customHeight="1" x14ac:dyDescent="0.2">
      <c r="A25" s="130" t="s">
        <v>262</v>
      </c>
      <c r="B25" s="96">
        <v>10</v>
      </c>
      <c r="C25" s="82" t="s">
        <v>2377</v>
      </c>
      <c r="D25" s="96">
        <v>22</v>
      </c>
      <c r="E25" s="82" t="s">
        <v>2173</v>
      </c>
      <c r="F25" s="82" t="s">
        <v>2167</v>
      </c>
      <c r="G25" s="101">
        <v>2400</v>
      </c>
      <c r="H25" s="98">
        <v>0.03</v>
      </c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1">
        <v>2400</v>
      </c>
      <c r="BI25" s="100">
        <v>100</v>
      </c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100">
        <v>100</v>
      </c>
      <c r="BW25" s="99"/>
      <c r="BX25" s="99"/>
      <c r="BY25" s="100">
        <v>100</v>
      </c>
      <c r="BZ25" s="99"/>
      <c r="CA25" s="99"/>
      <c r="CB25" s="100">
        <v>100</v>
      </c>
      <c r="CC25" s="99"/>
      <c r="CD25" s="99"/>
      <c r="CE25" s="989">
        <v>100</v>
      </c>
      <c r="CF25" s="406"/>
      <c r="CG25" s="406"/>
      <c r="CH25" s="407"/>
      <c r="CI25" s="406"/>
      <c r="CJ25" s="406"/>
      <c r="CK25" s="407"/>
      <c r="CL25" s="406"/>
      <c r="CM25" s="406"/>
      <c r="CN25" s="406"/>
      <c r="CO25" s="469"/>
      <c r="CP25" s="467"/>
      <c r="CQ25" s="409"/>
      <c r="CR25" s="410"/>
      <c r="CS25" s="408"/>
      <c r="CT25" s="409"/>
      <c r="CU25" s="410"/>
      <c r="CV25" s="408"/>
      <c r="CW25" s="409"/>
      <c r="CX25" s="470"/>
      <c r="CY25" s="467"/>
      <c r="CZ25" s="408"/>
      <c r="DA25" s="409"/>
      <c r="DB25" s="470"/>
      <c r="DC25" s="467"/>
      <c r="DD25" s="469"/>
      <c r="DE25" s="467"/>
      <c r="DF25" s="407"/>
    </row>
    <row r="26" spans="1:110" ht="8.4499999999999993" customHeight="1" x14ac:dyDescent="0.2">
      <c r="A26" s="130" t="s">
        <v>764</v>
      </c>
      <c r="B26" s="96">
        <v>11</v>
      </c>
      <c r="C26" s="82" t="s">
        <v>2378</v>
      </c>
      <c r="D26" s="96">
        <v>20</v>
      </c>
      <c r="E26" s="82" t="s">
        <v>2032</v>
      </c>
      <c r="F26" s="82" t="s">
        <v>2030</v>
      </c>
      <c r="G26" s="97">
        <v>15000</v>
      </c>
      <c r="H26" s="98">
        <v>0.17</v>
      </c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7">
        <v>15000</v>
      </c>
      <c r="BF26" s="100">
        <v>100</v>
      </c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100">
        <v>100</v>
      </c>
      <c r="BW26" s="99"/>
      <c r="BX26" s="99"/>
      <c r="BY26" s="100">
        <v>100</v>
      </c>
      <c r="BZ26" s="99"/>
      <c r="CA26" s="99"/>
      <c r="CB26" s="100">
        <v>100</v>
      </c>
      <c r="CC26" s="99"/>
      <c r="CD26" s="99"/>
      <c r="CE26" s="989">
        <v>100</v>
      </c>
      <c r="CF26" s="406"/>
      <c r="CG26" s="406"/>
      <c r="CH26" s="407"/>
      <c r="CI26" s="406"/>
      <c r="CJ26" s="406"/>
      <c r="CK26" s="407"/>
      <c r="CL26" s="406"/>
      <c r="CM26" s="406"/>
      <c r="CN26" s="406"/>
      <c r="CO26" s="466"/>
      <c r="CP26" s="464"/>
      <c r="CQ26" s="404"/>
      <c r="CR26" s="403"/>
      <c r="CS26" s="462"/>
      <c r="CT26" s="404"/>
      <c r="CU26" s="403"/>
      <c r="CV26" s="462"/>
      <c r="CW26" s="404"/>
      <c r="CX26" s="465"/>
      <c r="CY26" s="464"/>
      <c r="CZ26" s="462"/>
      <c r="DA26" s="404"/>
      <c r="DB26" s="471"/>
      <c r="DC26" s="464"/>
      <c r="DD26" s="466"/>
      <c r="DE26" s="464"/>
      <c r="DF26" s="405"/>
    </row>
    <row r="27" spans="1:110" ht="16.899999999999999" customHeight="1" x14ac:dyDescent="0.2">
      <c r="A27" s="130" t="s">
        <v>766</v>
      </c>
      <c r="B27" s="96">
        <v>12</v>
      </c>
      <c r="C27" s="82" t="s">
        <v>2379</v>
      </c>
      <c r="D27" s="96">
        <v>22</v>
      </c>
      <c r="E27" s="82" t="s">
        <v>2012</v>
      </c>
      <c r="F27" s="82" t="s">
        <v>2013</v>
      </c>
      <c r="G27" s="101">
        <v>1300</v>
      </c>
      <c r="H27" s="98">
        <v>0.01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101">
        <v>1300</v>
      </c>
      <c r="BR27" s="100">
        <v>100</v>
      </c>
      <c r="BS27" s="100">
        <v>100</v>
      </c>
      <c r="BT27" s="99"/>
      <c r="BU27" s="99"/>
      <c r="BV27" s="100">
        <v>100</v>
      </c>
      <c r="BW27" s="99"/>
      <c r="BX27" s="99"/>
      <c r="BY27" s="100">
        <v>100</v>
      </c>
      <c r="BZ27" s="99"/>
      <c r="CA27" s="99"/>
      <c r="CB27" s="100">
        <v>100</v>
      </c>
      <c r="CC27" s="99"/>
      <c r="CD27" s="99"/>
      <c r="CE27" s="989">
        <v>100</v>
      </c>
      <c r="CF27" s="406"/>
      <c r="CG27" s="406"/>
      <c r="CH27" s="407"/>
      <c r="CI27" s="406"/>
      <c r="CJ27" s="406"/>
      <c r="CK27" s="407"/>
      <c r="CL27" s="406"/>
      <c r="CM27" s="406"/>
      <c r="CN27" s="406"/>
      <c r="CO27" s="469"/>
      <c r="CP27" s="467"/>
      <c r="CQ27" s="409"/>
      <c r="CR27" s="407"/>
      <c r="CS27" s="408"/>
      <c r="CT27" s="409"/>
      <c r="CU27" s="407"/>
      <c r="CV27" s="408"/>
      <c r="CW27" s="409"/>
      <c r="CX27" s="468"/>
      <c r="CY27" s="467"/>
      <c r="CZ27" s="408"/>
      <c r="DA27" s="407"/>
      <c r="DB27" s="467"/>
      <c r="DC27" s="467"/>
      <c r="DD27" s="467"/>
      <c r="DE27" s="467"/>
      <c r="DF27" s="407"/>
    </row>
    <row r="28" spans="1:110" ht="8.4499999999999993" customHeight="1" x14ac:dyDescent="0.2">
      <c r="A28" s="130" t="s">
        <v>82</v>
      </c>
      <c r="B28" s="88">
        <v>13</v>
      </c>
      <c r="C28" s="87" t="s">
        <v>331</v>
      </c>
      <c r="D28" s="103">
        <v>532</v>
      </c>
      <c r="E28" s="87" t="s">
        <v>1557</v>
      </c>
      <c r="F28" s="87" t="s">
        <v>2380</v>
      </c>
      <c r="G28" s="89">
        <v>46168</v>
      </c>
      <c r="H28" s="90">
        <v>0.52</v>
      </c>
      <c r="I28" s="89">
        <v>24020</v>
      </c>
      <c r="J28" s="91">
        <v>52.03</v>
      </c>
      <c r="K28" s="91">
        <v>52.03</v>
      </c>
      <c r="L28" s="94"/>
      <c r="M28" s="94"/>
      <c r="N28" s="91">
        <v>52.03</v>
      </c>
      <c r="O28" s="94"/>
      <c r="P28" s="94"/>
      <c r="Q28" s="91">
        <v>52.03</v>
      </c>
      <c r="R28" s="92">
        <v>2252.2399999999998</v>
      </c>
      <c r="S28" s="90">
        <v>4.88</v>
      </c>
      <c r="T28" s="91">
        <v>56.91</v>
      </c>
      <c r="U28" s="92">
        <v>1975.26</v>
      </c>
      <c r="V28" s="90">
        <v>4.28</v>
      </c>
      <c r="W28" s="91">
        <v>61.18</v>
      </c>
      <c r="X28" s="92">
        <v>2044.51</v>
      </c>
      <c r="Y28" s="90">
        <v>4.43</v>
      </c>
      <c r="Z28" s="91">
        <v>65.61</v>
      </c>
      <c r="AA28" s="92">
        <v>1437.11</v>
      </c>
      <c r="AB28" s="90">
        <v>3.11</v>
      </c>
      <c r="AC28" s="91">
        <v>68.73</v>
      </c>
      <c r="AD28" s="92">
        <v>1886.58</v>
      </c>
      <c r="AE28" s="90">
        <v>4.09</v>
      </c>
      <c r="AF28" s="91">
        <v>72.81</v>
      </c>
      <c r="AG28" s="92">
        <v>1976.48</v>
      </c>
      <c r="AH28" s="90">
        <v>4.28</v>
      </c>
      <c r="AI28" s="91">
        <v>77.09</v>
      </c>
      <c r="AJ28" s="93">
        <v>575.82000000000005</v>
      </c>
      <c r="AK28" s="90">
        <v>1.25</v>
      </c>
      <c r="AL28" s="91">
        <v>78.34</v>
      </c>
      <c r="AM28" s="94"/>
      <c r="AN28" s="94"/>
      <c r="AO28" s="91">
        <v>78.34</v>
      </c>
      <c r="AP28" s="94"/>
      <c r="AQ28" s="94"/>
      <c r="AR28" s="91">
        <v>78.34</v>
      </c>
      <c r="AS28" s="94"/>
      <c r="AT28" s="94"/>
      <c r="AU28" s="91">
        <v>78.34</v>
      </c>
      <c r="AV28" s="94"/>
      <c r="AW28" s="94"/>
      <c r="AX28" s="91">
        <v>78.34</v>
      </c>
      <c r="AY28" s="94"/>
      <c r="AZ28" s="94"/>
      <c r="BA28" s="91">
        <v>78.34</v>
      </c>
      <c r="BB28" s="94"/>
      <c r="BC28" s="94"/>
      <c r="BD28" s="91">
        <v>78.34</v>
      </c>
      <c r="BE28" s="94"/>
      <c r="BF28" s="94"/>
      <c r="BG28" s="91">
        <v>78.34</v>
      </c>
      <c r="BH28" s="94"/>
      <c r="BI28" s="94"/>
      <c r="BJ28" s="91">
        <v>78.34</v>
      </c>
      <c r="BK28" s="94"/>
      <c r="BL28" s="94"/>
      <c r="BM28" s="91">
        <v>78.34</v>
      </c>
      <c r="BN28" s="94"/>
      <c r="BO28" s="94"/>
      <c r="BP28" s="91">
        <v>78.34</v>
      </c>
      <c r="BQ28" s="94"/>
      <c r="BR28" s="94"/>
      <c r="BS28" s="91">
        <v>78.34</v>
      </c>
      <c r="BT28" s="94"/>
      <c r="BU28" s="94"/>
      <c r="BV28" s="91">
        <v>78.34</v>
      </c>
      <c r="BW28" s="94"/>
      <c r="BX28" s="94"/>
      <c r="BY28" s="91">
        <v>78.34</v>
      </c>
      <c r="BZ28" s="94"/>
      <c r="CA28" s="94"/>
      <c r="CB28" s="91">
        <v>78.34</v>
      </c>
      <c r="CC28" s="89">
        <v>10000</v>
      </c>
      <c r="CD28" s="91">
        <v>21.66</v>
      </c>
      <c r="CE28" s="988">
        <v>100</v>
      </c>
      <c r="CF28" s="406"/>
      <c r="CG28" s="406"/>
      <c r="CH28" s="407"/>
      <c r="CI28" s="406"/>
      <c r="CJ28" s="406"/>
      <c r="CK28" s="407"/>
      <c r="CL28" s="406"/>
      <c r="CM28" s="406"/>
      <c r="CN28" s="406"/>
      <c r="CO28" s="469"/>
      <c r="CP28" s="467"/>
      <c r="CQ28" s="409"/>
      <c r="CR28" s="407"/>
      <c r="CS28" s="408"/>
      <c r="CT28" s="409"/>
      <c r="CU28" s="407"/>
      <c r="CV28" s="408"/>
      <c r="CW28" s="409"/>
      <c r="CX28" s="468"/>
      <c r="CY28" s="467"/>
      <c r="CZ28" s="408"/>
      <c r="DA28" s="409"/>
      <c r="DB28" s="468"/>
      <c r="DC28" s="467"/>
      <c r="DD28" s="469"/>
      <c r="DE28" s="467"/>
      <c r="DF28" s="407"/>
    </row>
    <row r="29" spans="1:110" ht="8.4499999999999993" customHeight="1" x14ac:dyDescent="0.2">
      <c r="A29" s="130" t="s">
        <v>83</v>
      </c>
      <c r="B29" s="96">
        <v>14</v>
      </c>
      <c r="C29" s="82" t="s">
        <v>2381</v>
      </c>
      <c r="D29" s="96">
        <v>22</v>
      </c>
      <c r="E29" s="82" t="s">
        <v>1557</v>
      </c>
      <c r="F29" s="82" t="s">
        <v>2376</v>
      </c>
      <c r="G29" s="97">
        <v>12000</v>
      </c>
      <c r="H29" s="98">
        <v>0.14000000000000001</v>
      </c>
      <c r="I29" s="97">
        <v>12000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100">
        <v>100</v>
      </c>
      <c r="BW29" s="99"/>
      <c r="BX29" s="99"/>
      <c r="BY29" s="100">
        <v>100</v>
      </c>
      <c r="BZ29" s="99"/>
      <c r="CA29" s="99"/>
      <c r="CB29" s="100">
        <v>100</v>
      </c>
      <c r="CC29" s="99"/>
      <c r="CD29" s="99"/>
      <c r="CE29" s="989">
        <v>100</v>
      </c>
      <c r="CF29" s="406"/>
      <c r="CG29" s="406"/>
      <c r="CH29" s="407"/>
      <c r="CI29" s="406"/>
      <c r="CJ29" s="406"/>
      <c r="CK29" s="407"/>
      <c r="CL29" s="406"/>
      <c r="CM29" s="406"/>
      <c r="CN29" s="406"/>
      <c r="CO29" s="467"/>
      <c r="CP29" s="467"/>
      <c r="CQ29" s="407"/>
      <c r="CR29" s="406"/>
      <c r="CS29" s="406"/>
      <c r="CT29" s="407"/>
      <c r="CU29" s="406"/>
      <c r="CV29" s="406"/>
      <c r="CW29" s="407"/>
      <c r="CX29" s="467"/>
      <c r="CY29" s="467"/>
      <c r="CZ29" s="406"/>
      <c r="DA29" s="407"/>
      <c r="DB29" s="467"/>
      <c r="DC29" s="467"/>
      <c r="DD29" s="467"/>
      <c r="DE29" s="467"/>
      <c r="DF29" s="407"/>
    </row>
    <row r="30" spans="1:110" ht="10.5" customHeight="1" x14ac:dyDescent="0.2">
      <c r="A30" s="130" t="s">
        <v>84</v>
      </c>
      <c r="B30" s="96">
        <v>15</v>
      </c>
      <c r="C30" s="82" t="s">
        <v>2382</v>
      </c>
      <c r="D30" s="96">
        <v>22</v>
      </c>
      <c r="E30" s="82" t="s">
        <v>1557</v>
      </c>
      <c r="F30" s="82" t="s">
        <v>2376</v>
      </c>
      <c r="G30" s="101">
        <v>1500</v>
      </c>
      <c r="H30" s="98">
        <v>0.02</v>
      </c>
      <c r="I30" s="101">
        <v>1500</v>
      </c>
      <c r="J30" s="100">
        <v>100</v>
      </c>
      <c r="K30" s="100">
        <v>100</v>
      </c>
      <c r="L30" s="99"/>
      <c r="M30" s="99"/>
      <c r="N30" s="100">
        <v>100</v>
      </c>
      <c r="O30" s="99"/>
      <c r="P30" s="99"/>
      <c r="Q30" s="100">
        <v>100</v>
      </c>
      <c r="R30" s="99"/>
      <c r="S30" s="99"/>
      <c r="T30" s="100">
        <v>100</v>
      </c>
      <c r="U30" s="99"/>
      <c r="V30" s="99"/>
      <c r="W30" s="100">
        <v>100</v>
      </c>
      <c r="X30" s="99"/>
      <c r="Y30" s="99"/>
      <c r="Z30" s="100">
        <v>100</v>
      </c>
      <c r="AA30" s="99"/>
      <c r="AB30" s="99"/>
      <c r="AC30" s="100">
        <v>100</v>
      </c>
      <c r="AD30" s="99"/>
      <c r="AE30" s="99"/>
      <c r="AF30" s="100">
        <v>100</v>
      </c>
      <c r="AG30" s="99"/>
      <c r="AH30" s="99"/>
      <c r="AI30" s="100">
        <v>100</v>
      </c>
      <c r="AJ30" s="99"/>
      <c r="AK30" s="99"/>
      <c r="AL30" s="100">
        <v>100</v>
      </c>
      <c r="AM30" s="99"/>
      <c r="AN30" s="99"/>
      <c r="AO30" s="100">
        <v>100</v>
      </c>
      <c r="AP30" s="99"/>
      <c r="AQ30" s="99"/>
      <c r="AR30" s="100">
        <v>100</v>
      </c>
      <c r="AS30" s="99"/>
      <c r="AT30" s="99"/>
      <c r="AU30" s="100">
        <v>100</v>
      </c>
      <c r="AV30" s="99"/>
      <c r="AW30" s="99"/>
      <c r="AX30" s="100">
        <v>100</v>
      </c>
      <c r="AY30" s="99"/>
      <c r="AZ30" s="99"/>
      <c r="BA30" s="100">
        <v>100</v>
      </c>
      <c r="BB30" s="99"/>
      <c r="BC30" s="99"/>
      <c r="BD30" s="100">
        <v>100</v>
      </c>
      <c r="BE30" s="99"/>
      <c r="BF30" s="99"/>
      <c r="BG30" s="100">
        <v>100</v>
      </c>
      <c r="BH30" s="99"/>
      <c r="BI30" s="99"/>
      <c r="BJ30" s="100">
        <v>100</v>
      </c>
      <c r="BK30" s="99"/>
      <c r="BL30" s="99"/>
      <c r="BM30" s="100">
        <v>100</v>
      </c>
      <c r="BN30" s="99"/>
      <c r="BO30" s="99"/>
      <c r="BP30" s="100">
        <v>100</v>
      </c>
      <c r="BQ30" s="99"/>
      <c r="BR30" s="99"/>
      <c r="BS30" s="100">
        <v>100</v>
      </c>
      <c r="BT30" s="99"/>
      <c r="BU30" s="99"/>
      <c r="BV30" s="100">
        <v>100</v>
      </c>
      <c r="BW30" s="99"/>
      <c r="BX30" s="99"/>
      <c r="BY30" s="100">
        <v>100</v>
      </c>
      <c r="BZ30" s="99"/>
      <c r="CA30" s="99"/>
      <c r="CB30" s="100">
        <v>100</v>
      </c>
      <c r="CC30" s="99"/>
      <c r="CD30" s="99"/>
      <c r="CE30" s="989">
        <v>100</v>
      </c>
      <c r="CF30" s="460"/>
      <c r="CG30" s="460"/>
      <c r="CH30" s="405"/>
      <c r="CI30" s="460"/>
      <c r="CJ30" s="460"/>
      <c r="CK30" s="405"/>
      <c r="CL30" s="460"/>
      <c r="CM30" s="460"/>
      <c r="CN30" s="460"/>
      <c r="CO30" s="467"/>
      <c r="CP30" s="467"/>
      <c r="CQ30" s="407"/>
      <c r="CR30" s="406"/>
      <c r="CS30" s="406"/>
      <c r="CT30" s="407"/>
      <c r="CU30" s="406"/>
      <c r="CV30" s="406"/>
      <c r="CW30" s="407"/>
      <c r="CX30" s="467"/>
      <c r="CY30" s="467"/>
      <c r="CZ30" s="406"/>
      <c r="DA30" s="407"/>
      <c r="DB30" s="467"/>
      <c r="DC30" s="467"/>
      <c r="DD30" s="467"/>
      <c r="DE30" s="467"/>
      <c r="DF30" s="407"/>
    </row>
    <row r="31" spans="1:110" ht="8.4499999999999993" customHeight="1" x14ac:dyDescent="0.2">
      <c r="A31" s="130" t="s">
        <v>85</v>
      </c>
      <c r="B31" s="96">
        <v>16</v>
      </c>
      <c r="C31" s="82" t="s">
        <v>2383</v>
      </c>
      <c r="D31" s="96">
        <v>22</v>
      </c>
      <c r="E31" s="82" t="s">
        <v>1557</v>
      </c>
      <c r="F31" s="82" t="s">
        <v>2376</v>
      </c>
      <c r="G31" s="101">
        <v>3520</v>
      </c>
      <c r="H31" s="98">
        <v>0.04</v>
      </c>
      <c r="I31" s="101">
        <v>3520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100">
        <v>100</v>
      </c>
      <c r="BW31" s="99"/>
      <c r="BX31" s="99"/>
      <c r="BY31" s="100">
        <v>100</v>
      </c>
      <c r="BZ31" s="99"/>
      <c r="CA31" s="99"/>
      <c r="CB31" s="100">
        <v>100</v>
      </c>
      <c r="CC31" s="99"/>
      <c r="CD31" s="99"/>
      <c r="CE31" s="989">
        <v>100</v>
      </c>
      <c r="CF31" s="406"/>
      <c r="CG31" s="406"/>
      <c r="CH31" s="407"/>
      <c r="CI31" s="406"/>
      <c r="CJ31" s="406"/>
      <c r="CK31" s="407"/>
      <c r="CL31" s="406"/>
      <c r="CM31" s="406"/>
      <c r="CN31" s="406"/>
      <c r="CO31" s="467"/>
      <c r="CP31" s="467"/>
      <c r="CQ31" s="407"/>
      <c r="CR31" s="406"/>
      <c r="CS31" s="406"/>
      <c r="CT31" s="407"/>
      <c r="CU31" s="406"/>
      <c r="CV31" s="406"/>
      <c r="CW31" s="407"/>
      <c r="CX31" s="467"/>
      <c r="CY31" s="467"/>
      <c r="CZ31" s="406"/>
      <c r="DA31" s="407"/>
      <c r="DB31" s="467"/>
      <c r="DC31" s="467"/>
      <c r="DD31" s="467"/>
      <c r="DE31" s="467"/>
      <c r="DF31" s="407"/>
    </row>
    <row r="32" spans="1:110" ht="8.4499999999999993" customHeight="1" x14ac:dyDescent="0.2">
      <c r="A32" s="130" t="s">
        <v>157</v>
      </c>
      <c r="B32" s="96">
        <v>17</v>
      </c>
      <c r="C32" s="82" t="s">
        <v>2384</v>
      </c>
      <c r="D32" s="104">
        <v>137</v>
      </c>
      <c r="E32" s="82" t="s">
        <v>1948</v>
      </c>
      <c r="F32" s="82" t="s">
        <v>1959</v>
      </c>
      <c r="G32" s="97">
        <v>12148</v>
      </c>
      <c r="H32" s="98">
        <v>0.14000000000000001</v>
      </c>
      <c r="I32" s="99"/>
      <c r="J32" s="99"/>
      <c r="K32" s="99"/>
      <c r="L32" s="99"/>
      <c r="M32" s="99"/>
      <c r="N32" s="99"/>
      <c r="O32" s="99"/>
      <c r="P32" s="99"/>
      <c r="Q32" s="99"/>
      <c r="R32" s="101">
        <v>2252.2399999999998</v>
      </c>
      <c r="S32" s="102">
        <v>18.54</v>
      </c>
      <c r="T32" s="102">
        <v>18.54</v>
      </c>
      <c r="U32" s="101">
        <v>1975.26</v>
      </c>
      <c r="V32" s="102">
        <v>16.260000000000002</v>
      </c>
      <c r="W32" s="102">
        <v>34.799999999999997</v>
      </c>
      <c r="X32" s="101">
        <v>2044.51</v>
      </c>
      <c r="Y32" s="102">
        <v>16.829999999999998</v>
      </c>
      <c r="Z32" s="102">
        <v>51.63</v>
      </c>
      <c r="AA32" s="101">
        <v>1437.11</v>
      </c>
      <c r="AB32" s="102">
        <v>11.83</v>
      </c>
      <c r="AC32" s="102">
        <v>63.46</v>
      </c>
      <c r="AD32" s="101">
        <v>1886.58</v>
      </c>
      <c r="AE32" s="102">
        <v>15.53</v>
      </c>
      <c r="AF32" s="102">
        <v>78.989999999999995</v>
      </c>
      <c r="AG32" s="101">
        <v>1976.48</v>
      </c>
      <c r="AH32" s="102">
        <v>16.27</v>
      </c>
      <c r="AI32" s="102">
        <v>95.26</v>
      </c>
      <c r="AJ32" s="100">
        <v>575.82000000000005</v>
      </c>
      <c r="AK32" s="98">
        <v>4.74</v>
      </c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100">
        <v>100</v>
      </c>
      <c r="BW32" s="99"/>
      <c r="BX32" s="99"/>
      <c r="BY32" s="100">
        <v>100</v>
      </c>
      <c r="BZ32" s="99"/>
      <c r="CA32" s="99"/>
      <c r="CB32" s="100">
        <v>100</v>
      </c>
      <c r="CC32" s="99"/>
      <c r="CD32" s="99"/>
      <c r="CE32" s="989">
        <v>100</v>
      </c>
      <c r="CF32" s="406"/>
      <c r="CG32" s="406"/>
      <c r="CH32" s="407"/>
      <c r="CI32" s="406"/>
      <c r="CJ32" s="406"/>
      <c r="CK32" s="407"/>
      <c r="CL32" s="406"/>
      <c r="CM32" s="406"/>
      <c r="CN32" s="406"/>
      <c r="CO32" s="467"/>
      <c r="CP32" s="467"/>
      <c r="CQ32" s="407"/>
      <c r="CR32" s="406"/>
      <c r="CS32" s="406"/>
      <c r="CT32" s="407"/>
      <c r="CU32" s="406"/>
      <c r="CV32" s="406"/>
      <c r="CW32" s="407"/>
      <c r="CX32" s="467"/>
      <c r="CY32" s="467"/>
      <c r="CZ32" s="406"/>
      <c r="DA32" s="407"/>
      <c r="DB32" s="467"/>
      <c r="DC32" s="467"/>
      <c r="DD32" s="467"/>
      <c r="DE32" s="467"/>
      <c r="DF32" s="407"/>
    </row>
    <row r="33" spans="1:110" ht="8.4499999999999993" customHeight="1" x14ac:dyDescent="0.2">
      <c r="A33" s="130" t="s">
        <v>158</v>
      </c>
      <c r="B33" s="96">
        <v>18</v>
      </c>
      <c r="C33" s="82" t="s">
        <v>2385</v>
      </c>
      <c r="D33" s="96">
        <v>22</v>
      </c>
      <c r="E33" s="82" t="s">
        <v>1557</v>
      </c>
      <c r="F33" s="82" t="s">
        <v>2376</v>
      </c>
      <c r="G33" s="101">
        <v>4000</v>
      </c>
      <c r="H33" s="98">
        <v>0.05</v>
      </c>
      <c r="I33" s="101">
        <v>4000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100">
        <v>100</v>
      </c>
      <c r="BW33" s="99"/>
      <c r="BX33" s="99"/>
      <c r="BY33" s="100">
        <v>100</v>
      </c>
      <c r="BZ33" s="99"/>
      <c r="CA33" s="99"/>
      <c r="CB33" s="100">
        <v>100</v>
      </c>
      <c r="CC33" s="99"/>
      <c r="CD33" s="99"/>
      <c r="CE33" s="989">
        <v>100</v>
      </c>
      <c r="CF33" s="406"/>
      <c r="CG33" s="406"/>
      <c r="CH33" s="407"/>
      <c r="CI33" s="406"/>
      <c r="CJ33" s="406"/>
      <c r="CK33" s="407"/>
      <c r="CL33" s="406"/>
      <c r="CM33" s="406"/>
      <c r="CN33" s="406"/>
      <c r="CO33" s="467"/>
      <c r="CP33" s="467"/>
      <c r="CQ33" s="407"/>
      <c r="CR33" s="406"/>
      <c r="CS33" s="406"/>
      <c r="CT33" s="407"/>
      <c r="CU33" s="406"/>
      <c r="CV33" s="406"/>
      <c r="CW33" s="407"/>
      <c r="CX33" s="467"/>
      <c r="CY33" s="467"/>
      <c r="CZ33" s="406"/>
      <c r="DA33" s="407"/>
      <c r="DB33" s="467"/>
      <c r="DC33" s="467"/>
      <c r="DD33" s="467"/>
      <c r="DE33" s="467"/>
      <c r="DF33" s="407"/>
    </row>
    <row r="34" spans="1:110" ht="8.4499999999999993" customHeight="1" x14ac:dyDescent="0.2">
      <c r="A34" s="130" t="s">
        <v>518</v>
      </c>
      <c r="B34" s="96">
        <v>19</v>
      </c>
      <c r="C34" s="82" t="s">
        <v>2386</v>
      </c>
      <c r="D34" s="96">
        <v>22</v>
      </c>
      <c r="E34" s="82" t="s">
        <v>1557</v>
      </c>
      <c r="F34" s="82" t="s">
        <v>2376</v>
      </c>
      <c r="G34" s="101">
        <v>3000</v>
      </c>
      <c r="H34" s="98">
        <v>0.03</v>
      </c>
      <c r="I34" s="101">
        <v>3000</v>
      </c>
      <c r="J34" s="100">
        <v>100</v>
      </c>
      <c r="K34" s="100">
        <v>100</v>
      </c>
      <c r="L34" s="99"/>
      <c r="M34" s="99"/>
      <c r="N34" s="100">
        <v>100</v>
      </c>
      <c r="O34" s="99"/>
      <c r="P34" s="99"/>
      <c r="Q34" s="100">
        <v>100</v>
      </c>
      <c r="R34" s="99"/>
      <c r="S34" s="99"/>
      <c r="T34" s="100">
        <v>100</v>
      </c>
      <c r="U34" s="99"/>
      <c r="V34" s="99"/>
      <c r="W34" s="100">
        <v>100</v>
      </c>
      <c r="X34" s="99"/>
      <c r="Y34" s="99"/>
      <c r="Z34" s="100">
        <v>100</v>
      </c>
      <c r="AA34" s="99"/>
      <c r="AB34" s="99"/>
      <c r="AC34" s="100">
        <v>100</v>
      </c>
      <c r="AD34" s="99"/>
      <c r="AE34" s="99"/>
      <c r="AF34" s="100">
        <v>100</v>
      </c>
      <c r="AG34" s="99"/>
      <c r="AH34" s="99"/>
      <c r="AI34" s="100">
        <v>100</v>
      </c>
      <c r="AJ34" s="99"/>
      <c r="AK34" s="99"/>
      <c r="AL34" s="100">
        <v>100</v>
      </c>
      <c r="AM34" s="99"/>
      <c r="AN34" s="99"/>
      <c r="AO34" s="100">
        <v>100</v>
      </c>
      <c r="AP34" s="99"/>
      <c r="AQ34" s="99"/>
      <c r="AR34" s="100">
        <v>100</v>
      </c>
      <c r="AS34" s="99"/>
      <c r="AT34" s="99"/>
      <c r="AU34" s="100">
        <v>100</v>
      </c>
      <c r="AV34" s="99"/>
      <c r="AW34" s="99"/>
      <c r="AX34" s="100">
        <v>100</v>
      </c>
      <c r="AY34" s="99"/>
      <c r="AZ34" s="99"/>
      <c r="BA34" s="100">
        <v>100</v>
      </c>
      <c r="BB34" s="99"/>
      <c r="BC34" s="99"/>
      <c r="BD34" s="100">
        <v>100</v>
      </c>
      <c r="BE34" s="99"/>
      <c r="BF34" s="99"/>
      <c r="BG34" s="100">
        <v>100</v>
      </c>
      <c r="BH34" s="99"/>
      <c r="BI34" s="99"/>
      <c r="BJ34" s="100">
        <v>100</v>
      </c>
      <c r="BK34" s="99"/>
      <c r="BL34" s="99"/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100">
        <v>100</v>
      </c>
      <c r="BW34" s="99"/>
      <c r="BX34" s="99"/>
      <c r="BY34" s="100">
        <v>100</v>
      </c>
      <c r="BZ34" s="99"/>
      <c r="CA34" s="99"/>
      <c r="CB34" s="100">
        <v>100</v>
      </c>
      <c r="CC34" s="99"/>
      <c r="CD34" s="99"/>
      <c r="CE34" s="989">
        <v>100</v>
      </c>
      <c r="CF34" s="406"/>
      <c r="CG34" s="406"/>
      <c r="CH34" s="407"/>
      <c r="CI34" s="406"/>
      <c r="CJ34" s="406"/>
      <c r="CK34" s="407"/>
      <c r="CL34" s="406"/>
      <c r="CM34" s="406"/>
      <c r="CN34" s="406"/>
      <c r="CO34" s="467"/>
      <c r="CP34" s="467"/>
      <c r="CQ34" s="407"/>
      <c r="CR34" s="406"/>
      <c r="CS34" s="406"/>
      <c r="CT34" s="407"/>
      <c r="CU34" s="406"/>
      <c r="CV34" s="406"/>
      <c r="CW34" s="407"/>
      <c r="CX34" s="467"/>
      <c r="CY34" s="467"/>
      <c r="CZ34" s="406"/>
      <c r="DA34" s="407"/>
      <c r="DB34" s="467"/>
      <c r="DC34" s="467"/>
      <c r="DD34" s="467"/>
      <c r="DE34" s="467"/>
      <c r="DF34" s="407"/>
    </row>
    <row r="35" spans="1:110" ht="8.4499999999999993" customHeight="1" x14ac:dyDescent="0.2">
      <c r="A35" s="130" t="s">
        <v>519</v>
      </c>
      <c r="B35" s="96">
        <v>20</v>
      </c>
      <c r="C35" s="82" t="s">
        <v>2387</v>
      </c>
      <c r="D35" s="96">
        <v>21</v>
      </c>
      <c r="E35" s="82" t="s">
        <v>2388</v>
      </c>
      <c r="F35" s="82" t="s">
        <v>2380</v>
      </c>
      <c r="G35" s="97">
        <v>10000</v>
      </c>
      <c r="H35" s="98">
        <v>0.11</v>
      </c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7">
        <v>10000</v>
      </c>
      <c r="CD35" s="100">
        <v>100</v>
      </c>
      <c r="CE35" s="989">
        <v>100</v>
      </c>
      <c r="CF35" s="406"/>
      <c r="CG35" s="406"/>
      <c r="CH35" s="407"/>
      <c r="CI35" s="406"/>
      <c r="CJ35" s="406"/>
      <c r="CK35" s="407"/>
      <c r="CL35" s="406"/>
      <c r="CM35" s="406"/>
      <c r="CN35" s="406"/>
      <c r="CO35" s="469"/>
      <c r="CP35" s="467"/>
      <c r="CQ35" s="409"/>
      <c r="CR35" s="407"/>
      <c r="CS35" s="408"/>
      <c r="CT35" s="409"/>
      <c r="CU35" s="407"/>
      <c r="CV35" s="408"/>
      <c r="CW35" s="409"/>
      <c r="CX35" s="468"/>
      <c r="CY35" s="467"/>
      <c r="CZ35" s="408"/>
      <c r="DA35" s="409"/>
      <c r="DB35" s="468"/>
      <c r="DC35" s="467"/>
      <c r="DD35" s="469"/>
      <c r="DE35" s="467"/>
      <c r="DF35" s="407"/>
    </row>
    <row r="36" spans="1:110" ht="8.4499999999999993" customHeight="1" x14ac:dyDescent="0.2">
      <c r="A36" s="130" t="s">
        <v>86</v>
      </c>
      <c r="B36" s="88">
        <v>21</v>
      </c>
      <c r="C36" s="87" t="s">
        <v>332</v>
      </c>
      <c r="D36" s="103">
        <v>212</v>
      </c>
      <c r="E36" s="87" t="s">
        <v>1557</v>
      </c>
      <c r="F36" s="87" t="s">
        <v>1554</v>
      </c>
      <c r="G36" s="89">
        <v>42635.11</v>
      </c>
      <c r="H36" s="90">
        <v>0.48</v>
      </c>
      <c r="I36" s="89">
        <v>12591.15</v>
      </c>
      <c r="J36" s="91">
        <v>28.87</v>
      </c>
      <c r="K36" s="91">
        <v>28.87</v>
      </c>
      <c r="L36" s="92">
        <v>9400</v>
      </c>
      <c r="M36" s="91">
        <v>22.35</v>
      </c>
      <c r="N36" s="91">
        <v>51.22</v>
      </c>
      <c r="O36" s="94"/>
      <c r="P36" s="94"/>
      <c r="Q36" s="91">
        <v>51.22</v>
      </c>
      <c r="R36" s="94"/>
      <c r="S36" s="94"/>
      <c r="T36" s="91">
        <v>51.22</v>
      </c>
      <c r="U36" s="93">
        <v>960</v>
      </c>
      <c r="V36" s="90">
        <v>2.2799999999999998</v>
      </c>
      <c r="W36" s="91">
        <v>53.5</v>
      </c>
      <c r="X36" s="94"/>
      <c r="Y36" s="94"/>
      <c r="Z36" s="91">
        <v>53.5</v>
      </c>
      <c r="AA36" s="94"/>
      <c r="AB36" s="94"/>
      <c r="AC36" s="91">
        <v>53.5</v>
      </c>
      <c r="AD36" s="94"/>
      <c r="AE36" s="94"/>
      <c r="AF36" s="91">
        <v>53.5</v>
      </c>
      <c r="AG36" s="94"/>
      <c r="AH36" s="94"/>
      <c r="AI36" s="91">
        <v>53.5</v>
      </c>
      <c r="AJ36" s="89">
        <v>19683.96</v>
      </c>
      <c r="AK36" s="91">
        <v>46.5</v>
      </c>
      <c r="AL36" s="93">
        <v>100</v>
      </c>
      <c r="AM36" s="94"/>
      <c r="AN36" s="94"/>
      <c r="AO36" s="93">
        <v>100</v>
      </c>
      <c r="AP36" s="94"/>
      <c r="AQ36" s="94"/>
      <c r="AR36" s="93">
        <v>100</v>
      </c>
      <c r="AS36" s="94"/>
      <c r="AT36" s="94"/>
      <c r="AU36" s="93">
        <v>100</v>
      </c>
      <c r="AV36" s="94"/>
      <c r="AW36" s="94"/>
      <c r="AX36" s="93">
        <v>100</v>
      </c>
      <c r="AY36" s="94"/>
      <c r="AZ36" s="94"/>
      <c r="BA36" s="93">
        <v>100</v>
      </c>
      <c r="BB36" s="94"/>
      <c r="BC36" s="94"/>
      <c r="BD36" s="93">
        <v>100</v>
      </c>
      <c r="BE36" s="94"/>
      <c r="BF36" s="94"/>
      <c r="BG36" s="93">
        <v>100</v>
      </c>
      <c r="BH36" s="94"/>
      <c r="BI36" s="94"/>
      <c r="BJ36" s="93">
        <v>100</v>
      </c>
      <c r="BK36" s="94"/>
      <c r="BL36" s="94"/>
      <c r="BM36" s="93">
        <v>100</v>
      </c>
      <c r="BN36" s="94"/>
      <c r="BO36" s="94"/>
      <c r="BP36" s="93">
        <v>100</v>
      </c>
      <c r="BQ36" s="94"/>
      <c r="BR36" s="94"/>
      <c r="BS36" s="93">
        <v>100</v>
      </c>
      <c r="BT36" s="94"/>
      <c r="BU36" s="94"/>
      <c r="BV36" s="93">
        <v>100</v>
      </c>
      <c r="BW36" s="94"/>
      <c r="BX36" s="94"/>
      <c r="BY36" s="93">
        <v>100</v>
      </c>
      <c r="BZ36" s="94"/>
      <c r="CA36" s="94"/>
      <c r="CB36" s="93">
        <v>100</v>
      </c>
      <c r="CC36" s="94"/>
      <c r="CD36" s="94"/>
      <c r="CE36" s="988">
        <v>100</v>
      </c>
      <c r="CF36" s="406"/>
      <c r="CG36" s="406"/>
      <c r="CH36" s="407"/>
      <c r="CI36" s="406"/>
      <c r="CJ36" s="406"/>
      <c r="CK36" s="407"/>
      <c r="CL36" s="406"/>
      <c r="CM36" s="406"/>
      <c r="CN36" s="406"/>
      <c r="CO36" s="469"/>
      <c r="CP36" s="467"/>
      <c r="CQ36" s="409"/>
      <c r="CR36" s="407"/>
      <c r="CS36" s="408"/>
      <c r="CT36" s="409"/>
      <c r="CU36" s="407"/>
      <c r="CV36" s="408"/>
      <c r="CW36" s="409"/>
      <c r="CX36" s="468"/>
      <c r="CY36" s="467"/>
      <c r="CZ36" s="408"/>
      <c r="DA36" s="409"/>
      <c r="DB36" s="468"/>
      <c r="DC36" s="467"/>
      <c r="DD36" s="469"/>
      <c r="DE36" s="467"/>
      <c r="DF36" s="407"/>
    </row>
    <row r="37" spans="1:110" ht="8.4499999999999993" customHeight="1" x14ac:dyDescent="0.2">
      <c r="A37" s="130" t="s">
        <v>87</v>
      </c>
      <c r="B37" s="96">
        <v>22</v>
      </c>
      <c r="C37" s="82" t="s">
        <v>2389</v>
      </c>
      <c r="D37" s="96">
        <v>22</v>
      </c>
      <c r="E37" s="82" t="s">
        <v>1557</v>
      </c>
      <c r="F37" s="82" t="s">
        <v>2376</v>
      </c>
      <c r="G37" s="101">
        <v>2500</v>
      </c>
      <c r="H37" s="98">
        <v>0.03</v>
      </c>
      <c r="I37" s="101">
        <v>2500</v>
      </c>
      <c r="J37" s="100">
        <v>100</v>
      </c>
      <c r="K37" s="100">
        <v>100</v>
      </c>
      <c r="L37" s="99"/>
      <c r="M37" s="99"/>
      <c r="N37" s="100">
        <v>100</v>
      </c>
      <c r="O37" s="99"/>
      <c r="P37" s="99"/>
      <c r="Q37" s="100">
        <v>100</v>
      </c>
      <c r="R37" s="99"/>
      <c r="S37" s="99"/>
      <c r="T37" s="100">
        <v>100</v>
      </c>
      <c r="U37" s="99"/>
      <c r="V37" s="99"/>
      <c r="W37" s="100">
        <v>100</v>
      </c>
      <c r="X37" s="99"/>
      <c r="Y37" s="99"/>
      <c r="Z37" s="100">
        <v>100</v>
      </c>
      <c r="AA37" s="99"/>
      <c r="AB37" s="99"/>
      <c r="AC37" s="100">
        <v>100</v>
      </c>
      <c r="AD37" s="99"/>
      <c r="AE37" s="99"/>
      <c r="AF37" s="100">
        <v>100</v>
      </c>
      <c r="AG37" s="99"/>
      <c r="AH37" s="99"/>
      <c r="AI37" s="100">
        <v>100</v>
      </c>
      <c r="AJ37" s="99"/>
      <c r="AK37" s="99"/>
      <c r="AL37" s="100">
        <v>100</v>
      </c>
      <c r="AM37" s="99"/>
      <c r="AN37" s="99"/>
      <c r="AO37" s="100">
        <v>100</v>
      </c>
      <c r="AP37" s="99"/>
      <c r="AQ37" s="99"/>
      <c r="AR37" s="100">
        <v>100</v>
      </c>
      <c r="AS37" s="99"/>
      <c r="AT37" s="99"/>
      <c r="AU37" s="100">
        <v>100</v>
      </c>
      <c r="AV37" s="99"/>
      <c r="AW37" s="99"/>
      <c r="AX37" s="100">
        <v>100</v>
      </c>
      <c r="AY37" s="99"/>
      <c r="AZ37" s="99"/>
      <c r="BA37" s="100">
        <v>100</v>
      </c>
      <c r="BB37" s="99"/>
      <c r="BC37" s="99"/>
      <c r="BD37" s="100">
        <v>100</v>
      </c>
      <c r="BE37" s="99"/>
      <c r="BF37" s="99"/>
      <c r="BG37" s="100">
        <v>100</v>
      </c>
      <c r="BH37" s="99"/>
      <c r="BI37" s="99"/>
      <c r="BJ37" s="100">
        <v>100</v>
      </c>
      <c r="BK37" s="99"/>
      <c r="BL37" s="99"/>
      <c r="BM37" s="100">
        <v>100</v>
      </c>
      <c r="BN37" s="99"/>
      <c r="BO37" s="99"/>
      <c r="BP37" s="100">
        <v>100</v>
      </c>
      <c r="BQ37" s="99"/>
      <c r="BR37" s="99"/>
      <c r="BS37" s="100">
        <v>100</v>
      </c>
      <c r="BT37" s="99"/>
      <c r="BU37" s="99"/>
      <c r="BV37" s="100">
        <v>100</v>
      </c>
      <c r="BW37" s="99"/>
      <c r="BX37" s="99"/>
      <c r="BY37" s="100">
        <v>100</v>
      </c>
      <c r="BZ37" s="99"/>
      <c r="CA37" s="99"/>
      <c r="CB37" s="100">
        <v>100</v>
      </c>
      <c r="CC37" s="99"/>
      <c r="CD37" s="99"/>
      <c r="CE37" s="989">
        <v>100</v>
      </c>
      <c r="CF37" s="406"/>
      <c r="CG37" s="406"/>
      <c r="CH37" s="407"/>
      <c r="CI37" s="406"/>
      <c r="CJ37" s="406"/>
      <c r="CK37" s="407"/>
      <c r="CL37" s="406"/>
      <c r="CM37" s="406"/>
      <c r="CN37" s="406"/>
      <c r="CO37" s="467"/>
      <c r="CP37" s="467"/>
      <c r="CQ37" s="407"/>
      <c r="CR37" s="406"/>
      <c r="CS37" s="406"/>
      <c r="CT37" s="407"/>
      <c r="CU37" s="406"/>
      <c r="CV37" s="406"/>
      <c r="CW37" s="407"/>
      <c r="CX37" s="467"/>
      <c r="CY37" s="467"/>
      <c r="CZ37" s="406"/>
      <c r="DA37" s="407"/>
      <c r="DB37" s="467"/>
      <c r="DC37" s="467"/>
      <c r="DD37" s="467"/>
      <c r="DE37" s="467"/>
      <c r="DF37" s="407"/>
    </row>
    <row r="38" spans="1:110" ht="8.4499999999999993" customHeight="1" x14ac:dyDescent="0.2">
      <c r="A38" s="130" t="s">
        <v>88</v>
      </c>
      <c r="B38" s="96">
        <v>23</v>
      </c>
      <c r="C38" s="82" t="s">
        <v>2390</v>
      </c>
      <c r="D38" s="104">
        <v>212</v>
      </c>
      <c r="E38" s="82" t="s">
        <v>1557</v>
      </c>
      <c r="F38" s="82" t="s">
        <v>1554</v>
      </c>
      <c r="G38" s="101">
        <v>4000</v>
      </c>
      <c r="H38" s="98">
        <v>0.05</v>
      </c>
      <c r="I38" s="101">
        <v>2000</v>
      </c>
      <c r="J38" s="102">
        <v>50</v>
      </c>
      <c r="K38" s="102">
        <v>50</v>
      </c>
      <c r="L38" s="99"/>
      <c r="M38" s="99"/>
      <c r="N38" s="102">
        <v>50</v>
      </c>
      <c r="O38" s="99"/>
      <c r="P38" s="99"/>
      <c r="Q38" s="102">
        <v>50</v>
      </c>
      <c r="R38" s="99"/>
      <c r="S38" s="99"/>
      <c r="T38" s="102">
        <v>50</v>
      </c>
      <c r="U38" s="99"/>
      <c r="V38" s="99"/>
      <c r="W38" s="102">
        <v>50</v>
      </c>
      <c r="X38" s="99"/>
      <c r="Y38" s="99"/>
      <c r="Z38" s="102">
        <v>50</v>
      </c>
      <c r="AA38" s="99"/>
      <c r="AB38" s="99"/>
      <c r="AC38" s="102">
        <v>50</v>
      </c>
      <c r="AD38" s="99"/>
      <c r="AE38" s="99"/>
      <c r="AF38" s="102">
        <v>50</v>
      </c>
      <c r="AG38" s="99"/>
      <c r="AH38" s="99"/>
      <c r="AI38" s="102">
        <v>50</v>
      </c>
      <c r="AJ38" s="101">
        <v>2000</v>
      </c>
      <c r="AK38" s="102">
        <v>50</v>
      </c>
      <c r="AL38" s="100">
        <v>100</v>
      </c>
      <c r="AM38" s="99"/>
      <c r="AN38" s="99"/>
      <c r="AO38" s="100">
        <v>100</v>
      </c>
      <c r="AP38" s="99"/>
      <c r="AQ38" s="99"/>
      <c r="AR38" s="100">
        <v>100</v>
      </c>
      <c r="AS38" s="99"/>
      <c r="AT38" s="99"/>
      <c r="AU38" s="100">
        <v>100</v>
      </c>
      <c r="AV38" s="99"/>
      <c r="AW38" s="99"/>
      <c r="AX38" s="100">
        <v>100</v>
      </c>
      <c r="AY38" s="99"/>
      <c r="AZ38" s="99"/>
      <c r="BA38" s="100">
        <v>100</v>
      </c>
      <c r="BB38" s="99"/>
      <c r="BC38" s="99"/>
      <c r="BD38" s="100">
        <v>100</v>
      </c>
      <c r="BE38" s="99"/>
      <c r="BF38" s="99"/>
      <c r="BG38" s="100">
        <v>100</v>
      </c>
      <c r="BH38" s="99"/>
      <c r="BI38" s="99"/>
      <c r="BJ38" s="100">
        <v>100</v>
      </c>
      <c r="BK38" s="99"/>
      <c r="BL38" s="99"/>
      <c r="BM38" s="100">
        <v>100</v>
      </c>
      <c r="BN38" s="99"/>
      <c r="BO38" s="99"/>
      <c r="BP38" s="100">
        <v>100</v>
      </c>
      <c r="BQ38" s="99"/>
      <c r="BR38" s="99"/>
      <c r="BS38" s="100">
        <v>100</v>
      </c>
      <c r="BT38" s="99"/>
      <c r="BU38" s="99"/>
      <c r="BV38" s="100">
        <v>100</v>
      </c>
      <c r="BW38" s="99"/>
      <c r="BX38" s="99"/>
      <c r="BY38" s="100">
        <v>100</v>
      </c>
      <c r="BZ38" s="99"/>
      <c r="CA38" s="99"/>
      <c r="CB38" s="100">
        <v>100</v>
      </c>
      <c r="CC38" s="99"/>
      <c r="CD38" s="99"/>
      <c r="CE38" s="989">
        <v>100</v>
      </c>
      <c r="CF38" s="460"/>
      <c r="CG38" s="460"/>
      <c r="CH38" s="405"/>
      <c r="CI38" s="460"/>
      <c r="CJ38" s="460"/>
      <c r="CK38" s="405"/>
      <c r="CL38" s="460"/>
      <c r="CM38" s="460"/>
      <c r="CN38" s="460"/>
      <c r="CO38" s="466"/>
      <c r="CP38" s="464"/>
      <c r="CQ38" s="404"/>
      <c r="CR38" s="411"/>
      <c r="CS38" s="462"/>
      <c r="CT38" s="404"/>
      <c r="CU38" s="411"/>
      <c r="CV38" s="462"/>
      <c r="CW38" s="404"/>
      <c r="CX38" s="472"/>
      <c r="CY38" s="464"/>
      <c r="CZ38" s="462"/>
      <c r="DA38" s="404"/>
      <c r="DB38" s="472"/>
      <c r="DC38" s="464"/>
      <c r="DD38" s="466"/>
      <c r="DE38" s="464"/>
      <c r="DF38" s="405"/>
    </row>
    <row r="39" spans="1:110" ht="8.4499999999999993" customHeight="1" x14ac:dyDescent="0.2">
      <c r="A39" s="130" t="s">
        <v>89</v>
      </c>
      <c r="B39" s="96">
        <v>24</v>
      </c>
      <c r="C39" s="82" t="s">
        <v>2391</v>
      </c>
      <c r="D39" s="96">
        <v>20</v>
      </c>
      <c r="E39" s="82" t="s">
        <v>1958</v>
      </c>
      <c r="F39" s="82" t="s">
        <v>1949</v>
      </c>
      <c r="G39" s="100">
        <v>960</v>
      </c>
      <c r="H39" s="98">
        <v>0.01</v>
      </c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100">
        <v>960</v>
      </c>
      <c r="V39" s="100">
        <v>100</v>
      </c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100">
        <v>100</v>
      </c>
      <c r="BW39" s="99"/>
      <c r="BX39" s="99"/>
      <c r="BY39" s="100">
        <v>100</v>
      </c>
      <c r="BZ39" s="99"/>
      <c r="CA39" s="99"/>
      <c r="CB39" s="100">
        <v>100</v>
      </c>
      <c r="CC39" s="99"/>
      <c r="CD39" s="99"/>
      <c r="CE39" s="989">
        <v>100</v>
      </c>
      <c r="CF39" s="406"/>
      <c r="CG39" s="406"/>
      <c r="CH39" s="407"/>
      <c r="CI39" s="406"/>
      <c r="CJ39" s="406"/>
      <c r="CK39" s="407"/>
      <c r="CL39" s="406"/>
      <c r="CM39" s="406"/>
      <c r="CN39" s="406"/>
      <c r="CO39" s="466"/>
      <c r="CP39" s="464"/>
      <c r="CQ39" s="404"/>
      <c r="CR39" s="411"/>
      <c r="CS39" s="462"/>
      <c r="CT39" s="404"/>
      <c r="CU39" s="411"/>
      <c r="CV39" s="462"/>
      <c r="CW39" s="404"/>
      <c r="CX39" s="472"/>
      <c r="CY39" s="464"/>
      <c r="CZ39" s="462"/>
      <c r="DA39" s="404"/>
      <c r="DB39" s="472"/>
      <c r="DC39" s="464"/>
      <c r="DD39" s="466"/>
      <c r="DE39" s="464"/>
      <c r="DF39" s="405"/>
    </row>
    <row r="40" spans="1:110" ht="8.4499999999999993" customHeight="1" x14ac:dyDescent="0.2">
      <c r="A40" s="130" t="s">
        <v>1380</v>
      </c>
      <c r="B40" s="96">
        <v>25</v>
      </c>
      <c r="C40" s="82" t="s">
        <v>2392</v>
      </c>
      <c r="D40" s="96">
        <v>20</v>
      </c>
      <c r="E40" s="82" t="s">
        <v>2183</v>
      </c>
      <c r="F40" s="82" t="s">
        <v>2015</v>
      </c>
      <c r="G40" s="101">
        <v>8400</v>
      </c>
      <c r="H40" s="98">
        <v>0.1</v>
      </c>
      <c r="I40" s="99"/>
      <c r="J40" s="99"/>
      <c r="K40" s="99"/>
      <c r="L40" s="101">
        <v>8400</v>
      </c>
      <c r="M40" s="100">
        <v>100</v>
      </c>
      <c r="N40" s="100">
        <v>100</v>
      </c>
      <c r="O40" s="99"/>
      <c r="P40" s="99"/>
      <c r="Q40" s="100">
        <v>100</v>
      </c>
      <c r="R40" s="99"/>
      <c r="S40" s="99"/>
      <c r="T40" s="100">
        <v>100</v>
      </c>
      <c r="U40" s="99"/>
      <c r="V40" s="99"/>
      <c r="W40" s="100">
        <v>100</v>
      </c>
      <c r="X40" s="99"/>
      <c r="Y40" s="99"/>
      <c r="Z40" s="100">
        <v>100</v>
      </c>
      <c r="AA40" s="99"/>
      <c r="AB40" s="99"/>
      <c r="AC40" s="100">
        <v>100</v>
      </c>
      <c r="AD40" s="99"/>
      <c r="AE40" s="99"/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100">
        <v>100</v>
      </c>
      <c r="BW40" s="99"/>
      <c r="BX40" s="99"/>
      <c r="BY40" s="100">
        <v>100</v>
      </c>
      <c r="BZ40" s="99"/>
      <c r="CA40" s="99"/>
      <c r="CB40" s="100">
        <v>100</v>
      </c>
      <c r="CC40" s="99"/>
      <c r="CD40" s="99"/>
      <c r="CE40" s="989">
        <v>100</v>
      </c>
      <c r="CF40" s="406"/>
      <c r="CG40" s="406"/>
      <c r="CH40" s="407"/>
      <c r="CI40" s="406"/>
      <c r="CJ40" s="406"/>
      <c r="CK40" s="407"/>
      <c r="CL40" s="406"/>
      <c r="CM40" s="406"/>
      <c r="CN40" s="406"/>
      <c r="CO40" s="469"/>
      <c r="CP40" s="467"/>
      <c r="CQ40" s="409"/>
      <c r="CR40" s="410"/>
      <c r="CS40" s="408"/>
      <c r="CT40" s="409"/>
      <c r="CU40" s="410"/>
      <c r="CV40" s="408"/>
      <c r="CW40" s="409"/>
      <c r="CX40" s="470"/>
      <c r="CY40" s="467"/>
      <c r="CZ40" s="408"/>
      <c r="DA40" s="409"/>
      <c r="DB40" s="470"/>
      <c r="DC40" s="467"/>
      <c r="DD40" s="469"/>
      <c r="DE40" s="467"/>
      <c r="DF40" s="407"/>
    </row>
    <row r="41" spans="1:110" ht="8.4499999999999993" customHeight="1" x14ac:dyDescent="0.2">
      <c r="A41" s="130" t="s">
        <v>1381</v>
      </c>
      <c r="B41" s="96">
        <v>26</v>
      </c>
      <c r="C41" s="82" t="s">
        <v>2393</v>
      </c>
      <c r="D41" s="104">
        <v>189</v>
      </c>
      <c r="E41" s="82" t="s">
        <v>2183</v>
      </c>
      <c r="F41" s="82" t="s">
        <v>1554</v>
      </c>
      <c r="G41" s="101">
        <v>2000</v>
      </c>
      <c r="H41" s="98">
        <v>0.02</v>
      </c>
      <c r="I41" s="99"/>
      <c r="J41" s="99"/>
      <c r="K41" s="99"/>
      <c r="L41" s="101">
        <v>1000</v>
      </c>
      <c r="M41" s="102">
        <v>50</v>
      </c>
      <c r="N41" s="102">
        <v>50</v>
      </c>
      <c r="O41" s="99"/>
      <c r="P41" s="99"/>
      <c r="Q41" s="102">
        <v>50</v>
      </c>
      <c r="R41" s="99"/>
      <c r="S41" s="99"/>
      <c r="T41" s="102">
        <v>50</v>
      </c>
      <c r="U41" s="99"/>
      <c r="V41" s="99"/>
      <c r="W41" s="102">
        <v>50</v>
      </c>
      <c r="X41" s="99"/>
      <c r="Y41" s="99"/>
      <c r="Z41" s="102">
        <v>50</v>
      </c>
      <c r="AA41" s="99"/>
      <c r="AB41" s="99"/>
      <c r="AC41" s="102">
        <v>50</v>
      </c>
      <c r="AD41" s="99"/>
      <c r="AE41" s="99"/>
      <c r="AF41" s="102">
        <v>50</v>
      </c>
      <c r="AG41" s="99"/>
      <c r="AH41" s="99"/>
      <c r="AI41" s="102">
        <v>50</v>
      </c>
      <c r="AJ41" s="101">
        <v>1000</v>
      </c>
      <c r="AK41" s="102">
        <v>50</v>
      </c>
      <c r="AL41" s="100">
        <v>100</v>
      </c>
      <c r="AM41" s="99"/>
      <c r="AN41" s="99"/>
      <c r="AO41" s="100">
        <v>100</v>
      </c>
      <c r="AP41" s="99"/>
      <c r="AQ41" s="99"/>
      <c r="AR41" s="100">
        <v>100</v>
      </c>
      <c r="AS41" s="99"/>
      <c r="AT41" s="99"/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100">
        <v>100</v>
      </c>
      <c r="BW41" s="99"/>
      <c r="BX41" s="99"/>
      <c r="BY41" s="100">
        <v>100</v>
      </c>
      <c r="BZ41" s="99"/>
      <c r="CA41" s="99"/>
      <c r="CB41" s="100">
        <v>100</v>
      </c>
      <c r="CC41" s="99"/>
      <c r="CD41" s="99"/>
      <c r="CE41" s="989">
        <v>100</v>
      </c>
      <c r="CF41" s="406"/>
      <c r="CG41" s="406"/>
      <c r="CH41" s="407"/>
      <c r="CI41" s="406"/>
      <c r="CJ41" s="406"/>
      <c r="CK41" s="407"/>
      <c r="CL41" s="406"/>
      <c r="CM41" s="406"/>
      <c r="CN41" s="406"/>
      <c r="CO41" s="469"/>
      <c r="CP41" s="467"/>
      <c r="CQ41" s="409"/>
      <c r="CR41" s="410"/>
      <c r="CS41" s="408"/>
      <c r="CT41" s="409"/>
      <c r="CU41" s="410"/>
      <c r="CV41" s="408"/>
      <c r="CW41" s="409"/>
      <c r="CX41" s="470"/>
      <c r="CY41" s="467"/>
      <c r="CZ41" s="408"/>
      <c r="DA41" s="409"/>
      <c r="DB41" s="470"/>
      <c r="DC41" s="467"/>
      <c r="DD41" s="469"/>
      <c r="DE41" s="467"/>
      <c r="DF41" s="407"/>
    </row>
    <row r="42" spans="1:110" ht="8.4499999999999993" customHeight="1" x14ac:dyDescent="0.2">
      <c r="A42" s="130" t="s">
        <v>596</v>
      </c>
      <c r="B42" s="88">
        <v>27</v>
      </c>
      <c r="C42" s="87" t="s">
        <v>333</v>
      </c>
      <c r="D42" s="88">
        <v>14</v>
      </c>
      <c r="E42" s="87" t="s">
        <v>2394</v>
      </c>
      <c r="F42" s="87" t="s">
        <v>1554</v>
      </c>
      <c r="G42" s="89">
        <v>13644.86</v>
      </c>
      <c r="H42" s="90">
        <v>0.16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89">
        <v>13644.86</v>
      </c>
      <c r="AK42" s="93">
        <v>100</v>
      </c>
      <c r="AL42" s="93">
        <v>100</v>
      </c>
      <c r="AM42" s="94"/>
      <c r="AN42" s="94"/>
      <c r="AO42" s="93">
        <v>100</v>
      </c>
      <c r="AP42" s="94"/>
      <c r="AQ42" s="94"/>
      <c r="AR42" s="93">
        <v>100</v>
      </c>
      <c r="AS42" s="94"/>
      <c r="AT42" s="94"/>
      <c r="AU42" s="93">
        <v>100</v>
      </c>
      <c r="AV42" s="94"/>
      <c r="AW42" s="94"/>
      <c r="AX42" s="93">
        <v>100</v>
      </c>
      <c r="AY42" s="94"/>
      <c r="AZ42" s="94"/>
      <c r="BA42" s="93">
        <v>100</v>
      </c>
      <c r="BB42" s="94"/>
      <c r="BC42" s="94"/>
      <c r="BD42" s="93">
        <v>100</v>
      </c>
      <c r="BE42" s="94"/>
      <c r="BF42" s="94"/>
      <c r="BG42" s="93">
        <v>100</v>
      </c>
      <c r="BH42" s="94"/>
      <c r="BI42" s="94"/>
      <c r="BJ42" s="93">
        <v>100</v>
      </c>
      <c r="BK42" s="94"/>
      <c r="BL42" s="94"/>
      <c r="BM42" s="93">
        <v>100</v>
      </c>
      <c r="BN42" s="94"/>
      <c r="BO42" s="94"/>
      <c r="BP42" s="93">
        <v>100</v>
      </c>
      <c r="BQ42" s="94"/>
      <c r="BR42" s="94"/>
      <c r="BS42" s="93">
        <v>100</v>
      </c>
      <c r="BT42" s="94"/>
      <c r="BU42" s="94"/>
      <c r="BV42" s="93">
        <v>100</v>
      </c>
      <c r="BW42" s="94"/>
      <c r="BX42" s="94"/>
      <c r="BY42" s="93">
        <v>100</v>
      </c>
      <c r="BZ42" s="94"/>
      <c r="CA42" s="94"/>
      <c r="CB42" s="93">
        <v>100</v>
      </c>
      <c r="CC42" s="94"/>
      <c r="CD42" s="94"/>
      <c r="CE42" s="988">
        <v>100</v>
      </c>
      <c r="CF42" s="406"/>
      <c r="CG42" s="406"/>
      <c r="CH42" s="407"/>
      <c r="CI42" s="406"/>
      <c r="CJ42" s="406"/>
      <c r="CK42" s="407"/>
      <c r="CL42" s="406"/>
      <c r="CM42" s="406"/>
      <c r="CN42" s="406"/>
      <c r="CO42" s="469"/>
      <c r="CP42" s="467"/>
      <c r="CQ42" s="409"/>
      <c r="CR42" s="410"/>
      <c r="CS42" s="408"/>
      <c r="CT42" s="409"/>
      <c r="CU42" s="410"/>
      <c r="CV42" s="408"/>
      <c r="CW42" s="409"/>
      <c r="CX42" s="470"/>
      <c r="CY42" s="467"/>
      <c r="CZ42" s="408"/>
      <c r="DA42" s="409"/>
      <c r="DB42" s="470"/>
      <c r="DC42" s="467"/>
      <c r="DD42" s="469"/>
      <c r="DE42" s="467"/>
      <c r="DF42" s="407"/>
    </row>
    <row r="43" spans="1:110" ht="8.4499999999999993" customHeight="1" x14ac:dyDescent="0.2">
      <c r="A43" s="130" t="s">
        <v>597</v>
      </c>
      <c r="B43" s="96">
        <v>28</v>
      </c>
      <c r="C43" s="82" t="s">
        <v>2395</v>
      </c>
      <c r="D43" s="96">
        <v>14</v>
      </c>
      <c r="E43" s="82" t="s">
        <v>2394</v>
      </c>
      <c r="F43" s="82" t="s">
        <v>1554</v>
      </c>
      <c r="G43" s="101">
        <v>4094</v>
      </c>
      <c r="H43" s="98">
        <v>0.05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101">
        <v>4094</v>
      </c>
      <c r="AK43" s="100">
        <v>100</v>
      </c>
      <c r="AL43" s="100">
        <v>100</v>
      </c>
      <c r="AM43" s="99"/>
      <c r="AN43" s="99"/>
      <c r="AO43" s="100">
        <v>100</v>
      </c>
      <c r="AP43" s="99"/>
      <c r="AQ43" s="99"/>
      <c r="AR43" s="100">
        <v>100</v>
      </c>
      <c r="AS43" s="99"/>
      <c r="AT43" s="99"/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100">
        <v>100</v>
      </c>
      <c r="BW43" s="99"/>
      <c r="BX43" s="99"/>
      <c r="BY43" s="100">
        <v>100</v>
      </c>
      <c r="BZ43" s="99"/>
      <c r="CA43" s="99"/>
      <c r="CB43" s="100">
        <v>100</v>
      </c>
      <c r="CC43" s="99"/>
      <c r="CD43" s="99"/>
      <c r="CE43" s="989">
        <v>100</v>
      </c>
      <c r="CF43" s="406"/>
      <c r="CG43" s="406"/>
      <c r="CH43" s="407"/>
      <c r="CI43" s="406"/>
      <c r="CJ43" s="406"/>
      <c r="CK43" s="407"/>
      <c r="CL43" s="406"/>
      <c r="CM43" s="406"/>
      <c r="CN43" s="406"/>
      <c r="CO43" s="469"/>
      <c r="CP43" s="467"/>
      <c r="CQ43" s="409"/>
      <c r="CR43" s="410"/>
      <c r="CS43" s="408"/>
      <c r="CT43" s="409"/>
      <c r="CU43" s="410"/>
      <c r="CV43" s="408"/>
      <c r="CW43" s="409"/>
      <c r="CX43" s="470"/>
      <c r="CY43" s="467"/>
      <c r="CZ43" s="408"/>
      <c r="DA43" s="409"/>
      <c r="DB43" s="470"/>
      <c r="DC43" s="467"/>
      <c r="DD43" s="469"/>
      <c r="DE43" s="467"/>
      <c r="DF43" s="407"/>
    </row>
    <row r="44" spans="1:110" ht="8.4499999999999993" customHeight="1" x14ac:dyDescent="0.2">
      <c r="A44" s="130" t="s">
        <v>769</v>
      </c>
      <c r="B44" s="96">
        <v>29</v>
      </c>
      <c r="C44" s="82" t="s">
        <v>2396</v>
      </c>
      <c r="D44" s="96">
        <v>14</v>
      </c>
      <c r="E44" s="82" t="s">
        <v>2394</v>
      </c>
      <c r="F44" s="82" t="s">
        <v>1554</v>
      </c>
      <c r="G44" s="101">
        <v>1860.71</v>
      </c>
      <c r="H44" s="98">
        <v>0.02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101">
        <v>1860.71</v>
      </c>
      <c r="AK44" s="100">
        <v>100</v>
      </c>
      <c r="AL44" s="100">
        <v>100</v>
      </c>
      <c r="AM44" s="99"/>
      <c r="AN44" s="99"/>
      <c r="AO44" s="100">
        <v>100</v>
      </c>
      <c r="AP44" s="99"/>
      <c r="AQ44" s="99"/>
      <c r="AR44" s="100">
        <v>100</v>
      </c>
      <c r="AS44" s="99"/>
      <c r="AT44" s="99"/>
      <c r="AU44" s="100">
        <v>100</v>
      </c>
      <c r="AV44" s="99"/>
      <c r="AW44" s="99"/>
      <c r="AX44" s="100">
        <v>100</v>
      </c>
      <c r="AY44" s="99"/>
      <c r="AZ44" s="99"/>
      <c r="BA44" s="100">
        <v>100</v>
      </c>
      <c r="BB44" s="99"/>
      <c r="BC44" s="99"/>
      <c r="BD44" s="100">
        <v>100</v>
      </c>
      <c r="BE44" s="99"/>
      <c r="BF44" s="99"/>
      <c r="BG44" s="100">
        <v>100</v>
      </c>
      <c r="BH44" s="99"/>
      <c r="BI44" s="99"/>
      <c r="BJ44" s="100">
        <v>100</v>
      </c>
      <c r="BK44" s="99"/>
      <c r="BL44" s="99"/>
      <c r="BM44" s="100">
        <v>100</v>
      </c>
      <c r="BN44" s="99"/>
      <c r="BO44" s="99"/>
      <c r="BP44" s="100">
        <v>100</v>
      </c>
      <c r="BQ44" s="99"/>
      <c r="BR44" s="99"/>
      <c r="BS44" s="100">
        <v>100</v>
      </c>
      <c r="BT44" s="99"/>
      <c r="BU44" s="99"/>
      <c r="BV44" s="100">
        <v>100</v>
      </c>
      <c r="BW44" s="99"/>
      <c r="BX44" s="99"/>
      <c r="BY44" s="100">
        <v>100</v>
      </c>
      <c r="BZ44" s="99"/>
      <c r="CA44" s="99"/>
      <c r="CB44" s="100">
        <v>100</v>
      </c>
      <c r="CC44" s="99"/>
      <c r="CD44" s="99"/>
      <c r="CE44" s="989">
        <v>100</v>
      </c>
      <c r="CF44" s="460"/>
      <c r="CG44" s="460"/>
      <c r="CH44" s="405"/>
      <c r="CI44" s="460"/>
      <c r="CJ44" s="460"/>
      <c r="CK44" s="405"/>
      <c r="CL44" s="460"/>
      <c r="CM44" s="460"/>
      <c r="CN44" s="460"/>
      <c r="CO44" s="469"/>
      <c r="CP44" s="467"/>
      <c r="CQ44" s="409"/>
      <c r="CR44" s="410"/>
      <c r="CS44" s="408"/>
      <c r="CT44" s="409"/>
      <c r="CU44" s="410"/>
      <c r="CV44" s="408"/>
      <c r="CW44" s="409"/>
      <c r="CX44" s="470"/>
      <c r="CY44" s="467"/>
      <c r="CZ44" s="408"/>
      <c r="DA44" s="409"/>
      <c r="DB44" s="470"/>
      <c r="DC44" s="467"/>
      <c r="DD44" s="469"/>
      <c r="DE44" s="467"/>
      <c r="DF44" s="407"/>
    </row>
    <row r="45" spans="1:110" ht="8.4499999999999993" customHeight="1" x14ac:dyDescent="0.2">
      <c r="A45" s="130" t="s">
        <v>770</v>
      </c>
      <c r="B45" s="96">
        <v>30</v>
      </c>
      <c r="C45" s="82" t="s">
        <v>2397</v>
      </c>
      <c r="D45" s="96">
        <v>14</v>
      </c>
      <c r="E45" s="82" t="s">
        <v>2394</v>
      </c>
      <c r="F45" s="82" t="s">
        <v>1554</v>
      </c>
      <c r="G45" s="101">
        <v>1400.83</v>
      </c>
      <c r="H45" s="98">
        <v>0.02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101">
        <v>1400.83</v>
      </c>
      <c r="AK45" s="100">
        <v>100</v>
      </c>
      <c r="AL45" s="100">
        <v>100</v>
      </c>
      <c r="AM45" s="99"/>
      <c r="AN45" s="99"/>
      <c r="AO45" s="100">
        <v>100</v>
      </c>
      <c r="AP45" s="99"/>
      <c r="AQ45" s="99"/>
      <c r="AR45" s="100">
        <v>100</v>
      </c>
      <c r="AS45" s="99"/>
      <c r="AT45" s="99"/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100">
        <v>100</v>
      </c>
      <c r="BW45" s="99"/>
      <c r="BX45" s="99"/>
      <c r="BY45" s="100">
        <v>100</v>
      </c>
      <c r="BZ45" s="99"/>
      <c r="CA45" s="99"/>
      <c r="CB45" s="100">
        <v>100</v>
      </c>
      <c r="CC45" s="99"/>
      <c r="CD45" s="99"/>
      <c r="CE45" s="989">
        <v>100</v>
      </c>
      <c r="CF45" s="406"/>
      <c r="CG45" s="406"/>
      <c r="CH45" s="407"/>
      <c r="CI45" s="406"/>
      <c r="CJ45" s="406"/>
      <c r="CK45" s="407"/>
      <c r="CL45" s="406"/>
      <c r="CM45" s="406"/>
      <c r="CN45" s="406"/>
      <c r="CO45" s="469"/>
      <c r="CP45" s="467"/>
      <c r="CQ45" s="409"/>
      <c r="CR45" s="410"/>
      <c r="CS45" s="408"/>
      <c r="CT45" s="409"/>
      <c r="CU45" s="410"/>
      <c r="CV45" s="408"/>
      <c r="CW45" s="409"/>
      <c r="CX45" s="470"/>
      <c r="CY45" s="467"/>
      <c r="CZ45" s="408"/>
      <c r="DA45" s="409"/>
      <c r="DB45" s="470"/>
      <c r="DC45" s="467"/>
      <c r="DD45" s="469"/>
      <c r="DE45" s="467"/>
      <c r="DF45" s="407"/>
    </row>
    <row r="46" spans="1:110" ht="8.4499999999999993" customHeight="1" x14ac:dyDescent="0.2">
      <c r="A46" s="130" t="s">
        <v>1384</v>
      </c>
      <c r="B46" s="96">
        <v>31</v>
      </c>
      <c r="C46" s="82" t="s">
        <v>2398</v>
      </c>
      <c r="D46" s="96">
        <v>14</v>
      </c>
      <c r="E46" s="82" t="s">
        <v>2394</v>
      </c>
      <c r="F46" s="82" t="s">
        <v>1554</v>
      </c>
      <c r="G46" s="101">
        <v>1266.92</v>
      </c>
      <c r="H46" s="98">
        <v>0.01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101">
        <v>1266.92</v>
      </c>
      <c r="AK46" s="100">
        <v>100</v>
      </c>
      <c r="AL46" s="100">
        <v>100</v>
      </c>
      <c r="AM46" s="99"/>
      <c r="AN46" s="99"/>
      <c r="AO46" s="100">
        <v>100</v>
      </c>
      <c r="AP46" s="99"/>
      <c r="AQ46" s="99"/>
      <c r="AR46" s="100">
        <v>100</v>
      </c>
      <c r="AS46" s="99"/>
      <c r="AT46" s="99"/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100">
        <v>100</v>
      </c>
      <c r="BW46" s="99"/>
      <c r="BX46" s="99"/>
      <c r="BY46" s="100">
        <v>100</v>
      </c>
      <c r="BZ46" s="99"/>
      <c r="CA46" s="99"/>
      <c r="CB46" s="100">
        <v>100</v>
      </c>
      <c r="CC46" s="99"/>
      <c r="CD46" s="99"/>
      <c r="CE46" s="989">
        <v>100</v>
      </c>
      <c r="CF46" s="406"/>
      <c r="CG46" s="406"/>
      <c r="CH46" s="407"/>
      <c r="CI46" s="406"/>
      <c r="CJ46" s="406"/>
      <c r="CK46" s="407"/>
      <c r="CL46" s="406"/>
      <c r="CM46" s="406"/>
      <c r="CN46" s="406"/>
      <c r="CO46" s="469"/>
      <c r="CP46" s="467"/>
      <c r="CQ46" s="409"/>
      <c r="CR46" s="410"/>
      <c r="CS46" s="408"/>
      <c r="CT46" s="409"/>
      <c r="CU46" s="410"/>
      <c r="CV46" s="408"/>
      <c r="CW46" s="409"/>
      <c r="CX46" s="470"/>
      <c r="CY46" s="467"/>
      <c r="CZ46" s="408"/>
      <c r="DA46" s="409"/>
      <c r="DB46" s="470"/>
      <c r="DC46" s="467"/>
      <c r="DD46" s="469"/>
      <c r="DE46" s="467"/>
      <c r="DF46" s="407"/>
    </row>
    <row r="47" spans="1:110" ht="16.899999999999999" customHeight="1" x14ac:dyDescent="0.2">
      <c r="A47" s="130" t="s">
        <v>1386</v>
      </c>
      <c r="B47" s="96">
        <v>32</v>
      </c>
      <c r="C47" s="82" t="s">
        <v>2399</v>
      </c>
      <c r="D47" s="96">
        <v>14</v>
      </c>
      <c r="E47" s="82" t="s">
        <v>2394</v>
      </c>
      <c r="F47" s="82" t="s">
        <v>1554</v>
      </c>
      <c r="G47" s="101">
        <v>2364.41</v>
      </c>
      <c r="H47" s="98">
        <v>0.03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101">
        <v>2364.41</v>
      </c>
      <c r="AK47" s="100">
        <v>100</v>
      </c>
      <c r="AL47" s="100">
        <v>100</v>
      </c>
      <c r="AM47" s="99"/>
      <c r="AN47" s="99"/>
      <c r="AO47" s="100">
        <v>100</v>
      </c>
      <c r="AP47" s="99"/>
      <c r="AQ47" s="99"/>
      <c r="AR47" s="100">
        <v>100</v>
      </c>
      <c r="AS47" s="99"/>
      <c r="AT47" s="99"/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100">
        <v>100</v>
      </c>
      <c r="BW47" s="99"/>
      <c r="BX47" s="99"/>
      <c r="BY47" s="100">
        <v>100</v>
      </c>
      <c r="BZ47" s="99"/>
      <c r="CA47" s="99"/>
      <c r="CB47" s="100">
        <v>100</v>
      </c>
      <c r="CC47" s="99"/>
      <c r="CD47" s="99"/>
      <c r="CE47" s="989">
        <v>100</v>
      </c>
      <c r="CF47" s="406"/>
      <c r="CG47" s="406"/>
      <c r="CH47" s="407"/>
      <c r="CI47" s="406"/>
      <c r="CJ47" s="406"/>
      <c r="CK47" s="407"/>
      <c r="CL47" s="406"/>
      <c r="CM47" s="406"/>
      <c r="CN47" s="406"/>
      <c r="CO47" s="469"/>
      <c r="CP47" s="467"/>
      <c r="CQ47" s="409"/>
      <c r="CR47" s="410"/>
      <c r="CS47" s="408"/>
      <c r="CT47" s="409"/>
      <c r="CU47" s="410"/>
      <c r="CV47" s="408"/>
      <c r="CW47" s="409"/>
      <c r="CX47" s="470"/>
      <c r="CY47" s="467"/>
      <c r="CZ47" s="408"/>
      <c r="DA47" s="409"/>
      <c r="DB47" s="470"/>
      <c r="DC47" s="467"/>
      <c r="DD47" s="469"/>
      <c r="DE47" s="467"/>
      <c r="DF47" s="407"/>
    </row>
    <row r="48" spans="1:110" ht="8.4499999999999993" customHeight="1" x14ac:dyDescent="0.2">
      <c r="A48" s="130" t="s">
        <v>1387</v>
      </c>
      <c r="B48" s="96">
        <v>33</v>
      </c>
      <c r="C48" s="82" t="s">
        <v>2400</v>
      </c>
      <c r="D48" s="96">
        <v>14</v>
      </c>
      <c r="E48" s="82" t="s">
        <v>2394</v>
      </c>
      <c r="F48" s="82" t="s">
        <v>1554</v>
      </c>
      <c r="G48" s="100">
        <v>499.05</v>
      </c>
      <c r="H48" s="98">
        <v>0.01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100">
        <v>499.05</v>
      </c>
      <c r="AK48" s="100">
        <v>100</v>
      </c>
      <c r="AL48" s="100">
        <v>100</v>
      </c>
      <c r="AM48" s="99"/>
      <c r="AN48" s="99"/>
      <c r="AO48" s="100">
        <v>100</v>
      </c>
      <c r="AP48" s="99"/>
      <c r="AQ48" s="99"/>
      <c r="AR48" s="100">
        <v>100</v>
      </c>
      <c r="AS48" s="99"/>
      <c r="AT48" s="99"/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100">
        <v>100</v>
      </c>
      <c r="BW48" s="99"/>
      <c r="BX48" s="99"/>
      <c r="BY48" s="100">
        <v>100</v>
      </c>
      <c r="BZ48" s="99"/>
      <c r="CA48" s="99"/>
      <c r="CB48" s="100">
        <v>100</v>
      </c>
      <c r="CC48" s="99"/>
      <c r="CD48" s="99"/>
      <c r="CE48" s="989">
        <v>100</v>
      </c>
      <c r="CF48" s="406"/>
      <c r="CG48" s="406"/>
      <c r="CH48" s="407"/>
      <c r="CI48" s="406"/>
      <c r="CJ48" s="406"/>
      <c r="CK48" s="407"/>
      <c r="CL48" s="406"/>
      <c r="CM48" s="406"/>
      <c r="CN48" s="406"/>
      <c r="CO48" s="466"/>
      <c r="CP48" s="464"/>
      <c r="CQ48" s="404"/>
      <c r="CR48" s="411"/>
      <c r="CS48" s="462"/>
      <c r="CT48" s="404"/>
      <c r="CU48" s="411"/>
      <c r="CV48" s="462"/>
      <c r="CW48" s="404"/>
      <c r="CX48" s="472"/>
      <c r="CY48" s="464"/>
      <c r="CZ48" s="462"/>
      <c r="DA48" s="404"/>
      <c r="DB48" s="472"/>
      <c r="DC48" s="464"/>
      <c r="DD48" s="466"/>
      <c r="DE48" s="464"/>
      <c r="DF48" s="405"/>
    </row>
    <row r="49" spans="1:110" ht="8.4499999999999993" customHeight="1" x14ac:dyDescent="0.2">
      <c r="A49" s="130" t="s">
        <v>1388</v>
      </c>
      <c r="B49" s="96">
        <v>34</v>
      </c>
      <c r="C49" s="82" t="s">
        <v>2401</v>
      </c>
      <c r="D49" s="96">
        <v>14</v>
      </c>
      <c r="E49" s="82" t="s">
        <v>2394</v>
      </c>
      <c r="F49" s="82" t="s">
        <v>1554</v>
      </c>
      <c r="G49" s="101">
        <v>2158.94</v>
      </c>
      <c r="H49" s="98">
        <v>0.02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101">
        <v>2158.94</v>
      </c>
      <c r="AK49" s="100">
        <v>100</v>
      </c>
      <c r="AL49" s="100">
        <v>100</v>
      </c>
      <c r="AM49" s="99"/>
      <c r="AN49" s="99"/>
      <c r="AO49" s="100">
        <v>100</v>
      </c>
      <c r="AP49" s="99"/>
      <c r="AQ49" s="99"/>
      <c r="AR49" s="100">
        <v>100</v>
      </c>
      <c r="AS49" s="99"/>
      <c r="AT49" s="99"/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100">
        <v>100</v>
      </c>
      <c r="BW49" s="99"/>
      <c r="BX49" s="99"/>
      <c r="BY49" s="100">
        <v>100</v>
      </c>
      <c r="BZ49" s="99"/>
      <c r="CA49" s="99"/>
      <c r="CB49" s="100">
        <v>100</v>
      </c>
      <c r="CC49" s="99"/>
      <c r="CD49" s="99"/>
      <c r="CE49" s="989">
        <v>100</v>
      </c>
      <c r="CF49" s="406"/>
      <c r="CG49" s="406"/>
      <c r="CH49" s="407"/>
      <c r="CI49" s="406"/>
      <c r="CJ49" s="406"/>
      <c r="CK49" s="407"/>
      <c r="CL49" s="406"/>
      <c r="CM49" s="406"/>
      <c r="CN49" s="406"/>
      <c r="CO49" s="469"/>
      <c r="CP49" s="467"/>
      <c r="CQ49" s="409"/>
      <c r="CR49" s="410"/>
      <c r="CS49" s="408"/>
      <c r="CT49" s="409"/>
      <c r="CU49" s="410"/>
      <c r="CV49" s="408"/>
      <c r="CW49" s="409"/>
      <c r="CX49" s="470"/>
      <c r="CY49" s="467"/>
      <c r="CZ49" s="408"/>
      <c r="DA49" s="409"/>
      <c r="DB49" s="470"/>
      <c r="DC49" s="467"/>
      <c r="DD49" s="469"/>
      <c r="DE49" s="467"/>
      <c r="DF49" s="407"/>
    </row>
    <row r="50" spans="1:110" ht="16.899999999999999" customHeight="1" x14ac:dyDescent="0.2">
      <c r="A50" s="130" t="s">
        <v>598</v>
      </c>
      <c r="B50" s="88">
        <v>35</v>
      </c>
      <c r="C50" s="87" t="s">
        <v>60</v>
      </c>
      <c r="D50" s="103">
        <v>212</v>
      </c>
      <c r="E50" s="87" t="s">
        <v>1557</v>
      </c>
      <c r="F50" s="87" t="s">
        <v>1554</v>
      </c>
      <c r="G50" s="89">
        <v>11130.25</v>
      </c>
      <c r="H50" s="90">
        <v>0.13</v>
      </c>
      <c r="I50" s="92">
        <v>8091.15</v>
      </c>
      <c r="J50" s="91">
        <v>71.56</v>
      </c>
      <c r="K50" s="91">
        <v>71.56</v>
      </c>
      <c r="L50" s="94"/>
      <c r="M50" s="94"/>
      <c r="N50" s="91">
        <v>71.56</v>
      </c>
      <c r="O50" s="94"/>
      <c r="P50" s="94"/>
      <c r="Q50" s="91">
        <v>71.56</v>
      </c>
      <c r="R50" s="94"/>
      <c r="S50" s="94"/>
      <c r="T50" s="91">
        <v>71.56</v>
      </c>
      <c r="U50" s="94"/>
      <c r="V50" s="94"/>
      <c r="W50" s="91">
        <v>71.56</v>
      </c>
      <c r="X50" s="94"/>
      <c r="Y50" s="94"/>
      <c r="Z50" s="91">
        <v>71.56</v>
      </c>
      <c r="AA50" s="94"/>
      <c r="AB50" s="94"/>
      <c r="AC50" s="91">
        <v>71.56</v>
      </c>
      <c r="AD50" s="94"/>
      <c r="AE50" s="94"/>
      <c r="AF50" s="91">
        <v>71.56</v>
      </c>
      <c r="AG50" s="94"/>
      <c r="AH50" s="94"/>
      <c r="AI50" s="91">
        <v>71.56</v>
      </c>
      <c r="AJ50" s="92">
        <v>3039.1</v>
      </c>
      <c r="AK50" s="91">
        <v>28.44</v>
      </c>
      <c r="AL50" s="93">
        <v>100</v>
      </c>
      <c r="AM50" s="94"/>
      <c r="AN50" s="94"/>
      <c r="AO50" s="93">
        <v>100</v>
      </c>
      <c r="AP50" s="94"/>
      <c r="AQ50" s="94"/>
      <c r="AR50" s="93">
        <v>100</v>
      </c>
      <c r="AS50" s="94"/>
      <c r="AT50" s="94"/>
      <c r="AU50" s="93">
        <v>100</v>
      </c>
      <c r="AV50" s="94"/>
      <c r="AW50" s="94"/>
      <c r="AX50" s="93">
        <v>100</v>
      </c>
      <c r="AY50" s="94"/>
      <c r="AZ50" s="94"/>
      <c r="BA50" s="93">
        <v>100</v>
      </c>
      <c r="BB50" s="94"/>
      <c r="BC50" s="94"/>
      <c r="BD50" s="93">
        <v>100</v>
      </c>
      <c r="BE50" s="94"/>
      <c r="BF50" s="94"/>
      <c r="BG50" s="93">
        <v>100</v>
      </c>
      <c r="BH50" s="94"/>
      <c r="BI50" s="94"/>
      <c r="BJ50" s="93">
        <v>100</v>
      </c>
      <c r="BK50" s="94"/>
      <c r="BL50" s="94"/>
      <c r="BM50" s="93">
        <v>100</v>
      </c>
      <c r="BN50" s="94"/>
      <c r="BO50" s="94"/>
      <c r="BP50" s="93">
        <v>100</v>
      </c>
      <c r="BQ50" s="94"/>
      <c r="BR50" s="94"/>
      <c r="BS50" s="93">
        <v>100</v>
      </c>
      <c r="BT50" s="94"/>
      <c r="BU50" s="94"/>
      <c r="BV50" s="93">
        <v>100</v>
      </c>
      <c r="BW50" s="94"/>
      <c r="BX50" s="94"/>
      <c r="BY50" s="93">
        <v>100</v>
      </c>
      <c r="BZ50" s="94"/>
      <c r="CA50" s="94"/>
      <c r="CB50" s="93">
        <v>100</v>
      </c>
      <c r="CC50" s="94"/>
      <c r="CD50" s="94"/>
      <c r="CE50" s="988">
        <v>100</v>
      </c>
      <c r="CF50" s="406"/>
      <c r="CG50" s="406"/>
      <c r="CH50" s="407"/>
      <c r="CI50" s="406"/>
      <c r="CJ50" s="406"/>
      <c r="CK50" s="407"/>
      <c r="CL50" s="406"/>
      <c r="CM50" s="406"/>
      <c r="CN50" s="406"/>
      <c r="CO50" s="469"/>
      <c r="CP50" s="467"/>
      <c r="CQ50" s="409"/>
      <c r="CR50" s="410"/>
      <c r="CS50" s="408"/>
      <c r="CT50" s="409"/>
      <c r="CU50" s="410"/>
      <c r="CV50" s="408"/>
      <c r="CW50" s="409"/>
      <c r="CX50" s="470"/>
      <c r="CY50" s="467"/>
      <c r="CZ50" s="408"/>
      <c r="DA50" s="409"/>
      <c r="DB50" s="470"/>
      <c r="DC50" s="467"/>
      <c r="DD50" s="469"/>
      <c r="DE50" s="467"/>
      <c r="DF50" s="407"/>
    </row>
    <row r="51" spans="1:110" ht="8.4499999999999993" customHeight="1" x14ac:dyDescent="0.2">
      <c r="A51" s="130" t="s">
        <v>600</v>
      </c>
      <c r="B51" s="96">
        <v>36</v>
      </c>
      <c r="C51" s="82" t="s">
        <v>2402</v>
      </c>
      <c r="D51" s="96">
        <v>22</v>
      </c>
      <c r="E51" s="82" t="s">
        <v>1557</v>
      </c>
      <c r="F51" s="82" t="s">
        <v>2376</v>
      </c>
      <c r="G51" s="100">
        <v>800</v>
      </c>
      <c r="H51" s="98">
        <v>0.01</v>
      </c>
      <c r="I51" s="100">
        <v>800</v>
      </c>
      <c r="J51" s="100">
        <v>100</v>
      </c>
      <c r="K51" s="100">
        <v>100</v>
      </c>
      <c r="L51" s="99"/>
      <c r="M51" s="99"/>
      <c r="N51" s="100">
        <v>100</v>
      </c>
      <c r="O51" s="99"/>
      <c r="P51" s="99"/>
      <c r="Q51" s="100">
        <v>100</v>
      </c>
      <c r="R51" s="99"/>
      <c r="S51" s="99"/>
      <c r="T51" s="100">
        <v>100</v>
      </c>
      <c r="U51" s="99"/>
      <c r="V51" s="99"/>
      <c r="W51" s="100">
        <v>100</v>
      </c>
      <c r="X51" s="99"/>
      <c r="Y51" s="99"/>
      <c r="Z51" s="100">
        <v>100</v>
      </c>
      <c r="AA51" s="99"/>
      <c r="AB51" s="99"/>
      <c r="AC51" s="100">
        <v>100</v>
      </c>
      <c r="AD51" s="99"/>
      <c r="AE51" s="99"/>
      <c r="AF51" s="100">
        <v>100</v>
      </c>
      <c r="AG51" s="99"/>
      <c r="AH51" s="99"/>
      <c r="AI51" s="100">
        <v>100</v>
      </c>
      <c r="AJ51" s="99"/>
      <c r="AK51" s="99"/>
      <c r="AL51" s="100">
        <v>100</v>
      </c>
      <c r="AM51" s="99"/>
      <c r="AN51" s="99"/>
      <c r="AO51" s="100">
        <v>100</v>
      </c>
      <c r="AP51" s="99"/>
      <c r="AQ51" s="99"/>
      <c r="AR51" s="100">
        <v>100</v>
      </c>
      <c r="AS51" s="99"/>
      <c r="AT51" s="99"/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100">
        <v>100</v>
      </c>
      <c r="BW51" s="99"/>
      <c r="BX51" s="99"/>
      <c r="BY51" s="100">
        <v>100</v>
      </c>
      <c r="BZ51" s="99"/>
      <c r="CA51" s="99"/>
      <c r="CB51" s="100">
        <v>100</v>
      </c>
      <c r="CC51" s="99"/>
      <c r="CD51" s="99"/>
      <c r="CE51" s="989">
        <v>100</v>
      </c>
      <c r="CF51" s="406"/>
      <c r="CG51" s="406"/>
      <c r="CH51" s="407"/>
      <c r="CI51" s="406"/>
      <c r="CJ51" s="406"/>
      <c r="CK51" s="407"/>
      <c r="CL51" s="406"/>
      <c r="CM51" s="406"/>
      <c r="CN51" s="406"/>
      <c r="CO51" s="469"/>
      <c r="CP51" s="467"/>
      <c r="CQ51" s="409"/>
      <c r="CR51" s="410"/>
      <c r="CS51" s="408"/>
      <c r="CT51" s="409"/>
      <c r="CU51" s="410"/>
      <c r="CV51" s="408"/>
      <c r="CW51" s="409"/>
      <c r="CX51" s="470"/>
      <c r="CY51" s="467"/>
      <c r="CZ51" s="408"/>
      <c r="DA51" s="409"/>
      <c r="DB51" s="470"/>
      <c r="DC51" s="467"/>
      <c r="DD51" s="469"/>
      <c r="DE51" s="467"/>
      <c r="DF51" s="407"/>
    </row>
    <row r="52" spans="1:110" ht="8.4499999999999993" customHeight="1" x14ac:dyDescent="0.2">
      <c r="A52" s="130" t="s">
        <v>601</v>
      </c>
      <c r="B52" s="96">
        <v>37</v>
      </c>
      <c r="C52" s="82" t="s">
        <v>2403</v>
      </c>
      <c r="D52" s="96">
        <v>14</v>
      </c>
      <c r="E52" s="82" t="s">
        <v>2394</v>
      </c>
      <c r="F52" s="82" t="s">
        <v>1554</v>
      </c>
      <c r="G52" s="101">
        <v>3039.1</v>
      </c>
      <c r="H52" s="98">
        <v>0.03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101">
        <v>3039.1</v>
      </c>
      <c r="AK52" s="100">
        <v>100</v>
      </c>
      <c r="AL52" s="100">
        <v>100</v>
      </c>
      <c r="AM52" s="99"/>
      <c r="AN52" s="99"/>
      <c r="AO52" s="100">
        <v>100</v>
      </c>
      <c r="AP52" s="99"/>
      <c r="AQ52" s="99"/>
      <c r="AR52" s="100">
        <v>100</v>
      </c>
      <c r="AS52" s="99"/>
      <c r="AT52" s="99"/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100">
        <v>100</v>
      </c>
      <c r="BW52" s="99"/>
      <c r="BX52" s="99"/>
      <c r="BY52" s="100">
        <v>100</v>
      </c>
      <c r="BZ52" s="99"/>
      <c r="CA52" s="99"/>
      <c r="CB52" s="100">
        <v>100</v>
      </c>
      <c r="CC52" s="99"/>
      <c r="CD52" s="99"/>
      <c r="CE52" s="989">
        <v>100</v>
      </c>
      <c r="CF52" s="406"/>
      <c r="CG52" s="406"/>
      <c r="CH52" s="407"/>
      <c r="CI52" s="406"/>
      <c r="CJ52" s="406"/>
      <c r="CK52" s="407"/>
      <c r="CL52" s="406"/>
      <c r="CM52" s="406"/>
      <c r="CN52" s="406"/>
      <c r="CO52" s="469"/>
      <c r="CP52" s="467"/>
      <c r="CQ52" s="409"/>
      <c r="CR52" s="410"/>
      <c r="CS52" s="408"/>
      <c r="CT52" s="409"/>
      <c r="CU52" s="410"/>
      <c r="CV52" s="408"/>
      <c r="CW52" s="409"/>
      <c r="CX52" s="470"/>
      <c r="CY52" s="467"/>
      <c r="CZ52" s="408"/>
      <c r="DA52" s="409"/>
      <c r="DB52" s="470"/>
      <c r="DC52" s="467"/>
      <c r="DD52" s="469"/>
      <c r="DE52" s="467"/>
      <c r="DF52" s="407"/>
    </row>
    <row r="53" spans="1:110" ht="8.4499999999999993" customHeight="1" x14ac:dyDescent="0.2">
      <c r="A53" s="130" t="s">
        <v>602</v>
      </c>
      <c r="B53" s="96">
        <v>38</v>
      </c>
      <c r="C53" s="82" t="s">
        <v>2404</v>
      </c>
      <c r="D53" s="96">
        <v>22</v>
      </c>
      <c r="E53" s="82" t="s">
        <v>1557</v>
      </c>
      <c r="F53" s="82" t="s">
        <v>2376</v>
      </c>
      <c r="G53" s="101">
        <v>4513.49</v>
      </c>
      <c r="H53" s="98">
        <v>0.05</v>
      </c>
      <c r="I53" s="101">
        <v>4513.49</v>
      </c>
      <c r="J53" s="100">
        <v>100</v>
      </c>
      <c r="K53" s="100">
        <v>100</v>
      </c>
      <c r="L53" s="99"/>
      <c r="M53" s="99"/>
      <c r="N53" s="100">
        <v>100</v>
      </c>
      <c r="O53" s="99"/>
      <c r="P53" s="99"/>
      <c r="Q53" s="100">
        <v>100</v>
      </c>
      <c r="R53" s="99"/>
      <c r="S53" s="99"/>
      <c r="T53" s="100">
        <v>100</v>
      </c>
      <c r="U53" s="99"/>
      <c r="V53" s="99"/>
      <c r="W53" s="100">
        <v>100</v>
      </c>
      <c r="X53" s="99"/>
      <c r="Y53" s="99"/>
      <c r="Z53" s="100">
        <v>100</v>
      </c>
      <c r="AA53" s="99"/>
      <c r="AB53" s="99"/>
      <c r="AC53" s="100">
        <v>100</v>
      </c>
      <c r="AD53" s="99"/>
      <c r="AE53" s="99"/>
      <c r="AF53" s="100">
        <v>100</v>
      </c>
      <c r="AG53" s="99"/>
      <c r="AH53" s="99"/>
      <c r="AI53" s="100">
        <v>100</v>
      </c>
      <c r="AJ53" s="99"/>
      <c r="AK53" s="99"/>
      <c r="AL53" s="100">
        <v>100</v>
      </c>
      <c r="AM53" s="99"/>
      <c r="AN53" s="99"/>
      <c r="AO53" s="100">
        <v>100</v>
      </c>
      <c r="AP53" s="99"/>
      <c r="AQ53" s="99"/>
      <c r="AR53" s="100">
        <v>100</v>
      </c>
      <c r="AS53" s="99"/>
      <c r="AT53" s="99"/>
      <c r="AU53" s="100">
        <v>100</v>
      </c>
      <c r="AV53" s="99"/>
      <c r="AW53" s="99"/>
      <c r="AX53" s="100">
        <v>100</v>
      </c>
      <c r="AY53" s="99"/>
      <c r="AZ53" s="99"/>
      <c r="BA53" s="100">
        <v>100</v>
      </c>
      <c r="BB53" s="99"/>
      <c r="BC53" s="99"/>
      <c r="BD53" s="100">
        <v>100</v>
      </c>
      <c r="BE53" s="99"/>
      <c r="BF53" s="99"/>
      <c r="BG53" s="100">
        <v>100</v>
      </c>
      <c r="BH53" s="99"/>
      <c r="BI53" s="99"/>
      <c r="BJ53" s="100">
        <v>100</v>
      </c>
      <c r="BK53" s="99"/>
      <c r="BL53" s="99"/>
      <c r="BM53" s="100">
        <v>100</v>
      </c>
      <c r="BN53" s="99"/>
      <c r="BO53" s="99"/>
      <c r="BP53" s="100">
        <v>100</v>
      </c>
      <c r="BQ53" s="99"/>
      <c r="BR53" s="99"/>
      <c r="BS53" s="100">
        <v>100</v>
      </c>
      <c r="BT53" s="99"/>
      <c r="BU53" s="99"/>
      <c r="BV53" s="100">
        <v>100</v>
      </c>
      <c r="BW53" s="99"/>
      <c r="BX53" s="99"/>
      <c r="BY53" s="100">
        <v>100</v>
      </c>
      <c r="BZ53" s="99"/>
      <c r="CA53" s="99"/>
      <c r="CB53" s="100">
        <v>100</v>
      </c>
      <c r="CC53" s="99"/>
      <c r="CD53" s="99"/>
      <c r="CE53" s="989">
        <v>100</v>
      </c>
      <c r="CF53" s="460"/>
      <c r="CG53" s="460"/>
      <c r="CH53" s="405"/>
      <c r="CI53" s="460"/>
      <c r="CJ53" s="460"/>
      <c r="CK53" s="405"/>
      <c r="CL53" s="460"/>
      <c r="CM53" s="460"/>
      <c r="CN53" s="460"/>
      <c r="CO53" s="469"/>
      <c r="CP53" s="467"/>
      <c r="CQ53" s="409"/>
      <c r="CR53" s="410"/>
      <c r="CS53" s="408"/>
      <c r="CT53" s="409"/>
      <c r="CU53" s="410"/>
      <c r="CV53" s="408"/>
      <c r="CW53" s="409"/>
      <c r="CX53" s="470"/>
      <c r="CY53" s="467"/>
      <c r="CZ53" s="408"/>
      <c r="DA53" s="409"/>
      <c r="DB53" s="470"/>
      <c r="DC53" s="467"/>
      <c r="DD53" s="469"/>
      <c r="DE53" s="467"/>
      <c r="DF53" s="407"/>
    </row>
    <row r="54" spans="1:110" ht="8.4499999999999993" customHeight="1" x14ac:dyDescent="0.2">
      <c r="A54" s="130" t="s">
        <v>603</v>
      </c>
      <c r="B54" s="96">
        <v>39</v>
      </c>
      <c r="C54" s="82" t="s">
        <v>2405</v>
      </c>
      <c r="D54" s="96">
        <v>22</v>
      </c>
      <c r="E54" s="82" t="s">
        <v>1557</v>
      </c>
      <c r="F54" s="82" t="s">
        <v>2376</v>
      </c>
      <c r="G54" s="101">
        <v>2777.66</v>
      </c>
      <c r="H54" s="98">
        <v>0.03</v>
      </c>
      <c r="I54" s="101">
        <v>2777.66</v>
      </c>
      <c r="J54" s="100">
        <v>100</v>
      </c>
      <c r="K54" s="100">
        <v>100</v>
      </c>
      <c r="L54" s="99"/>
      <c r="M54" s="99"/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100">
        <v>100</v>
      </c>
      <c r="BW54" s="99"/>
      <c r="BX54" s="99"/>
      <c r="BY54" s="100">
        <v>100</v>
      </c>
      <c r="BZ54" s="99"/>
      <c r="CA54" s="99"/>
      <c r="CB54" s="100">
        <v>100</v>
      </c>
      <c r="CC54" s="99"/>
      <c r="CD54" s="99"/>
      <c r="CE54" s="989">
        <v>100</v>
      </c>
      <c r="CF54" s="406"/>
      <c r="CG54" s="406"/>
      <c r="CH54" s="407"/>
      <c r="CI54" s="406"/>
      <c r="CJ54" s="406"/>
      <c r="CK54" s="407"/>
      <c r="CL54" s="406"/>
      <c r="CM54" s="406"/>
      <c r="CN54" s="406"/>
      <c r="CO54" s="467"/>
      <c r="CP54" s="467"/>
      <c r="CQ54" s="407"/>
      <c r="CR54" s="406"/>
      <c r="CS54" s="406"/>
      <c r="CT54" s="407"/>
      <c r="CU54" s="406"/>
      <c r="CV54" s="406"/>
      <c r="CW54" s="407"/>
      <c r="CX54" s="467"/>
      <c r="CY54" s="467"/>
      <c r="CZ54" s="406"/>
      <c r="DA54" s="407"/>
      <c r="DB54" s="467"/>
      <c r="DC54" s="467"/>
      <c r="DD54" s="467"/>
      <c r="DE54" s="467"/>
      <c r="DF54" s="407"/>
    </row>
    <row r="55" spans="1:110" ht="16.899999999999999" customHeight="1" x14ac:dyDescent="0.2">
      <c r="A55" s="130" t="s">
        <v>91</v>
      </c>
      <c r="B55" s="88">
        <v>40</v>
      </c>
      <c r="C55" s="87" t="s">
        <v>334</v>
      </c>
      <c r="D55" s="88">
        <v>22</v>
      </c>
      <c r="E55" s="87" t="s">
        <v>1557</v>
      </c>
      <c r="F55" s="87" t="s">
        <v>2376</v>
      </c>
      <c r="G55" s="89">
        <v>39800</v>
      </c>
      <c r="H55" s="90">
        <v>0.45</v>
      </c>
      <c r="I55" s="89">
        <v>39800</v>
      </c>
      <c r="J55" s="93">
        <v>100</v>
      </c>
      <c r="K55" s="93">
        <v>100</v>
      </c>
      <c r="L55" s="94"/>
      <c r="M55" s="94"/>
      <c r="N55" s="93">
        <v>100</v>
      </c>
      <c r="O55" s="94"/>
      <c r="P55" s="94"/>
      <c r="Q55" s="93">
        <v>100</v>
      </c>
      <c r="R55" s="94"/>
      <c r="S55" s="94"/>
      <c r="T55" s="93">
        <v>100</v>
      </c>
      <c r="U55" s="94"/>
      <c r="V55" s="94"/>
      <c r="W55" s="93">
        <v>100</v>
      </c>
      <c r="X55" s="94"/>
      <c r="Y55" s="94"/>
      <c r="Z55" s="93">
        <v>100</v>
      </c>
      <c r="AA55" s="94"/>
      <c r="AB55" s="94"/>
      <c r="AC55" s="93">
        <v>100</v>
      </c>
      <c r="AD55" s="94"/>
      <c r="AE55" s="94"/>
      <c r="AF55" s="93">
        <v>100</v>
      </c>
      <c r="AG55" s="94"/>
      <c r="AH55" s="94"/>
      <c r="AI55" s="93">
        <v>100</v>
      </c>
      <c r="AJ55" s="94"/>
      <c r="AK55" s="94"/>
      <c r="AL55" s="93">
        <v>100</v>
      </c>
      <c r="AM55" s="94"/>
      <c r="AN55" s="94"/>
      <c r="AO55" s="93">
        <v>100</v>
      </c>
      <c r="AP55" s="94"/>
      <c r="AQ55" s="94"/>
      <c r="AR55" s="93">
        <v>100</v>
      </c>
      <c r="AS55" s="94"/>
      <c r="AT55" s="94"/>
      <c r="AU55" s="93">
        <v>100</v>
      </c>
      <c r="AV55" s="94"/>
      <c r="AW55" s="94"/>
      <c r="AX55" s="93">
        <v>100</v>
      </c>
      <c r="AY55" s="94"/>
      <c r="AZ55" s="94"/>
      <c r="BA55" s="93">
        <v>100</v>
      </c>
      <c r="BB55" s="94"/>
      <c r="BC55" s="94"/>
      <c r="BD55" s="93">
        <v>100</v>
      </c>
      <c r="BE55" s="94"/>
      <c r="BF55" s="94"/>
      <c r="BG55" s="93">
        <v>100</v>
      </c>
      <c r="BH55" s="94"/>
      <c r="BI55" s="94"/>
      <c r="BJ55" s="93">
        <v>100</v>
      </c>
      <c r="BK55" s="94"/>
      <c r="BL55" s="94"/>
      <c r="BM55" s="93">
        <v>100</v>
      </c>
      <c r="BN55" s="94"/>
      <c r="BO55" s="94"/>
      <c r="BP55" s="93">
        <v>100</v>
      </c>
      <c r="BQ55" s="94"/>
      <c r="BR55" s="94"/>
      <c r="BS55" s="93">
        <v>100</v>
      </c>
      <c r="BT55" s="94"/>
      <c r="BU55" s="94"/>
      <c r="BV55" s="93">
        <v>100</v>
      </c>
      <c r="BW55" s="94"/>
      <c r="BX55" s="94"/>
      <c r="BY55" s="93">
        <v>100</v>
      </c>
      <c r="BZ55" s="94"/>
      <c r="CA55" s="94"/>
      <c r="CB55" s="93">
        <v>100</v>
      </c>
      <c r="CC55" s="94"/>
      <c r="CD55" s="94"/>
      <c r="CE55" s="988">
        <v>100</v>
      </c>
      <c r="CF55" s="406"/>
      <c r="CG55" s="406"/>
      <c r="CH55" s="407"/>
      <c r="CI55" s="406"/>
      <c r="CJ55" s="406"/>
      <c r="CK55" s="407"/>
      <c r="CL55" s="406"/>
      <c r="CM55" s="406"/>
      <c r="CN55" s="406"/>
      <c r="CO55" s="469"/>
      <c r="CP55" s="467"/>
      <c r="CQ55" s="409"/>
      <c r="CR55" s="407"/>
      <c r="CS55" s="408"/>
      <c r="CT55" s="409"/>
      <c r="CU55" s="407"/>
      <c r="CV55" s="408"/>
      <c r="CW55" s="409"/>
      <c r="CX55" s="468"/>
      <c r="CY55" s="467"/>
      <c r="CZ55" s="408"/>
      <c r="DA55" s="409"/>
      <c r="DB55" s="468"/>
      <c r="DC55" s="467"/>
      <c r="DD55" s="469"/>
      <c r="DE55" s="467"/>
      <c r="DF55" s="407"/>
    </row>
    <row r="56" spans="1:110" ht="16.899999999999999" customHeight="1" x14ac:dyDescent="0.2">
      <c r="A56" s="130" t="s">
        <v>92</v>
      </c>
      <c r="B56" s="96">
        <v>41</v>
      </c>
      <c r="C56" s="82" t="s">
        <v>2406</v>
      </c>
      <c r="D56" s="96">
        <v>22</v>
      </c>
      <c r="E56" s="82" t="s">
        <v>1557</v>
      </c>
      <c r="F56" s="82" t="s">
        <v>2376</v>
      </c>
      <c r="G56" s="97">
        <v>24000</v>
      </c>
      <c r="H56" s="98">
        <v>0.27</v>
      </c>
      <c r="I56" s="97">
        <v>24000</v>
      </c>
      <c r="J56" s="100">
        <v>100</v>
      </c>
      <c r="K56" s="100">
        <v>100</v>
      </c>
      <c r="L56" s="99"/>
      <c r="M56" s="99"/>
      <c r="N56" s="100">
        <v>100</v>
      </c>
      <c r="O56" s="99"/>
      <c r="P56" s="99"/>
      <c r="Q56" s="100">
        <v>100</v>
      </c>
      <c r="R56" s="99"/>
      <c r="S56" s="99"/>
      <c r="T56" s="100">
        <v>100</v>
      </c>
      <c r="U56" s="99"/>
      <c r="V56" s="99"/>
      <c r="W56" s="100">
        <v>100</v>
      </c>
      <c r="X56" s="99"/>
      <c r="Y56" s="99"/>
      <c r="Z56" s="100">
        <v>100</v>
      </c>
      <c r="AA56" s="99"/>
      <c r="AB56" s="99"/>
      <c r="AC56" s="100">
        <v>100</v>
      </c>
      <c r="AD56" s="99"/>
      <c r="AE56" s="99"/>
      <c r="AF56" s="100">
        <v>100</v>
      </c>
      <c r="AG56" s="99"/>
      <c r="AH56" s="99"/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100">
        <v>100</v>
      </c>
      <c r="BW56" s="99"/>
      <c r="BX56" s="99"/>
      <c r="BY56" s="100">
        <v>100</v>
      </c>
      <c r="BZ56" s="99"/>
      <c r="CA56" s="99"/>
      <c r="CB56" s="100">
        <v>100</v>
      </c>
      <c r="CC56" s="99"/>
      <c r="CD56" s="99"/>
      <c r="CE56" s="989">
        <v>100</v>
      </c>
      <c r="CF56" s="406"/>
      <c r="CG56" s="406"/>
      <c r="CH56" s="407"/>
      <c r="CI56" s="406"/>
      <c r="CJ56" s="406"/>
      <c r="CK56" s="407"/>
      <c r="CL56" s="406"/>
      <c r="CM56" s="406"/>
      <c r="CN56" s="406"/>
      <c r="CO56" s="469"/>
      <c r="CP56" s="467"/>
      <c r="CQ56" s="409"/>
      <c r="CR56" s="410"/>
      <c r="CS56" s="408"/>
      <c r="CT56" s="409"/>
      <c r="CU56" s="410"/>
      <c r="CV56" s="408"/>
      <c r="CW56" s="409"/>
      <c r="CX56" s="470"/>
      <c r="CY56" s="467"/>
      <c r="CZ56" s="408"/>
      <c r="DA56" s="409"/>
      <c r="DB56" s="470"/>
      <c r="DC56" s="467"/>
      <c r="DD56" s="469"/>
      <c r="DE56" s="467"/>
      <c r="DF56" s="407"/>
    </row>
    <row r="57" spans="1:110" ht="8.4499999999999993" customHeight="1" x14ac:dyDescent="0.2">
      <c r="A57" s="130" t="s">
        <v>93</v>
      </c>
      <c r="B57" s="96">
        <v>42</v>
      </c>
      <c r="C57" s="82" t="s">
        <v>2407</v>
      </c>
      <c r="D57" s="96">
        <v>22</v>
      </c>
      <c r="E57" s="82" t="s">
        <v>1557</v>
      </c>
      <c r="F57" s="82" t="s">
        <v>2376</v>
      </c>
      <c r="G57" s="97">
        <v>15800</v>
      </c>
      <c r="H57" s="98">
        <v>0.18</v>
      </c>
      <c r="I57" s="97">
        <v>15800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100">
        <v>100</v>
      </c>
      <c r="BW57" s="99"/>
      <c r="BX57" s="99"/>
      <c r="BY57" s="100">
        <v>100</v>
      </c>
      <c r="BZ57" s="99"/>
      <c r="CA57" s="99"/>
      <c r="CB57" s="100">
        <v>100</v>
      </c>
      <c r="CC57" s="99"/>
      <c r="CD57" s="99"/>
      <c r="CE57" s="989">
        <v>100</v>
      </c>
      <c r="CF57" s="406"/>
      <c r="CG57" s="406"/>
      <c r="CH57" s="407"/>
      <c r="CI57" s="406"/>
      <c r="CJ57" s="406"/>
      <c r="CK57" s="407"/>
      <c r="CL57" s="406"/>
      <c r="CM57" s="406"/>
      <c r="CN57" s="406"/>
      <c r="CO57" s="469"/>
      <c r="CP57" s="467"/>
      <c r="CQ57" s="409"/>
      <c r="CR57" s="406"/>
      <c r="CS57" s="408"/>
      <c r="CT57" s="409"/>
      <c r="CU57" s="406"/>
      <c r="CV57" s="408"/>
      <c r="CW57" s="409"/>
      <c r="CX57" s="467"/>
      <c r="CY57" s="467"/>
      <c r="CZ57" s="408"/>
      <c r="DA57" s="409"/>
      <c r="DB57" s="467"/>
      <c r="DC57" s="467"/>
      <c r="DD57" s="469"/>
      <c r="DE57" s="467"/>
      <c r="DF57" s="407"/>
    </row>
    <row r="58" spans="1:110" ht="16.899999999999999" customHeight="1" x14ac:dyDescent="0.2">
      <c r="A58" s="130" t="s">
        <v>95</v>
      </c>
      <c r="B58" s="88">
        <v>43</v>
      </c>
      <c r="C58" s="87" t="s">
        <v>335</v>
      </c>
      <c r="D58" s="103">
        <v>123</v>
      </c>
      <c r="E58" s="87" t="s">
        <v>2408</v>
      </c>
      <c r="F58" s="87" t="s">
        <v>2409</v>
      </c>
      <c r="G58" s="105">
        <v>570487.78</v>
      </c>
      <c r="H58" s="90">
        <v>6.48</v>
      </c>
      <c r="I58" s="94"/>
      <c r="J58" s="94"/>
      <c r="K58" s="94"/>
      <c r="L58" s="89">
        <v>36736.61</v>
      </c>
      <c r="M58" s="90">
        <v>6.42</v>
      </c>
      <c r="N58" s="90">
        <v>6.42</v>
      </c>
      <c r="O58" s="105">
        <v>146946.45000000001</v>
      </c>
      <c r="P58" s="91">
        <v>25.67</v>
      </c>
      <c r="Q58" s="91">
        <v>32.090000000000003</v>
      </c>
      <c r="R58" s="105">
        <v>193998.8</v>
      </c>
      <c r="S58" s="91">
        <v>33.96</v>
      </c>
      <c r="T58" s="91">
        <v>66.05</v>
      </c>
      <c r="U58" s="105">
        <v>123029.02</v>
      </c>
      <c r="V58" s="91">
        <v>21.56</v>
      </c>
      <c r="W58" s="91">
        <v>87.61</v>
      </c>
      <c r="X58" s="89">
        <v>24763.759999999998</v>
      </c>
      <c r="Y58" s="90">
        <v>4.3600000000000003</v>
      </c>
      <c r="Z58" s="91">
        <v>91.98</v>
      </c>
      <c r="AA58" s="89">
        <v>25720.51</v>
      </c>
      <c r="AB58" s="90">
        <v>4.59</v>
      </c>
      <c r="AC58" s="91">
        <v>96.56</v>
      </c>
      <c r="AD58" s="89">
        <v>19292.63</v>
      </c>
      <c r="AE58" s="90">
        <v>3.44</v>
      </c>
      <c r="AF58" s="93">
        <v>100</v>
      </c>
      <c r="AG58" s="94"/>
      <c r="AH58" s="94"/>
      <c r="AI58" s="93">
        <v>100</v>
      </c>
      <c r="AJ58" s="94"/>
      <c r="AK58" s="94"/>
      <c r="AL58" s="93">
        <v>100</v>
      </c>
      <c r="AM58" s="94"/>
      <c r="AN58" s="94"/>
      <c r="AO58" s="93">
        <v>100</v>
      </c>
      <c r="AP58" s="94"/>
      <c r="AQ58" s="94"/>
      <c r="AR58" s="93">
        <v>100</v>
      </c>
      <c r="AS58" s="94"/>
      <c r="AT58" s="94"/>
      <c r="AU58" s="93">
        <v>100</v>
      </c>
      <c r="AV58" s="94"/>
      <c r="AW58" s="94"/>
      <c r="AX58" s="93">
        <v>100</v>
      </c>
      <c r="AY58" s="94"/>
      <c r="AZ58" s="94"/>
      <c r="BA58" s="93">
        <v>100</v>
      </c>
      <c r="BB58" s="94"/>
      <c r="BC58" s="94"/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3">
        <v>100</v>
      </c>
      <c r="BW58" s="94"/>
      <c r="BX58" s="94"/>
      <c r="BY58" s="93">
        <v>100</v>
      </c>
      <c r="BZ58" s="94"/>
      <c r="CA58" s="94"/>
      <c r="CB58" s="93">
        <v>100</v>
      </c>
      <c r="CC58" s="94"/>
      <c r="CD58" s="94"/>
      <c r="CE58" s="988">
        <v>100</v>
      </c>
      <c r="CF58" s="460"/>
      <c r="CG58" s="460"/>
      <c r="CH58" s="405"/>
      <c r="CI58" s="460"/>
      <c r="CJ58" s="460"/>
      <c r="CK58" s="405"/>
      <c r="CL58" s="460"/>
      <c r="CM58" s="460"/>
      <c r="CN58" s="460"/>
      <c r="CO58" s="469"/>
      <c r="CP58" s="467"/>
      <c r="CQ58" s="409"/>
      <c r="CR58" s="406"/>
      <c r="CS58" s="408"/>
      <c r="CT58" s="409"/>
      <c r="CU58" s="406"/>
      <c r="CV58" s="408"/>
      <c r="CW58" s="409"/>
      <c r="CX58" s="467"/>
      <c r="CY58" s="467"/>
      <c r="CZ58" s="408"/>
      <c r="DA58" s="409"/>
      <c r="DB58" s="467"/>
      <c r="DC58" s="467"/>
      <c r="DD58" s="469"/>
      <c r="DE58" s="467"/>
      <c r="DF58" s="407"/>
    </row>
    <row r="59" spans="1:110" ht="8.4499999999999993" customHeight="1" x14ac:dyDescent="0.2">
      <c r="A59" s="130" t="s">
        <v>96</v>
      </c>
      <c r="B59" s="88">
        <v>44</v>
      </c>
      <c r="C59" s="87" t="s">
        <v>336</v>
      </c>
      <c r="D59" s="88">
        <v>50</v>
      </c>
      <c r="E59" s="87" t="s">
        <v>2410</v>
      </c>
      <c r="F59" s="87" t="s">
        <v>2411</v>
      </c>
      <c r="G59" s="105">
        <v>121331.5</v>
      </c>
      <c r="H59" s="90">
        <v>1.38</v>
      </c>
      <c r="I59" s="94"/>
      <c r="J59" s="94"/>
      <c r="K59" s="94"/>
      <c r="L59" s="94"/>
      <c r="M59" s="94"/>
      <c r="N59" s="94"/>
      <c r="O59" s="94"/>
      <c r="P59" s="94"/>
      <c r="Q59" s="94"/>
      <c r="R59" s="89">
        <v>47052.36</v>
      </c>
      <c r="S59" s="91">
        <v>38.78</v>
      </c>
      <c r="T59" s="91">
        <v>38.78</v>
      </c>
      <c r="U59" s="89">
        <v>49515.39</v>
      </c>
      <c r="V59" s="91">
        <v>40.81</v>
      </c>
      <c r="W59" s="91">
        <v>79.59</v>
      </c>
      <c r="X59" s="89">
        <v>24763.759999999998</v>
      </c>
      <c r="Y59" s="91">
        <v>20.41</v>
      </c>
      <c r="Z59" s="93">
        <v>100</v>
      </c>
      <c r="AA59" s="94"/>
      <c r="AB59" s="94"/>
      <c r="AC59" s="93">
        <v>100</v>
      </c>
      <c r="AD59" s="94"/>
      <c r="AE59" s="94"/>
      <c r="AF59" s="93">
        <v>100</v>
      </c>
      <c r="AG59" s="94"/>
      <c r="AH59" s="94"/>
      <c r="AI59" s="93">
        <v>100</v>
      </c>
      <c r="AJ59" s="94"/>
      <c r="AK59" s="94"/>
      <c r="AL59" s="93">
        <v>100</v>
      </c>
      <c r="AM59" s="94"/>
      <c r="AN59" s="94"/>
      <c r="AO59" s="93">
        <v>100</v>
      </c>
      <c r="AP59" s="94"/>
      <c r="AQ59" s="94"/>
      <c r="AR59" s="93">
        <v>100</v>
      </c>
      <c r="AS59" s="94"/>
      <c r="AT59" s="94"/>
      <c r="AU59" s="93">
        <v>100</v>
      </c>
      <c r="AV59" s="94"/>
      <c r="AW59" s="94"/>
      <c r="AX59" s="93">
        <v>100</v>
      </c>
      <c r="AY59" s="94"/>
      <c r="AZ59" s="94"/>
      <c r="BA59" s="93">
        <v>100</v>
      </c>
      <c r="BB59" s="94"/>
      <c r="BC59" s="94"/>
      <c r="BD59" s="93">
        <v>100</v>
      </c>
      <c r="BE59" s="94"/>
      <c r="BF59" s="94"/>
      <c r="BG59" s="93">
        <v>100</v>
      </c>
      <c r="BH59" s="94"/>
      <c r="BI59" s="94"/>
      <c r="BJ59" s="93">
        <v>100</v>
      </c>
      <c r="BK59" s="94"/>
      <c r="BL59" s="94"/>
      <c r="BM59" s="93">
        <v>100</v>
      </c>
      <c r="BN59" s="94"/>
      <c r="BO59" s="94"/>
      <c r="BP59" s="93">
        <v>100</v>
      </c>
      <c r="BQ59" s="94"/>
      <c r="BR59" s="94"/>
      <c r="BS59" s="93">
        <v>100</v>
      </c>
      <c r="BT59" s="94"/>
      <c r="BU59" s="94"/>
      <c r="BV59" s="93">
        <v>100</v>
      </c>
      <c r="BW59" s="94"/>
      <c r="BX59" s="94"/>
      <c r="BY59" s="93">
        <v>100</v>
      </c>
      <c r="BZ59" s="94"/>
      <c r="CA59" s="94"/>
      <c r="CB59" s="93">
        <v>100</v>
      </c>
      <c r="CC59" s="94"/>
      <c r="CD59" s="94"/>
      <c r="CE59" s="988">
        <v>100</v>
      </c>
      <c r="CF59" s="406"/>
      <c r="CG59" s="406"/>
      <c r="CH59" s="407"/>
      <c r="CI59" s="406"/>
      <c r="CJ59" s="406"/>
      <c r="CK59" s="407"/>
      <c r="CL59" s="406"/>
      <c r="CM59" s="406"/>
      <c r="CN59" s="406"/>
      <c r="CO59" s="466"/>
      <c r="CP59" s="464"/>
      <c r="CQ59" s="404"/>
      <c r="CR59" s="403"/>
      <c r="CS59" s="462"/>
      <c r="CT59" s="404"/>
      <c r="CU59" s="403"/>
      <c r="CV59" s="462"/>
      <c r="CW59" s="404"/>
      <c r="CX59" s="465"/>
      <c r="CY59" s="464"/>
      <c r="CZ59" s="462"/>
      <c r="DA59" s="404"/>
      <c r="DB59" s="465"/>
      <c r="DC59" s="464"/>
      <c r="DD59" s="466"/>
      <c r="DE59" s="464"/>
      <c r="DF59" s="405"/>
    </row>
    <row r="60" spans="1:110" ht="8.4499999999999993" customHeight="1" x14ac:dyDescent="0.2">
      <c r="A60" s="130" t="s">
        <v>97</v>
      </c>
      <c r="B60" s="96">
        <v>45</v>
      </c>
      <c r="C60" s="82" t="s">
        <v>2412</v>
      </c>
      <c r="D60" s="96">
        <v>49</v>
      </c>
      <c r="E60" s="82" t="s">
        <v>2410</v>
      </c>
      <c r="F60" s="82" t="s">
        <v>2411</v>
      </c>
      <c r="G60" s="97">
        <v>12891.2</v>
      </c>
      <c r="H60" s="98">
        <v>0.15</v>
      </c>
      <c r="I60" s="99"/>
      <c r="J60" s="99"/>
      <c r="K60" s="99"/>
      <c r="L60" s="99"/>
      <c r="M60" s="99"/>
      <c r="N60" s="99"/>
      <c r="O60" s="99"/>
      <c r="P60" s="99"/>
      <c r="Q60" s="99"/>
      <c r="R60" s="101">
        <v>4999.21</v>
      </c>
      <c r="S60" s="102">
        <v>38.78</v>
      </c>
      <c r="T60" s="102">
        <v>38.78</v>
      </c>
      <c r="U60" s="101">
        <v>5260.9</v>
      </c>
      <c r="V60" s="102">
        <v>40.81</v>
      </c>
      <c r="W60" s="102">
        <v>79.59</v>
      </c>
      <c r="X60" s="101">
        <v>2631.09</v>
      </c>
      <c r="Y60" s="102">
        <v>20.41</v>
      </c>
      <c r="Z60" s="100">
        <v>100</v>
      </c>
      <c r="AA60" s="99"/>
      <c r="AB60" s="99"/>
      <c r="AC60" s="100">
        <v>100</v>
      </c>
      <c r="AD60" s="99"/>
      <c r="AE60" s="99"/>
      <c r="AF60" s="100">
        <v>100</v>
      </c>
      <c r="AG60" s="99"/>
      <c r="AH60" s="99"/>
      <c r="AI60" s="100">
        <v>100</v>
      </c>
      <c r="AJ60" s="99"/>
      <c r="AK60" s="99"/>
      <c r="AL60" s="100">
        <v>100</v>
      </c>
      <c r="AM60" s="99"/>
      <c r="AN60" s="99"/>
      <c r="AO60" s="100">
        <v>100</v>
      </c>
      <c r="AP60" s="99"/>
      <c r="AQ60" s="99"/>
      <c r="AR60" s="100">
        <v>100</v>
      </c>
      <c r="AS60" s="99"/>
      <c r="AT60" s="99"/>
      <c r="AU60" s="100">
        <v>100</v>
      </c>
      <c r="AV60" s="99"/>
      <c r="AW60" s="99"/>
      <c r="AX60" s="100">
        <v>100</v>
      </c>
      <c r="AY60" s="99"/>
      <c r="AZ60" s="99"/>
      <c r="BA60" s="100">
        <v>100</v>
      </c>
      <c r="BB60" s="99"/>
      <c r="BC60" s="99"/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100">
        <v>100</v>
      </c>
      <c r="BW60" s="99"/>
      <c r="BX60" s="99"/>
      <c r="BY60" s="100">
        <v>100</v>
      </c>
      <c r="BZ60" s="99"/>
      <c r="CA60" s="99"/>
      <c r="CB60" s="100">
        <v>100</v>
      </c>
      <c r="CC60" s="99"/>
      <c r="CD60" s="99"/>
      <c r="CE60" s="989">
        <v>100</v>
      </c>
      <c r="CF60" s="406"/>
      <c r="CG60" s="406"/>
      <c r="CH60" s="407"/>
      <c r="CI60" s="406"/>
      <c r="CJ60" s="406"/>
      <c r="CK60" s="407"/>
      <c r="CL60" s="406"/>
      <c r="CM60" s="406"/>
      <c r="CN60" s="406"/>
      <c r="CO60" s="469"/>
      <c r="CP60" s="467"/>
      <c r="CQ60" s="409"/>
      <c r="CR60" s="407"/>
      <c r="CS60" s="408"/>
      <c r="CT60" s="409"/>
      <c r="CU60" s="407"/>
      <c r="CV60" s="408"/>
      <c r="CW60" s="409"/>
      <c r="CX60" s="468"/>
      <c r="CY60" s="467"/>
      <c r="CZ60" s="408"/>
      <c r="DA60" s="409"/>
      <c r="DB60" s="468"/>
      <c r="DC60" s="467"/>
      <c r="DD60" s="469"/>
      <c r="DE60" s="467"/>
      <c r="DF60" s="407"/>
    </row>
    <row r="61" spans="1:110" ht="16.899999999999999" customHeight="1" x14ac:dyDescent="0.2">
      <c r="A61" s="130" t="s">
        <v>98</v>
      </c>
      <c r="B61" s="96">
        <v>46</v>
      </c>
      <c r="C61" s="82" t="s">
        <v>2413</v>
      </c>
      <c r="D61" s="96">
        <v>49</v>
      </c>
      <c r="E61" s="82" t="s">
        <v>2410</v>
      </c>
      <c r="F61" s="82" t="s">
        <v>2411</v>
      </c>
      <c r="G61" s="101">
        <v>1999.8</v>
      </c>
      <c r="H61" s="98">
        <v>0.02</v>
      </c>
      <c r="I61" s="99"/>
      <c r="J61" s="99"/>
      <c r="K61" s="99"/>
      <c r="L61" s="99"/>
      <c r="M61" s="99"/>
      <c r="N61" s="99"/>
      <c r="O61" s="99"/>
      <c r="P61" s="99"/>
      <c r="Q61" s="99"/>
      <c r="R61" s="100">
        <v>775.52</v>
      </c>
      <c r="S61" s="102">
        <v>38.78</v>
      </c>
      <c r="T61" s="102">
        <v>38.78</v>
      </c>
      <c r="U61" s="100">
        <v>816.12</v>
      </c>
      <c r="V61" s="102">
        <v>40.81</v>
      </c>
      <c r="W61" s="102">
        <v>79.59</v>
      </c>
      <c r="X61" s="100">
        <v>408.16</v>
      </c>
      <c r="Y61" s="102">
        <v>20.41</v>
      </c>
      <c r="Z61" s="100">
        <v>100</v>
      </c>
      <c r="AA61" s="99"/>
      <c r="AB61" s="99"/>
      <c r="AC61" s="100">
        <v>100</v>
      </c>
      <c r="AD61" s="99"/>
      <c r="AE61" s="99"/>
      <c r="AF61" s="100">
        <v>100</v>
      </c>
      <c r="AG61" s="99"/>
      <c r="AH61" s="99"/>
      <c r="AI61" s="100">
        <v>100</v>
      </c>
      <c r="AJ61" s="99"/>
      <c r="AK61" s="99"/>
      <c r="AL61" s="100">
        <v>100</v>
      </c>
      <c r="AM61" s="99"/>
      <c r="AN61" s="99"/>
      <c r="AO61" s="100">
        <v>100</v>
      </c>
      <c r="AP61" s="99"/>
      <c r="AQ61" s="99"/>
      <c r="AR61" s="100">
        <v>100</v>
      </c>
      <c r="AS61" s="99"/>
      <c r="AT61" s="99"/>
      <c r="AU61" s="100">
        <v>100</v>
      </c>
      <c r="AV61" s="99"/>
      <c r="AW61" s="99"/>
      <c r="AX61" s="100">
        <v>100</v>
      </c>
      <c r="AY61" s="99"/>
      <c r="AZ61" s="99"/>
      <c r="BA61" s="100">
        <v>100</v>
      </c>
      <c r="BB61" s="99"/>
      <c r="BC61" s="99"/>
      <c r="BD61" s="100">
        <v>100</v>
      </c>
      <c r="BE61" s="99"/>
      <c r="BF61" s="99"/>
      <c r="BG61" s="100">
        <v>100</v>
      </c>
      <c r="BH61" s="99"/>
      <c r="BI61" s="99"/>
      <c r="BJ61" s="100">
        <v>100</v>
      </c>
      <c r="BK61" s="99"/>
      <c r="BL61" s="99"/>
      <c r="BM61" s="100">
        <v>100</v>
      </c>
      <c r="BN61" s="99"/>
      <c r="BO61" s="99"/>
      <c r="BP61" s="100">
        <v>100</v>
      </c>
      <c r="BQ61" s="99"/>
      <c r="BR61" s="99"/>
      <c r="BS61" s="100">
        <v>100</v>
      </c>
      <c r="BT61" s="99"/>
      <c r="BU61" s="99"/>
      <c r="BV61" s="100">
        <v>100</v>
      </c>
      <c r="BW61" s="99"/>
      <c r="BX61" s="99"/>
      <c r="BY61" s="100">
        <v>100</v>
      </c>
      <c r="BZ61" s="99"/>
      <c r="CA61" s="99"/>
      <c r="CB61" s="100">
        <v>100</v>
      </c>
      <c r="CC61" s="99"/>
      <c r="CD61" s="99"/>
      <c r="CE61" s="989">
        <v>100</v>
      </c>
      <c r="CF61" s="460"/>
      <c r="CG61" s="460"/>
      <c r="CH61" s="405"/>
      <c r="CI61" s="460"/>
      <c r="CJ61" s="460"/>
      <c r="CK61" s="405"/>
      <c r="CL61" s="460"/>
      <c r="CM61" s="460"/>
      <c r="CN61" s="460"/>
      <c r="CO61" s="469"/>
      <c r="CP61" s="467"/>
      <c r="CQ61" s="409"/>
      <c r="CR61" s="410"/>
      <c r="CS61" s="408"/>
      <c r="CT61" s="409"/>
      <c r="CU61" s="410"/>
      <c r="CV61" s="408"/>
      <c r="CW61" s="409"/>
      <c r="CX61" s="470"/>
      <c r="CY61" s="467"/>
      <c r="CZ61" s="408"/>
      <c r="DA61" s="409"/>
      <c r="DB61" s="470"/>
      <c r="DC61" s="467"/>
      <c r="DD61" s="469"/>
      <c r="DE61" s="467"/>
      <c r="DF61" s="407"/>
    </row>
    <row r="62" spans="1:110" ht="8.4499999999999993" customHeight="1" x14ac:dyDescent="0.2">
      <c r="A62" s="130" t="s">
        <v>99</v>
      </c>
      <c r="B62" s="96">
        <v>47</v>
      </c>
      <c r="C62" s="82" t="s">
        <v>2414</v>
      </c>
      <c r="D62" s="96">
        <v>49</v>
      </c>
      <c r="E62" s="82" t="s">
        <v>2410</v>
      </c>
      <c r="F62" s="82" t="s">
        <v>2411</v>
      </c>
      <c r="G62" s="101">
        <v>2134.17</v>
      </c>
      <c r="H62" s="98">
        <v>0.02</v>
      </c>
      <c r="I62" s="99"/>
      <c r="J62" s="99"/>
      <c r="K62" s="99"/>
      <c r="L62" s="99"/>
      <c r="M62" s="99"/>
      <c r="N62" s="99"/>
      <c r="O62" s="99"/>
      <c r="P62" s="99"/>
      <c r="Q62" s="99"/>
      <c r="R62" s="100">
        <v>827.63</v>
      </c>
      <c r="S62" s="102">
        <v>38.78</v>
      </c>
      <c r="T62" s="102">
        <v>38.78</v>
      </c>
      <c r="U62" s="100">
        <v>870.95</v>
      </c>
      <c r="V62" s="102">
        <v>40.81</v>
      </c>
      <c r="W62" s="102">
        <v>79.59</v>
      </c>
      <c r="X62" s="100">
        <v>435.58</v>
      </c>
      <c r="Y62" s="102">
        <v>20.41</v>
      </c>
      <c r="Z62" s="100">
        <v>100</v>
      </c>
      <c r="AA62" s="99"/>
      <c r="AB62" s="99"/>
      <c r="AC62" s="100">
        <v>100</v>
      </c>
      <c r="AD62" s="99"/>
      <c r="AE62" s="99"/>
      <c r="AF62" s="100">
        <v>100</v>
      </c>
      <c r="AG62" s="99"/>
      <c r="AH62" s="99"/>
      <c r="AI62" s="100">
        <v>100</v>
      </c>
      <c r="AJ62" s="99"/>
      <c r="AK62" s="99"/>
      <c r="AL62" s="100">
        <v>100</v>
      </c>
      <c r="AM62" s="99"/>
      <c r="AN62" s="99"/>
      <c r="AO62" s="100">
        <v>100</v>
      </c>
      <c r="AP62" s="99"/>
      <c r="AQ62" s="99"/>
      <c r="AR62" s="100">
        <v>100</v>
      </c>
      <c r="AS62" s="99"/>
      <c r="AT62" s="99"/>
      <c r="AU62" s="100">
        <v>100</v>
      </c>
      <c r="AV62" s="99"/>
      <c r="AW62" s="99"/>
      <c r="AX62" s="100">
        <v>100</v>
      </c>
      <c r="AY62" s="99"/>
      <c r="AZ62" s="99"/>
      <c r="BA62" s="100">
        <v>100</v>
      </c>
      <c r="BB62" s="99"/>
      <c r="BC62" s="99"/>
      <c r="BD62" s="100">
        <v>100</v>
      </c>
      <c r="BE62" s="99"/>
      <c r="BF62" s="99"/>
      <c r="BG62" s="100">
        <v>100</v>
      </c>
      <c r="BH62" s="99"/>
      <c r="BI62" s="99"/>
      <c r="BJ62" s="100">
        <v>100</v>
      </c>
      <c r="BK62" s="99"/>
      <c r="BL62" s="99"/>
      <c r="BM62" s="100">
        <v>100</v>
      </c>
      <c r="BN62" s="99"/>
      <c r="BO62" s="99"/>
      <c r="BP62" s="100">
        <v>100</v>
      </c>
      <c r="BQ62" s="99"/>
      <c r="BR62" s="99"/>
      <c r="BS62" s="100">
        <v>100</v>
      </c>
      <c r="BT62" s="99"/>
      <c r="BU62" s="99"/>
      <c r="BV62" s="100">
        <v>100</v>
      </c>
      <c r="BW62" s="99"/>
      <c r="BX62" s="99"/>
      <c r="BY62" s="100">
        <v>100</v>
      </c>
      <c r="BZ62" s="99"/>
      <c r="CA62" s="99"/>
      <c r="CB62" s="100">
        <v>100</v>
      </c>
      <c r="CC62" s="99"/>
      <c r="CD62" s="99"/>
      <c r="CE62" s="989">
        <v>100</v>
      </c>
      <c r="CF62" s="460"/>
      <c r="CG62" s="460"/>
      <c r="CH62" s="405"/>
      <c r="CI62" s="460"/>
      <c r="CJ62" s="460"/>
      <c r="CK62" s="405"/>
      <c r="CL62" s="460"/>
      <c r="CM62" s="460"/>
      <c r="CN62" s="460"/>
      <c r="CO62" s="469"/>
      <c r="CP62" s="467"/>
      <c r="CQ62" s="409"/>
      <c r="CR62" s="410"/>
      <c r="CS62" s="408"/>
      <c r="CT62" s="409"/>
      <c r="CU62" s="410"/>
      <c r="CV62" s="408"/>
      <c r="CW62" s="409"/>
      <c r="CX62" s="470"/>
      <c r="CY62" s="467"/>
      <c r="CZ62" s="408"/>
      <c r="DA62" s="409"/>
      <c r="DB62" s="470"/>
      <c r="DC62" s="467"/>
      <c r="DD62" s="469"/>
      <c r="DE62" s="467"/>
      <c r="DF62" s="407"/>
    </row>
    <row r="63" spans="1:110" ht="8.4499999999999993" customHeight="1" x14ac:dyDescent="0.2">
      <c r="A63" s="130" t="s">
        <v>100</v>
      </c>
      <c r="B63" s="96">
        <v>48</v>
      </c>
      <c r="C63" s="82" t="s">
        <v>2415</v>
      </c>
      <c r="D63" s="96">
        <v>49</v>
      </c>
      <c r="E63" s="82" t="s">
        <v>2410</v>
      </c>
      <c r="F63" s="82" t="s">
        <v>2411</v>
      </c>
      <c r="G63" s="97">
        <v>26218.89</v>
      </c>
      <c r="H63" s="98">
        <v>0.3</v>
      </c>
      <c r="I63" s="99"/>
      <c r="J63" s="99"/>
      <c r="K63" s="99"/>
      <c r="L63" s="99"/>
      <c r="M63" s="99"/>
      <c r="N63" s="99"/>
      <c r="O63" s="99"/>
      <c r="P63" s="99"/>
      <c r="Q63" s="99"/>
      <c r="R63" s="97">
        <v>10167.69</v>
      </c>
      <c r="S63" s="102">
        <v>38.78</v>
      </c>
      <c r="T63" s="102">
        <v>38.78</v>
      </c>
      <c r="U63" s="97">
        <v>10699.93</v>
      </c>
      <c r="V63" s="102">
        <v>40.81</v>
      </c>
      <c r="W63" s="102">
        <v>79.59</v>
      </c>
      <c r="X63" s="101">
        <v>5351.28</v>
      </c>
      <c r="Y63" s="102">
        <v>20.41</v>
      </c>
      <c r="Z63" s="100">
        <v>100</v>
      </c>
      <c r="AA63" s="99"/>
      <c r="AB63" s="99"/>
      <c r="AC63" s="100">
        <v>100</v>
      </c>
      <c r="AD63" s="99"/>
      <c r="AE63" s="99"/>
      <c r="AF63" s="100">
        <v>100</v>
      </c>
      <c r="AG63" s="99"/>
      <c r="AH63" s="99"/>
      <c r="AI63" s="100">
        <v>100</v>
      </c>
      <c r="AJ63" s="99"/>
      <c r="AK63" s="99"/>
      <c r="AL63" s="100">
        <v>100</v>
      </c>
      <c r="AM63" s="99"/>
      <c r="AN63" s="99"/>
      <c r="AO63" s="100">
        <v>100</v>
      </c>
      <c r="AP63" s="99"/>
      <c r="AQ63" s="99"/>
      <c r="AR63" s="100">
        <v>100</v>
      </c>
      <c r="AS63" s="99"/>
      <c r="AT63" s="99"/>
      <c r="AU63" s="100">
        <v>100</v>
      </c>
      <c r="AV63" s="99"/>
      <c r="AW63" s="99"/>
      <c r="AX63" s="100">
        <v>100</v>
      </c>
      <c r="AY63" s="99"/>
      <c r="AZ63" s="99"/>
      <c r="BA63" s="100">
        <v>100</v>
      </c>
      <c r="BB63" s="99"/>
      <c r="BC63" s="99"/>
      <c r="BD63" s="100">
        <v>100</v>
      </c>
      <c r="BE63" s="99"/>
      <c r="BF63" s="99"/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100">
        <v>100</v>
      </c>
      <c r="BW63" s="99"/>
      <c r="BX63" s="99"/>
      <c r="BY63" s="100">
        <v>100</v>
      </c>
      <c r="BZ63" s="99"/>
      <c r="CA63" s="99"/>
      <c r="CB63" s="100">
        <v>100</v>
      </c>
      <c r="CC63" s="99"/>
      <c r="CD63" s="99"/>
      <c r="CE63" s="989">
        <v>100</v>
      </c>
      <c r="CF63" s="406"/>
      <c r="CG63" s="406"/>
      <c r="CH63" s="407"/>
      <c r="CI63" s="406"/>
      <c r="CJ63" s="406"/>
      <c r="CK63" s="407"/>
      <c r="CL63" s="406"/>
      <c r="CM63" s="406"/>
      <c r="CN63" s="406"/>
      <c r="CO63" s="469"/>
      <c r="CP63" s="467"/>
      <c r="CQ63" s="409"/>
      <c r="CR63" s="407"/>
      <c r="CS63" s="408"/>
      <c r="CT63" s="409"/>
      <c r="CU63" s="407"/>
      <c r="CV63" s="408"/>
      <c r="CW63" s="409"/>
      <c r="CX63" s="468"/>
      <c r="CY63" s="467"/>
      <c r="CZ63" s="408"/>
      <c r="DA63" s="409"/>
      <c r="DB63" s="468"/>
      <c r="DC63" s="467"/>
      <c r="DD63" s="469"/>
      <c r="DE63" s="467"/>
      <c r="DF63" s="407"/>
    </row>
    <row r="64" spans="1:110" ht="8.4499999999999993" customHeight="1" x14ac:dyDescent="0.2">
      <c r="A64" s="130" t="s">
        <v>102</v>
      </c>
      <c r="B64" s="96">
        <v>49</v>
      </c>
      <c r="C64" s="82" t="s">
        <v>2416</v>
      </c>
      <c r="D64" s="96">
        <v>49</v>
      </c>
      <c r="E64" s="82" t="s">
        <v>2410</v>
      </c>
      <c r="F64" s="82" t="s">
        <v>2411</v>
      </c>
      <c r="G64" s="97">
        <v>42266.89</v>
      </c>
      <c r="H64" s="98">
        <v>0.48</v>
      </c>
      <c r="I64" s="99"/>
      <c r="J64" s="99"/>
      <c r="K64" s="99"/>
      <c r="L64" s="99"/>
      <c r="M64" s="99"/>
      <c r="N64" s="99"/>
      <c r="O64" s="99"/>
      <c r="P64" s="99"/>
      <c r="Q64" s="99"/>
      <c r="R64" s="97">
        <v>16391.099999999999</v>
      </c>
      <c r="S64" s="102">
        <v>38.78</v>
      </c>
      <c r="T64" s="102">
        <v>38.78</v>
      </c>
      <c r="U64" s="97">
        <v>17249.12</v>
      </c>
      <c r="V64" s="102">
        <v>40.81</v>
      </c>
      <c r="W64" s="102">
        <v>79.59</v>
      </c>
      <c r="X64" s="101">
        <v>8626.67</v>
      </c>
      <c r="Y64" s="102">
        <v>20.41</v>
      </c>
      <c r="Z64" s="100">
        <v>100</v>
      </c>
      <c r="AA64" s="99"/>
      <c r="AB64" s="99"/>
      <c r="AC64" s="100">
        <v>100</v>
      </c>
      <c r="AD64" s="99"/>
      <c r="AE64" s="99"/>
      <c r="AF64" s="100">
        <v>100</v>
      </c>
      <c r="AG64" s="99"/>
      <c r="AH64" s="99"/>
      <c r="AI64" s="100">
        <v>100</v>
      </c>
      <c r="AJ64" s="99"/>
      <c r="AK64" s="99"/>
      <c r="AL64" s="100">
        <v>100</v>
      </c>
      <c r="AM64" s="99"/>
      <c r="AN64" s="99"/>
      <c r="AO64" s="100">
        <v>100</v>
      </c>
      <c r="AP64" s="99"/>
      <c r="AQ64" s="99"/>
      <c r="AR64" s="100">
        <v>100</v>
      </c>
      <c r="AS64" s="99"/>
      <c r="AT64" s="99"/>
      <c r="AU64" s="100">
        <v>100</v>
      </c>
      <c r="AV64" s="99"/>
      <c r="AW64" s="99"/>
      <c r="AX64" s="100">
        <v>100</v>
      </c>
      <c r="AY64" s="99"/>
      <c r="AZ64" s="99"/>
      <c r="BA64" s="100">
        <v>100</v>
      </c>
      <c r="BB64" s="99"/>
      <c r="BC64" s="99"/>
      <c r="BD64" s="100">
        <v>100</v>
      </c>
      <c r="BE64" s="99"/>
      <c r="BF64" s="99"/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100">
        <v>100</v>
      </c>
      <c r="BW64" s="99"/>
      <c r="BX64" s="99"/>
      <c r="BY64" s="100">
        <v>100</v>
      </c>
      <c r="BZ64" s="99"/>
      <c r="CA64" s="99"/>
      <c r="CB64" s="100">
        <v>100</v>
      </c>
      <c r="CC64" s="99"/>
      <c r="CD64" s="99"/>
      <c r="CE64" s="989">
        <v>100</v>
      </c>
      <c r="CF64" s="406"/>
      <c r="CG64" s="406"/>
      <c r="CH64" s="407"/>
      <c r="CI64" s="406"/>
      <c r="CJ64" s="406"/>
      <c r="CK64" s="407"/>
      <c r="CL64" s="406"/>
      <c r="CM64" s="406"/>
      <c r="CN64" s="406"/>
      <c r="CO64" s="469"/>
      <c r="CP64" s="467"/>
      <c r="CQ64" s="409"/>
      <c r="CR64" s="407"/>
      <c r="CS64" s="408"/>
      <c r="CT64" s="409"/>
      <c r="CU64" s="407"/>
      <c r="CV64" s="408"/>
      <c r="CW64" s="409"/>
      <c r="CX64" s="468"/>
      <c r="CY64" s="467"/>
      <c r="CZ64" s="408"/>
      <c r="DA64" s="409"/>
      <c r="DB64" s="468"/>
      <c r="DC64" s="467"/>
      <c r="DD64" s="469"/>
      <c r="DE64" s="467"/>
      <c r="DF64" s="407"/>
    </row>
    <row r="65" spans="1:110" ht="8.4499999999999993" customHeight="1" x14ac:dyDescent="0.2">
      <c r="A65" s="130" t="s">
        <v>607</v>
      </c>
      <c r="B65" s="96">
        <v>50</v>
      </c>
      <c r="C65" s="82" t="s">
        <v>2417</v>
      </c>
      <c r="D65" s="96">
        <v>49</v>
      </c>
      <c r="E65" s="82" t="s">
        <v>2410</v>
      </c>
      <c r="F65" s="82" t="s">
        <v>2411</v>
      </c>
      <c r="G65" s="97">
        <v>26288.01</v>
      </c>
      <c r="H65" s="98">
        <v>0.3</v>
      </c>
      <c r="I65" s="99"/>
      <c r="J65" s="99"/>
      <c r="K65" s="99"/>
      <c r="L65" s="99"/>
      <c r="M65" s="99"/>
      <c r="N65" s="99"/>
      <c r="O65" s="99"/>
      <c r="P65" s="99"/>
      <c r="Q65" s="99"/>
      <c r="R65" s="97">
        <v>10194.49</v>
      </c>
      <c r="S65" s="102">
        <v>38.78</v>
      </c>
      <c r="T65" s="102">
        <v>38.78</v>
      </c>
      <c r="U65" s="97">
        <v>10728.14</v>
      </c>
      <c r="V65" s="102">
        <v>40.81</v>
      </c>
      <c r="W65" s="102">
        <v>79.59</v>
      </c>
      <c r="X65" s="101">
        <v>5365.38</v>
      </c>
      <c r="Y65" s="102">
        <v>20.41</v>
      </c>
      <c r="Z65" s="100">
        <v>100</v>
      </c>
      <c r="AA65" s="99"/>
      <c r="AB65" s="99"/>
      <c r="AC65" s="100">
        <v>100</v>
      </c>
      <c r="AD65" s="99"/>
      <c r="AE65" s="99"/>
      <c r="AF65" s="100">
        <v>100</v>
      </c>
      <c r="AG65" s="99"/>
      <c r="AH65" s="99"/>
      <c r="AI65" s="100">
        <v>100</v>
      </c>
      <c r="AJ65" s="99"/>
      <c r="AK65" s="99"/>
      <c r="AL65" s="100">
        <v>100</v>
      </c>
      <c r="AM65" s="99"/>
      <c r="AN65" s="99"/>
      <c r="AO65" s="100">
        <v>100</v>
      </c>
      <c r="AP65" s="99"/>
      <c r="AQ65" s="99"/>
      <c r="AR65" s="100">
        <v>100</v>
      </c>
      <c r="AS65" s="99"/>
      <c r="AT65" s="99"/>
      <c r="AU65" s="100">
        <v>100</v>
      </c>
      <c r="AV65" s="99"/>
      <c r="AW65" s="99"/>
      <c r="AX65" s="100">
        <v>100</v>
      </c>
      <c r="AY65" s="99"/>
      <c r="AZ65" s="99"/>
      <c r="BA65" s="100">
        <v>100</v>
      </c>
      <c r="BB65" s="99"/>
      <c r="BC65" s="99"/>
      <c r="BD65" s="100">
        <v>100</v>
      </c>
      <c r="BE65" s="99"/>
      <c r="BF65" s="99"/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100">
        <v>100</v>
      </c>
      <c r="BW65" s="99"/>
      <c r="BX65" s="99"/>
      <c r="BY65" s="100">
        <v>100</v>
      </c>
      <c r="BZ65" s="99"/>
      <c r="CA65" s="99"/>
      <c r="CB65" s="100">
        <v>100</v>
      </c>
      <c r="CC65" s="99"/>
      <c r="CD65" s="99"/>
      <c r="CE65" s="989">
        <v>100</v>
      </c>
      <c r="CF65" s="406"/>
      <c r="CG65" s="406"/>
      <c r="CH65" s="407"/>
      <c r="CI65" s="406"/>
      <c r="CJ65" s="406"/>
      <c r="CK65" s="407"/>
      <c r="CL65" s="406"/>
      <c r="CM65" s="406"/>
      <c r="CN65" s="406"/>
      <c r="CO65" s="466"/>
      <c r="CP65" s="464"/>
      <c r="CQ65" s="404"/>
      <c r="CR65" s="403"/>
      <c r="CS65" s="462"/>
      <c r="CT65" s="404"/>
      <c r="CU65" s="403"/>
      <c r="CV65" s="462"/>
      <c r="CW65" s="404"/>
      <c r="CX65" s="465"/>
      <c r="CY65" s="464"/>
      <c r="CZ65" s="462"/>
      <c r="DA65" s="404"/>
      <c r="DB65" s="465"/>
      <c r="DC65" s="464"/>
      <c r="DD65" s="466"/>
      <c r="DE65" s="464"/>
      <c r="DF65" s="405"/>
    </row>
    <row r="66" spans="1:110" ht="8.4499999999999993" customHeight="1" x14ac:dyDescent="0.2">
      <c r="A66" s="130" t="s">
        <v>2214</v>
      </c>
      <c r="B66" s="96">
        <v>51</v>
      </c>
      <c r="C66" s="82" t="s">
        <v>2418</v>
      </c>
      <c r="D66" s="96">
        <v>49</v>
      </c>
      <c r="E66" s="82" t="s">
        <v>2410</v>
      </c>
      <c r="F66" s="82" t="s">
        <v>2411</v>
      </c>
      <c r="G66" s="101">
        <v>1076.22</v>
      </c>
      <c r="H66" s="98">
        <v>0.01</v>
      </c>
      <c r="I66" s="99"/>
      <c r="J66" s="99"/>
      <c r="K66" s="99"/>
      <c r="L66" s="99"/>
      <c r="M66" s="99"/>
      <c r="N66" s="99"/>
      <c r="O66" s="99"/>
      <c r="P66" s="99"/>
      <c r="Q66" s="99"/>
      <c r="R66" s="100">
        <v>417.36</v>
      </c>
      <c r="S66" s="102">
        <v>38.78</v>
      </c>
      <c r="T66" s="102">
        <v>38.78</v>
      </c>
      <c r="U66" s="100">
        <v>439.21</v>
      </c>
      <c r="V66" s="102">
        <v>40.81</v>
      </c>
      <c r="W66" s="102">
        <v>79.59</v>
      </c>
      <c r="X66" s="100">
        <v>219.66</v>
      </c>
      <c r="Y66" s="102">
        <v>20.41</v>
      </c>
      <c r="Z66" s="100">
        <v>100</v>
      </c>
      <c r="AA66" s="99"/>
      <c r="AB66" s="99"/>
      <c r="AC66" s="100">
        <v>100</v>
      </c>
      <c r="AD66" s="99"/>
      <c r="AE66" s="99"/>
      <c r="AF66" s="100">
        <v>100</v>
      </c>
      <c r="AG66" s="99"/>
      <c r="AH66" s="99"/>
      <c r="AI66" s="100">
        <v>100</v>
      </c>
      <c r="AJ66" s="99"/>
      <c r="AK66" s="99"/>
      <c r="AL66" s="100">
        <v>100</v>
      </c>
      <c r="AM66" s="99"/>
      <c r="AN66" s="99"/>
      <c r="AO66" s="100">
        <v>100</v>
      </c>
      <c r="AP66" s="99"/>
      <c r="AQ66" s="99"/>
      <c r="AR66" s="100">
        <v>100</v>
      </c>
      <c r="AS66" s="99"/>
      <c r="AT66" s="99"/>
      <c r="AU66" s="100">
        <v>100</v>
      </c>
      <c r="AV66" s="99"/>
      <c r="AW66" s="99"/>
      <c r="AX66" s="100">
        <v>100</v>
      </c>
      <c r="AY66" s="99"/>
      <c r="AZ66" s="99"/>
      <c r="BA66" s="100">
        <v>100</v>
      </c>
      <c r="BB66" s="99"/>
      <c r="BC66" s="99"/>
      <c r="BD66" s="100">
        <v>100</v>
      </c>
      <c r="BE66" s="99"/>
      <c r="BF66" s="99"/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100">
        <v>100</v>
      </c>
      <c r="BW66" s="99"/>
      <c r="BX66" s="99"/>
      <c r="BY66" s="100">
        <v>100</v>
      </c>
      <c r="BZ66" s="99"/>
      <c r="CA66" s="99"/>
      <c r="CB66" s="100">
        <v>100</v>
      </c>
      <c r="CC66" s="99"/>
      <c r="CD66" s="99"/>
      <c r="CE66" s="989">
        <v>100</v>
      </c>
      <c r="CF66" s="406"/>
      <c r="CG66" s="406"/>
      <c r="CH66" s="407"/>
      <c r="CI66" s="406"/>
      <c r="CJ66" s="406"/>
      <c r="CK66" s="407"/>
      <c r="CL66" s="406"/>
      <c r="CM66" s="406"/>
      <c r="CN66" s="406"/>
      <c r="CO66" s="469"/>
      <c r="CP66" s="467"/>
      <c r="CQ66" s="409"/>
      <c r="CR66" s="407"/>
      <c r="CS66" s="408"/>
      <c r="CT66" s="409"/>
      <c r="CU66" s="407"/>
      <c r="CV66" s="408"/>
      <c r="CW66" s="409"/>
      <c r="CX66" s="468"/>
      <c r="CY66" s="467"/>
      <c r="CZ66" s="408"/>
      <c r="DA66" s="409"/>
      <c r="DB66" s="468"/>
      <c r="DC66" s="467"/>
      <c r="DD66" s="469"/>
      <c r="DE66" s="467"/>
      <c r="DF66" s="407"/>
    </row>
    <row r="67" spans="1:110" ht="16.899999999999999" customHeight="1" x14ac:dyDescent="0.2">
      <c r="A67" s="130" t="s">
        <v>2216</v>
      </c>
      <c r="B67" s="96">
        <v>52</v>
      </c>
      <c r="C67" s="82" t="s">
        <v>2419</v>
      </c>
      <c r="D67" s="96">
        <v>49</v>
      </c>
      <c r="E67" s="82" t="s">
        <v>2410</v>
      </c>
      <c r="F67" s="82" t="s">
        <v>2411</v>
      </c>
      <c r="G67" s="101">
        <v>8456.32</v>
      </c>
      <c r="H67" s="98">
        <v>0.1</v>
      </c>
      <c r="I67" s="99"/>
      <c r="J67" s="99"/>
      <c r="K67" s="99"/>
      <c r="L67" s="99"/>
      <c r="M67" s="99"/>
      <c r="N67" s="99"/>
      <c r="O67" s="99"/>
      <c r="P67" s="99"/>
      <c r="Q67" s="99"/>
      <c r="R67" s="101">
        <v>3279.36</v>
      </c>
      <c r="S67" s="102">
        <v>38.78</v>
      </c>
      <c r="T67" s="102">
        <v>38.78</v>
      </c>
      <c r="U67" s="101">
        <v>3451.02</v>
      </c>
      <c r="V67" s="102">
        <v>40.81</v>
      </c>
      <c r="W67" s="102">
        <v>79.59</v>
      </c>
      <c r="X67" s="101">
        <v>1725.93</v>
      </c>
      <c r="Y67" s="102">
        <v>20.41</v>
      </c>
      <c r="Z67" s="100">
        <v>100</v>
      </c>
      <c r="AA67" s="99"/>
      <c r="AB67" s="99"/>
      <c r="AC67" s="100">
        <v>100</v>
      </c>
      <c r="AD67" s="99"/>
      <c r="AE67" s="99"/>
      <c r="AF67" s="100">
        <v>100</v>
      </c>
      <c r="AG67" s="99"/>
      <c r="AH67" s="99"/>
      <c r="AI67" s="100">
        <v>100</v>
      </c>
      <c r="AJ67" s="99"/>
      <c r="AK67" s="99"/>
      <c r="AL67" s="100">
        <v>100</v>
      </c>
      <c r="AM67" s="99"/>
      <c r="AN67" s="99"/>
      <c r="AO67" s="100">
        <v>100</v>
      </c>
      <c r="AP67" s="99"/>
      <c r="AQ67" s="99"/>
      <c r="AR67" s="100">
        <v>100</v>
      </c>
      <c r="AS67" s="99"/>
      <c r="AT67" s="99"/>
      <c r="AU67" s="100">
        <v>100</v>
      </c>
      <c r="AV67" s="99"/>
      <c r="AW67" s="99"/>
      <c r="AX67" s="100">
        <v>100</v>
      </c>
      <c r="AY67" s="99"/>
      <c r="AZ67" s="99"/>
      <c r="BA67" s="100">
        <v>100</v>
      </c>
      <c r="BB67" s="99"/>
      <c r="BC67" s="99"/>
      <c r="BD67" s="100">
        <v>100</v>
      </c>
      <c r="BE67" s="99"/>
      <c r="BF67" s="99"/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100">
        <v>100</v>
      </c>
      <c r="BW67" s="99"/>
      <c r="BX67" s="99"/>
      <c r="BY67" s="100">
        <v>100</v>
      </c>
      <c r="BZ67" s="99"/>
      <c r="CA67" s="99"/>
      <c r="CB67" s="100">
        <v>100</v>
      </c>
      <c r="CC67" s="99"/>
      <c r="CD67" s="99"/>
      <c r="CE67" s="989">
        <v>100</v>
      </c>
      <c r="CF67" s="406"/>
      <c r="CG67" s="406"/>
      <c r="CH67" s="407"/>
      <c r="CI67" s="406"/>
      <c r="CJ67" s="406"/>
      <c r="CK67" s="407"/>
      <c r="CL67" s="406"/>
      <c r="CM67" s="406"/>
      <c r="CN67" s="406"/>
      <c r="CO67" s="467"/>
      <c r="CP67" s="467"/>
      <c r="CQ67" s="407"/>
      <c r="CR67" s="406"/>
      <c r="CS67" s="406"/>
      <c r="CT67" s="407"/>
      <c r="CU67" s="406"/>
      <c r="CV67" s="406"/>
      <c r="CW67" s="407"/>
      <c r="CX67" s="467"/>
      <c r="CY67" s="467"/>
      <c r="CZ67" s="406"/>
      <c r="DA67" s="407"/>
      <c r="DB67" s="467"/>
      <c r="DC67" s="467"/>
      <c r="DD67" s="467"/>
      <c r="DE67" s="467"/>
      <c r="DF67" s="407"/>
    </row>
    <row r="68" spans="1:110" ht="8.4499999999999993" customHeight="1" x14ac:dyDescent="0.2">
      <c r="A68" s="130" t="s">
        <v>103</v>
      </c>
      <c r="B68" s="88">
        <v>53</v>
      </c>
      <c r="C68" s="87" t="s">
        <v>840</v>
      </c>
      <c r="D68" s="88">
        <v>57</v>
      </c>
      <c r="E68" s="87" t="s">
        <v>2408</v>
      </c>
      <c r="F68" s="87" t="s">
        <v>2420</v>
      </c>
      <c r="G68" s="105">
        <v>404143.14</v>
      </c>
      <c r="H68" s="90">
        <v>4.59</v>
      </c>
      <c r="I68" s="94"/>
      <c r="J68" s="94"/>
      <c r="K68" s="94"/>
      <c r="L68" s="89">
        <v>36736.61</v>
      </c>
      <c r="M68" s="90">
        <v>9.09</v>
      </c>
      <c r="N68" s="90">
        <v>9.09</v>
      </c>
      <c r="O68" s="105">
        <v>146946.45000000001</v>
      </c>
      <c r="P68" s="91">
        <v>36.36</v>
      </c>
      <c r="Q68" s="91">
        <v>45.45</v>
      </c>
      <c r="R68" s="105">
        <v>146946.45000000001</v>
      </c>
      <c r="S68" s="91">
        <v>36.36</v>
      </c>
      <c r="T68" s="91">
        <v>81.81</v>
      </c>
      <c r="U68" s="89">
        <v>73513.64</v>
      </c>
      <c r="V68" s="91">
        <v>18.190000000000001</v>
      </c>
      <c r="W68" s="93">
        <v>100</v>
      </c>
      <c r="X68" s="94"/>
      <c r="Y68" s="94"/>
      <c r="Z68" s="93">
        <v>100</v>
      </c>
      <c r="AA68" s="94"/>
      <c r="AB68" s="94"/>
      <c r="AC68" s="93">
        <v>100</v>
      </c>
      <c r="AD68" s="94"/>
      <c r="AE68" s="94"/>
      <c r="AF68" s="93">
        <v>100</v>
      </c>
      <c r="AG68" s="94"/>
      <c r="AH68" s="94"/>
      <c r="AI68" s="93">
        <v>100</v>
      </c>
      <c r="AJ68" s="94"/>
      <c r="AK68" s="94"/>
      <c r="AL68" s="93">
        <v>100</v>
      </c>
      <c r="AM68" s="94"/>
      <c r="AN68" s="94"/>
      <c r="AO68" s="93">
        <v>100</v>
      </c>
      <c r="AP68" s="94"/>
      <c r="AQ68" s="94"/>
      <c r="AR68" s="93">
        <v>100</v>
      </c>
      <c r="AS68" s="94"/>
      <c r="AT68" s="94"/>
      <c r="AU68" s="93">
        <v>100</v>
      </c>
      <c r="AV68" s="94"/>
      <c r="AW68" s="94"/>
      <c r="AX68" s="93">
        <v>100</v>
      </c>
      <c r="AY68" s="94"/>
      <c r="AZ68" s="94"/>
      <c r="BA68" s="93">
        <v>100</v>
      </c>
      <c r="BB68" s="94"/>
      <c r="BC68" s="94"/>
      <c r="BD68" s="93">
        <v>100</v>
      </c>
      <c r="BE68" s="94"/>
      <c r="BF68" s="94"/>
      <c r="BG68" s="93">
        <v>100</v>
      </c>
      <c r="BH68" s="94"/>
      <c r="BI68" s="94"/>
      <c r="BJ68" s="93">
        <v>100</v>
      </c>
      <c r="BK68" s="94"/>
      <c r="BL68" s="94"/>
      <c r="BM68" s="93">
        <v>100</v>
      </c>
      <c r="BN68" s="94"/>
      <c r="BO68" s="94"/>
      <c r="BP68" s="93">
        <v>100</v>
      </c>
      <c r="BQ68" s="94"/>
      <c r="BR68" s="94"/>
      <c r="BS68" s="93">
        <v>100</v>
      </c>
      <c r="BT68" s="94"/>
      <c r="BU68" s="94"/>
      <c r="BV68" s="93">
        <v>100</v>
      </c>
      <c r="BW68" s="94"/>
      <c r="BX68" s="94"/>
      <c r="BY68" s="93">
        <v>100</v>
      </c>
      <c r="BZ68" s="94"/>
      <c r="CA68" s="94"/>
      <c r="CB68" s="93">
        <v>100</v>
      </c>
      <c r="CC68" s="94"/>
      <c r="CD68" s="94"/>
      <c r="CE68" s="988">
        <v>100</v>
      </c>
      <c r="CF68" s="406"/>
      <c r="CG68" s="406"/>
      <c r="CH68" s="407"/>
      <c r="CI68" s="406"/>
      <c r="CJ68" s="406"/>
      <c r="CK68" s="407"/>
      <c r="CL68" s="406"/>
      <c r="CM68" s="406"/>
      <c r="CN68" s="406"/>
      <c r="CO68" s="467"/>
      <c r="CP68" s="467"/>
      <c r="CQ68" s="407"/>
      <c r="CR68" s="406"/>
      <c r="CS68" s="406"/>
      <c r="CT68" s="407"/>
      <c r="CU68" s="406"/>
      <c r="CV68" s="406"/>
      <c r="CW68" s="407"/>
      <c r="CX68" s="467"/>
      <c r="CY68" s="467"/>
      <c r="CZ68" s="406"/>
      <c r="DA68" s="407"/>
      <c r="DB68" s="467"/>
      <c r="DC68" s="467"/>
      <c r="DD68" s="467"/>
      <c r="DE68" s="467"/>
      <c r="DF68" s="407"/>
    </row>
    <row r="69" spans="1:110" ht="8.4499999999999993" customHeight="1" x14ac:dyDescent="0.2">
      <c r="A69" s="130" t="s">
        <v>104</v>
      </c>
      <c r="B69" s="96">
        <v>54</v>
      </c>
      <c r="C69" s="82" t="s">
        <v>2421</v>
      </c>
      <c r="D69" s="96">
        <v>57</v>
      </c>
      <c r="E69" s="82" t="s">
        <v>2408</v>
      </c>
      <c r="F69" s="82" t="s">
        <v>2420</v>
      </c>
      <c r="G69" s="97">
        <v>42823</v>
      </c>
      <c r="H69" s="98">
        <v>0.49</v>
      </c>
      <c r="I69" s="99"/>
      <c r="J69" s="99"/>
      <c r="K69" s="99"/>
      <c r="L69" s="101">
        <v>3892.61</v>
      </c>
      <c r="M69" s="98">
        <v>9.09</v>
      </c>
      <c r="N69" s="98">
        <v>9.09</v>
      </c>
      <c r="O69" s="97">
        <v>15570.44</v>
      </c>
      <c r="P69" s="102">
        <v>36.36</v>
      </c>
      <c r="Q69" s="102">
        <v>45.45</v>
      </c>
      <c r="R69" s="97">
        <v>15570.44</v>
      </c>
      <c r="S69" s="102">
        <v>36.36</v>
      </c>
      <c r="T69" s="102">
        <v>81.81</v>
      </c>
      <c r="U69" s="101">
        <v>7789.5</v>
      </c>
      <c r="V69" s="102">
        <v>18.190000000000001</v>
      </c>
      <c r="W69" s="100">
        <v>100</v>
      </c>
      <c r="X69" s="99"/>
      <c r="Y69" s="99"/>
      <c r="Z69" s="100">
        <v>100</v>
      </c>
      <c r="AA69" s="99"/>
      <c r="AB69" s="99"/>
      <c r="AC69" s="100">
        <v>100</v>
      </c>
      <c r="AD69" s="99"/>
      <c r="AE69" s="99"/>
      <c r="AF69" s="100">
        <v>100</v>
      </c>
      <c r="AG69" s="99"/>
      <c r="AH69" s="99"/>
      <c r="AI69" s="100">
        <v>100</v>
      </c>
      <c r="AJ69" s="99"/>
      <c r="AK69" s="99"/>
      <c r="AL69" s="100">
        <v>100</v>
      </c>
      <c r="AM69" s="99"/>
      <c r="AN69" s="99"/>
      <c r="AO69" s="100">
        <v>100</v>
      </c>
      <c r="AP69" s="99"/>
      <c r="AQ69" s="99"/>
      <c r="AR69" s="100">
        <v>100</v>
      </c>
      <c r="AS69" s="99"/>
      <c r="AT69" s="99"/>
      <c r="AU69" s="100">
        <v>100</v>
      </c>
      <c r="AV69" s="99"/>
      <c r="AW69" s="99"/>
      <c r="AX69" s="100">
        <v>100</v>
      </c>
      <c r="AY69" s="99"/>
      <c r="AZ69" s="99"/>
      <c r="BA69" s="100">
        <v>100</v>
      </c>
      <c r="BB69" s="99"/>
      <c r="BC69" s="99"/>
      <c r="BD69" s="100">
        <v>100</v>
      </c>
      <c r="BE69" s="99"/>
      <c r="BF69" s="99"/>
      <c r="BG69" s="100">
        <v>100</v>
      </c>
      <c r="BH69" s="99"/>
      <c r="BI69" s="99"/>
      <c r="BJ69" s="100">
        <v>100</v>
      </c>
      <c r="BK69" s="99"/>
      <c r="BL69" s="99"/>
      <c r="BM69" s="100">
        <v>100</v>
      </c>
      <c r="BN69" s="99"/>
      <c r="BO69" s="99"/>
      <c r="BP69" s="100">
        <v>100</v>
      </c>
      <c r="BQ69" s="99"/>
      <c r="BR69" s="99"/>
      <c r="BS69" s="100">
        <v>100</v>
      </c>
      <c r="BT69" s="99"/>
      <c r="BU69" s="99"/>
      <c r="BV69" s="100">
        <v>100</v>
      </c>
      <c r="BW69" s="99"/>
      <c r="BX69" s="99"/>
      <c r="BY69" s="100">
        <v>100</v>
      </c>
      <c r="BZ69" s="99"/>
      <c r="CA69" s="99"/>
      <c r="CB69" s="100">
        <v>100</v>
      </c>
      <c r="CC69" s="99"/>
      <c r="CD69" s="99"/>
      <c r="CE69" s="989">
        <v>100</v>
      </c>
      <c r="CF69" s="460"/>
      <c r="CG69" s="460"/>
      <c r="CH69" s="405"/>
      <c r="CI69" s="460"/>
      <c r="CJ69" s="460"/>
      <c r="CK69" s="405"/>
      <c r="CL69" s="460"/>
      <c r="CM69" s="460"/>
      <c r="CN69" s="460"/>
      <c r="CO69" s="467"/>
      <c r="CP69" s="467"/>
      <c r="CQ69" s="407"/>
      <c r="CR69" s="406"/>
      <c r="CS69" s="406"/>
      <c r="CT69" s="407"/>
      <c r="CU69" s="406"/>
      <c r="CV69" s="406"/>
      <c r="CW69" s="407"/>
      <c r="CX69" s="467"/>
      <c r="CY69" s="467"/>
      <c r="CZ69" s="406"/>
      <c r="DA69" s="407"/>
      <c r="DB69" s="467"/>
      <c r="DC69" s="467"/>
      <c r="DD69" s="467"/>
      <c r="DE69" s="467"/>
      <c r="DF69" s="407"/>
    </row>
    <row r="70" spans="1:110" ht="8.4499999999999993" customHeight="1" x14ac:dyDescent="0.2">
      <c r="A70" s="130" t="s">
        <v>608</v>
      </c>
      <c r="B70" s="96">
        <v>55</v>
      </c>
      <c r="C70" s="82" t="s">
        <v>2422</v>
      </c>
      <c r="D70" s="96">
        <v>57</v>
      </c>
      <c r="E70" s="82" t="s">
        <v>2408</v>
      </c>
      <c r="F70" s="82" t="s">
        <v>2420</v>
      </c>
      <c r="G70" s="97">
        <v>66876</v>
      </c>
      <c r="H70" s="98">
        <v>0.76</v>
      </c>
      <c r="I70" s="99"/>
      <c r="J70" s="99"/>
      <c r="K70" s="99"/>
      <c r="L70" s="101">
        <v>6079.03</v>
      </c>
      <c r="M70" s="98">
        <v>9.09</v>
      </c>
      <c r="N70" s="98">
        <v>9.09</v>
      </c>
      <c r="O70" s="97">
        <v>24316.11</v>
      </c>
      <c r="P70" s="102">
        <v>36.36</v>
      </c>
      <c r="Q70" s="102">
        <v>45.45</v>
      </c>
      <c r="R70" s="97">
        <v>24316.11</v>
      </c>
      <c r="S70" s="102">
        <v>36.36</v>
      </c>
      <c r="T70" s="102">
        <v>81.81</v>
      </c>
      <c r="U70" s="97">
        <v>12164.74</v>
      </c>
      <c r="V70" s="102">
        <v>18.190000000000001</v>
      </c>
      <c r="W70" s="100">
        <v>100</v>
      </c>
      <c r="X70" s="99"/>
      <c r="Y70" s="99"/>
      <c r="Z70" s="100">
        <v>100</v>
      </c>
      <c r="AA70" s="99"/>
      <c r="AB70" s="99"/>
      <c r="AC70" s="100">
        <v>100</v>
      </c>
      <c r="AD70" s="99"/>
      <c r="AE70" s="99"/>
      <c r="AF70" s="100">
        <v>100</v>
      </c>
      <c r="AG70" s="99"/>
      <c r="AH70" s="99"/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100">
        <v>100</v>
      </c>
      <c r="BW70" s="99"/>
      <c r="BX70" s="99"/>
      <c r="BY70" s="100">
        <v>100</v>
      </c>
      <c r="BZ70" s="99"/>
      <c r="CA70" s="99"/>
      <c r="CB70" s="100">
        <v>100</v>
      </c>
      <c r="CC70" s="99"/>
      <c r="CD70" s="99"/>
      <c r="CE70" s="989">
        <v>100</v>
      </c>
      <c r="CF70" s="406"/>
      <c r="CG70" s="406"/>
      <c r="CH70" s="407"/>
      <c r="CI70" s="406"/>
      <c r="CJ70" s="406"/>
      <c r="CK70" s="407"/>
      <c r="CL70" s="406"/>
      <c r="CM70" s="406"/>
      <c r="CN70" s="406"/>
      <c r="CO70" s="467"/>
      <c r="CP70" s="467"/>
      <c r="CQ70" s="407"/>
      <c r="CR70" s="406"/>
      <c r="CS70" s="406"/>
      <c r="CT70" s="407"/>
      <c r="CU70" s="406"/>
      <c r="CV70" s="406"/>
      <c r="CW70" s="407"/>
      <c r="CX70" s="467"/>
      <c r="CY70" s="467"/>
      <c r="CZ70" s="406"/>
      <c r="DA70" s="407"/>
      <c r="DB70" s="467"/>
      <c r="DC70" s="467"/>
      <c r="DD70" s="467"/>
      <c r="DE70" s="467"/>
      <c r="DF70" s="407"/>
    </row>
    <row r="71" spans="1:110" ht="8.4499999999999993" customHeight="1" x14ac:dyDescent="0.2">
      <c r="A71" s="130" t="s">
        <v>609</v>
      </c>
      <c r="B71" s="96">
        <v>56</v>
      </c>
      <c r="C71" s="82" t="s">
        <v>2423</v>
      </c>
      <c r="D71" s="96">
        <v>57</v>
      </c>
      <c r="E71" s="82" t="s">
        <v>2408</v>
      </c>
      <c r="F71" s="82" t="s">
        <v>2420</v>
      </c>
      <c r="G71" s="106">
        <v>173768.94</v>
      </c>
      <c r="H71" s="98">
        <v>1.98</v>
      </c>
      <c r="I71" s="99"/>
      <c r="J71" s="99"/>
      <c r="K71" s="99"/>
      <c r="L71" s="97">
        <v>15795.6</v>
      </c>
      <c r="M71" s="98">
        <v>9.09</v>
      </c>
      <c r="N71" s="98">
        <v>9.09</v>
      </c>
      <c r="O71" s="97">
        <v>63182.39</v>
      </c>
      <c r="P71" s="102">
        <v>36.36</v>
      </c>
      <c r="Q71" s="102">
        <v>45.45</v>
      </c>
      <c r="R71" s="97">
        <v>63182.39</v>
      </c>
      <c r="S71" s="102">
        <v>36.36</v>
      </c>
      <c r="T71" s="102">
        <v>81.81</v>
      </c>
      <c r="U71" s="97">
        <v>31608.57</v>
      </c>
      <c r="V71" s="102">
        <v>18.190000000000001</v>
      </c>
      <c r="W71" s="100">
        <v>100</v>
      </c>
      <c r="X71" s="99"/>
      <c r="Y71" s="99"/>
      <c r="Z71" s="100">
        <v>100</v>
      </c>
      <c r="AA71" s="99"/>
      <c r="AB71" s="99"/>
      <c r="AC71" s="100">
        <v>100</v>
      </c>
      <c r="AD71" s="99"/>
      <c r="AE71" s="99"/>
      <c r="AF71" s="100">
        <v>100</v>
      </c>
      <c r="AG71" s="99"/>
      <c r="AH71" s="99"/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100">
        <v>100</v>
      </c>
      <c r="BW71" s="99"/>
      <c r="BX71" s="99"/>
      <c r="BY71" s="100">
        <v>100</v>
      </c>
      <c r="BZ71" s="99"/>
      <c r="CA71" s="99"/>
      <c r="CB71" s="100">
        <v>100</v>
      </c>
      <c r="CC71" s="99"/>
      <c r="CD71" s="99"/>
      <c r="CE71" s="989">
        <v>100</v>
      </c>
      <c r="CF71" s="406"/>
      <c r="CG71" s="406"/>
      <c r="CH71" s="407"/>
      <c r="CI71" s="406"/>
      <c r="CJ71" s="406"/>
      <c r="CK71" s="407"/>
      <c r="CL71" s="406"/>
      <c r="CM71" s="406"/>
      <c r="CN71" s="406"/>
      <c r="CO71" s="467"/>
      <c r="CP71" s="467"/>
      <c r="CQ71" s="407"/>
      <c r="CR71" s="406"/>
      <c r="CS71" s="406"/>
      <c r="CT71" s="407"/>
      <c r="CU71" s="406"/>
      <c r="CV71" s="406"/>
      <c r="CW71" s="407"/>
      <c r="CX71" s="467"/>
      <c r="CY71" s="467"/>
      <c r="CZ71" s="406"/>
      <c r="DA71" s="407"/>
      <c r="DB71" s="467"/>
      <c r="DC71" s="467"/>
      <c r="DD71" s="467"/>
      <c r="DE71" s="467"/>
      <c r="DF71" s="407"/>
    </row>
    <row r="72" spans="1:110" ht="8.4499999999999993" customHeight="1" x14ac:dyDescent="0.2">
      <c r="A72" s="130" t="s">
        <v>610</v>
      </c>
      <c r="B72" s="96">
        <v>57</v>
      </c>
      <c r="C72" s="82" t="s">
        <v>2424</v>
      </c>
      <c r="D72" s="96">
        <v>57</v>
      </c>
      <c r="E72" s="82" t="s">
        <v>2408</v>
      </c>
      <c r="F72" s="82" t="s">
        <v>2420</v>
      </c>
      <c r="G72" s="97">
        <v>61669.26</v>
      </c>
      <c r="H72" s="98">
        <v>0.7</v>
      </c>
      <c r="I72" s="99"/>
      <c r="J72" s="99"/>
      <c r="K72" s="99"/>
      <c r="L72" s="101">
        <v>5605.74</v>
      </c>
      <c r="M72" s="98">
        <v>9.09</v>
      </c>
      <c r="N72" s="98">
        <v>9.09</v>
      </c>
      <c r="O72" s="97">
        <v>22422.94</v>
      </c>
      <c r="P72" s="102">
        <v>36.36</v>
      </c>
      <c r="Q72" s="102">
        <v>45.45</v>
      </c>
      <c r="R72" s="97">
        <v>22422.94</v>
      </c>
      <c r="S72" s="102">
        <v>36.36</v>
      </c>
      <c r="T72" s="102">
        <v>81.81</v>
      </c>
      <c r="U72" s="97">
        <v>11217.64</v>
      </c>
      <c r="V72" s="102">
        <v>18.190000000000001</v>
      </c>
      <c r="W72" s="100">
        <v>100</v>
      </c>
      <c r="X72" s="99"/>
      <c r="Y72" s="99"/>
      <c r="Z72" s="100">
        <v>100</v>
      </c>
      <c r="AA72" s="99"/>
      <c r="AB72" s="99"/>
      <c r="AC72" s="100">
        <v>100</v>
      </c>
      <c r="AD72" s="99"/>
      <c r="AE72" s="99"/>
      <c r="AF72" s="100">
        <v>100</v>
      </c>
      <c r="AG72" s="99"/>
      <c r="AH72" s="99"/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100">
        <v>100</v>
      </c>
      <c r="BW72" s="99"/>
      <c r="BX72" s="99"/>
      <c r="BY72" s="100">
        <v>100</v>
      </c>
      <c r="BZ72" s="99"/>
      <c r="CA72" s="99"/>
      <c r="CB72" s="100">
        <v>100</v>
      </c>
      <c r="CC72" s="99"/>
      <c r="CD72" s="99"/>
      <c r="CE72" s="989">
        <v>100</v>
      </c>
      <c r="CF72" s="406"/>
      <c r="CG72" s="406"/>
      <c r="CH72" s="407"/>
      <c r="CI72" s="406"/>
      <c r="CJ72" s="406"/>
      <c r="CK72" s="407"/>
      <c r="CL72" s="406"/>
      <c r="CM72" s="406"/>
      <c r="CN72" s="406"/>
      <c r="CO72" s="467"/>
      <c r="CP72" s="467"/>
      <c r="CQ72" s="407"/>
      <c r="CR72" s="406"/>
      <c r="CS72" s="406"/>
      <c r="CT72" s="407"/>
      <c r="CU72" s="406"/>
      <c r="CV72" s="406"/>
      <c r="CW72" s="407"/>
      <c r="CX72" s="467"/>
      <c r="CY72" s="467"/>
      <c r="CZ72" s="406"/>
      <c r="DA72" s="407"/>
      <c r="DB72" s="467"/>
      <c r="DC72" s="467"/>
      <c r="DD72" s="467"/>
      <c r="DE72" s="467"/>
      <c r="DF72" s="407"/>
    </row>
    <row r="73" spans="1:110" ht="16.899999999999999" customHeight="1" x14ac:dyDescent="0.2">
      <c r="A73" s="130" t="s">
        <v>611</v>
      </c>
      <c r="B73" s="96">
        <v>58</v>
      </c>
      <c r="C73" s="82" t="s">
        <v>2425</v>
      </c>
      <c r="D73" s="96">
        <v>57</v>
      </c>
      <c r="E73" s="82" t="s">
        <v>2408</v>
      </c>
      <c r="F73" s="82" t="s">
        <v>2420</v>
      </c>
      <c r="G73" s="101">
        <v>2827.38</v>
      </c>
      <c r="H73" s="98">
        <v>0.03</v>
      </c>
      <c r="I73" s="99"/>
      <c r="J73" s="99"/>
      <c r="K73" s="99"/>
      <c r="L73" s="100">
        <v>257.01</v>
      </c>
      <c r="M73" s="98">
        <v>9.09</v>
      </c>
      <c r="N73" s="98">
        <v>9.09</v>
      </c>
      <c r="O73" s="101">
        <v>1028.04</v>
      </c>
      <c r="P73" s="102">
        <v>36.36</v>
      </c>
      <c r="Q73" s="102">
        <v>45.45</v>
      </c>
      <c r="R73" s="101">
        <v>1028.04</v>
      </c>
      <c r="S73" s="102">
        <v>36.36</v>
      </c>
      <c r="T73" s="102">
        <v>81.81</v>
      </c>
      <c r="U73" s="100">
        <v>514.29999999999995</v>
      </c>
      <c r="V73" s="102">
        <v>18.190000000000001</v>
      </c>
      <c r="W73" s="100">
        <v>100</v>
      </c>
      <c r="X73" s="99"/>
      <c r="Y73" s="99"/>
      <c r="Z73" s="100">
        <v>100</v>
      </c>
      <c r="AA73" s="99"/>
      <c r="AB73" s="99"/>
      <c r="AC73" s="100">
        <v>100</v>
      </c>
      <c r="AD73" s="99"/>
      <c r="AE73" s="99"/>
      <c r="AF73" s="100">
        <v>100</v>
      </c>
      <c r="AG73" s="99"/>
      <c r="AH73" s="99"/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100">
        <v>100</v>
      </c>
      <c r="BW73" s="99"/>
      <c r="BX73" s="99"/>
      <c r="BY73" s="100">
        <v>100</v>
      </c>
      <c r="BZ73" s="99"/>
      <c r="CA73" s="99"/>
      <c r="CB73" s="100">
        <v>100</v>
      </c>
      <c r="CC73" s="99"/>
      <c r="CD73" s="99"/>
      <c r="CE73" s="989">
        <v>100</v>
      </c>
      <c r="CF73" s="406"/>
      <c r="CG73" s="406"/>
      <c r="CH73" s="407"/>
      <c r="CI73" s="406"/>
      <c r="CJ73" s="406"/>
      <c r="CK73" s="407"/>
      <c r="CL73" s="406"/>
      <c r="CM73" s="406"/>
      <c r="CN73" s="406"/>
      <c r="CO73" s="467"/>
      <c r="CP73" s="467"/>
      <c r="CQ73" s="407"/>
      <c r="CR73" s="406"/>
      <c r="CS73" s="406"/>
      <c r="CT73" s="407"/>
      <c r="CU73" s="406"/>
      <c r="CV73" s="406"/>
      <c r="CW73" s="407"/>
      <c r="CX73" s="467"/>
      <c r="CY73" s="467"/>
      <c r="CZ73" s="406"/>
      <c r="DA73" s="407"/>
      <c r="DB73" s="467"/>
      <c r="DC73" s="467"/>
      <c r="DD73" s="467"/>
      <c r="DE73" s="467"/>
      <c r="DF73" s="407"/>
    </row>
    <row r="74" spans="1:110" ht="16.899999999999999" customHeight="1" x14ac:dyDescent="0.2">
      <c r="A74" s="130" t="s">
        <v>612</v>
      </c>
      <c r="B74" s="96">
        <v>59</v>
      </c>
      <c r="C74" s="82" t="s">
        <v>2426</v>
      </c>
      <c r="D74" s="96">
        <v>57</v>
      </c>
      <c r="E74" s="82" t="s">
        <v>2408</v>
      </c>
      <c r="F74" s="82" t="s">
        <v>2420</v>
      </c>
      <c r="G74" s="97">
        <v>56178.559999999998</v>
      </c>
      <c r="H74" s="98">
        <v>0.64</v>
      </c>
      <c r="I74" s="99"/>
      <c r="J74" s="99"/>
      <c r="K74" s="99"/>
      <c r="L74" s="101">
        <v>5106.63</v>
      </c>
      <c r="M74" s="98">
        <v>9.09</v>
      </c>
      <c r="N74" s="98">
        <v>9.09</v>
      </c>
      <c r="O74" s="97">
        <v>20426.52</v>
      </c>
      <c r="P74" s="102">
        <v>36.36</v>
      </c>
      <c r="Q74" s="102">
        <v>45.45</v>
      </c>
      <c r="R74" s="97">
        <v>20426.52</v>
      </c>
      <c r="S74" s="102">
        <v>36.36</v>
      </c>
      <c r="T74" s="102">
        <v>81.81</v>
      </c>
      <c r="U74" s="97">
        <v>10218.879999999999</v>
      </c>
      <c r="V74" s="102">
        <v>18.190000000000001</v>
      </c>
      <c r="W74" s="100">
        <v>100</v>
      </c>
      <c r="X74" s="99"/>
      <c r="Y74" s="99"/>
      <c r="Z74" s="100">
        <v>100</v>
      </c>
      <c r="AA74" s="99"/>
      <c r="AB74" s="99"/>
      <c r="AC74" s="100">
        <v>100</v>
      </c>
      <c r="AD74" s="99"/>
      <c r="AE74" s="99"/>
      <c r="AF74" s="100">
        <v>100</v>
      </c>
      <c r="AG74" s="99"/>
      <c r="AH74" s="99"/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100">
        <v>100</v>
      </c>
      <c r="BW74" s="99"/>
      <c r="BX74" s="99"/>
      <c r="BY74" s="100">
        <v>100</v>
      </c>
      <c r="BZ74" s="99"/>
      <c r="CA74" s="99"/>
      <c r="CB74" s="100">
        <v>100</v>
      </c>
      <c r="CC74" s="99"/>
      <c r="CD74" s="99"/>
      <c r="CE74" s="989">
        <v>100</v>
      </c>
      <c r="CF74" s="406"/>
      <c r="CG74" s="406"/>
      <c r="CH74" s="407"/>
      <c r="CI74" s="406"/>
      <c r="CJ74" s="406"/>
      <c r="CK74" s="407"/>
      <c r="CL74" s="406"/>
      <c r="CM74" s="406"/>
      <c r="CN74" s="406"/>
      <c r="CO74" s="467"/>
      <c r="CP74" s="467"/>
      <c r="CQ74" s="407"/>
      <c r="CR74" s="406"/>
      <c r="CS74" s="406"/>
      <c r="CT74" s="407"/>
      <c r="CU74" s="406"/>
      <c r="CV74" s="406"/>
      <c r="CW74" s="407"/>
      <c r="CX74" s="467"/>
      <c r="CY74" s="467"/>
      <c r="CZ74" s="406"/>
      <c r="DA74" s="407"/>
      <c r="DB74" s="467"/>
      <c r="DC74" s="467"/>
      <c r="DD74" s="467"/>
      <c r="DE74" s="467"/>
      <c r="DF74" s="407"/>
    </row>
    <row r="75" spans="1:110" ht="16.899999999999999" customHeight="1" x14ac:dyDescent="0.2">
      <c r="A75" s="130" t="s">
        <v>772</v>
      </c>
      <c r="B75" s="88">
        <v>60</v>
      </c>
      <c r="C75" s="87" t="s">
        <v>2427</v>
      </c>
      <c r="D75" s="88">
        <v>33</v>
      </c>
      <c r="E75" s="87" t="s">
        <v>1555</v>
      </c>
      <c r="F75" s="87" t="s">
        <v>2409</v>
      </c>
      <c r="G75" s="89">
        <v>45013.14</v>
      </c>
      <c r="H75" s="90">
        <v>0.51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89">
        <v>25720.51</v>
      </c>
      <c r="AB75" s="91">
        <v>57.14</v>
      </c>
      <c r="AC75" s="91">
        <v>57.14</v>
      </c>
      <c r="AD75" s="89">
        <v>19292.63</v>
      </c>
      <c r="AE75" s="91">
        <v>42.86</v>
      </c>
      <c r="AF75" s="93">
        <v>100</v>
      </c>
      <c r="AG75" s="94"/>
      <c r="AH75" s="94"/>
      <c r="AI75" s="93">
        <v>100</v>
      </c>
      <c r="AJ75" s="94"/>
      <c r="AK75" s="94"/>
      <c r="AL75" s="93">
        <v>100</v>
      </c>
      <c r="AM75" s="94"/>
      <c r="AN75" s="94"/>
      <c r="AO75" s="93">
        <v>100</v>
      </c>
      <c r="AP75" s="94"/>
      <c r="AQ75" s="94"/>
      <c r="AR75" s="93">
        <v>100</v>
      </c>
      <c r="AS75" s="94"/>
      <c r="AT75" s="94"/>
      <c r="AU75" s="93">
        <v>100</v>
      </c>
      <c r="AV75" s="94"/>
      <c r="AW75" s="94"/>
      <c r="AX75" s="93">
        <v>100</v>
      </c>
      <c r="AY75" s="94"/>
      <c r="AZ75" s="94"/>
      <c r="BA75" s="93">
        <v>100</v>
      </c>
      <c r="BB75" s="94"/>
      <c r="BC75" s="94"/>
      <c r="BD75" s="93">
        <v>100</v>
      </c>
      <c r="BE75" s="94"/>
      <c r="BF75" s="94"/>
      <c r="BG75" s="93">
        <v>100</v>
      </c>
      <c r="BH75" s="94"/>
      <c r="BI75" s="94"/>
      <c r="BJ75" s="93">
        <v>100</v>
      </c>
      <c r="BK75" s="94"/>
      <c r="BL75" s="94"/>
      <c r="BM75" s="93">
        <v>100</v>
      </c>
      <c r="BN75" s="94"/>
      <c r="BO75" s="94"/>
      <c r="BP75" s="93">
        <v>100</v>
      </c>
      <c r="BQ75" s="94"/>
      <c r="BR75" s="94"/>
      <c r="BS75" s="93">
        <v>100</v>
      </c>
      <c r="BT75" s="94"/>
      <c r="BU75" s="94"/>
      <c r="BV75" s="93">
        <v>100</v>
      </c>
      <c r="BW75" s="94"/>
      <c r="BX75" s="94"/>
      <c r="BY75" s="93">
        <v>100</v>
      </c>
      <c r="BZ75" s="94"/>
      <c r="CA75" s="94"/>
      <c r="CB75" s="93">
        <v>100</v>
      </c>
      <c r="CC75" s="94"/>
      <c r="CD75" s="94"/>
      <c r="CE75" s="988">
        <v>100</v>
      </c>
      <c r="CF75" s="406"/>
      <c r="CG75" s="406"/>
      <c r="CH75" s="407"/>
      <c r="CI75" s="406"/>
      <c r="CJ75" s="406"/>
      <c r="CK75" s="407"/>
      <c r="CL75" s="406"/>
      <c r="CM75" s="406"/>
      <c r="CN75" s="406"/>
      <c r="CO75" s="467"/>
      <c r="CP75" s="467"/>
      <c r="CQ75" s="407"/>
      <c r="CR75" s="406"/>
      <c r="CS75" s="406"/>
      <c r="CT75" s="407"/>
      <c r="CU75" s="406"/>
      <c r="CV75" s="406"/>
      <c r="CW75" s="407"/>
      <c r="CX75" s="467"/>
      <c r="CY75" s="467"/>
      <c r="CZ75" s="406"/>
      <c r="DA75" s="407"/>
      <c r="DB75" s="467"/>
      <c r="DC75" s="467"/>
      <c r="DD75" s="467"/>
      <c r="DE75" s="467"/>
      <c r="DF75" s="407"/>
    </row>
    <row r="76" spans="1:110" ht="16.899999999999999" customHeight="1" x14ac:dyDescent="0.2">
      <c r="A76" s="130" t="s">
        <v>2222</v>
      </c>
      <c r="B76" s="88">
        <v>61</v>
      </c>
      <c r="C76" s="87" t="s">
        <v>2428</v>
      </c>
      <c r="D76" s="88">
        <v>34</v>
      </c>
      <c r="E76" s="87" t="s">
        <v>1555</v>
      </c>
      <c r="F76" s="87" t="s">
        <v>2409</v>
      </c>
      <c r="G76" s="89">
        <v>45013.14</v>
      </c>
      <c r="H76" s="90">
        <v>0.51</v>
      </c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89">
        <v>25720.51</v>
      </c>
      <c r="AB76" s="91">
        <v>57.14</v>
      </c>
      <c r="AC76" s="91">
        <v>57.14</v>
      </c>
      <c r="AD76" s="89">
        <v>19292.63</v>
      </c>
      <c r="AE76" s="91">
        <v>42.86</v>
      </c>
      <c r="AF76" s="93">
        <v>100</v>
      </c>
      <c r="AG76" s="94"/>
      <c r="AH76" s="94"/>
      <c r="AI76" s="93">
        <v>100</v>
      </c>
      <c r="AJ76" s="94"/>
      <c r="AK76" s="94"/>
      <c r="AL76" s="93">
        <v>100</v>
      </c>
      <c r="AM76" s="94"/>
      <c r="AN76" s="94"/>
      <c r="AO76" s="93">
        <v>100</v>
      </c>
      <c r="AP76" s="94"/>
      <c r="AQ76" s="94"/>
      <c r="AR76" s="93">
        <v>100</v>
      </c>
      <c r="AS76" s="94"/>
      <c r="AT76" s="94"/>
      <c r="AU76" s="93">
        <v>100</v>
      </c>
      <c r="AV76" s="94"/>
      <c r="AW76" s="94"/>
      <c r="AX76" s="93">
        <v>100</v>
      </c>
      <c r="AY76" s="94"/>
      <c r="AZ76" s="94"/>
      <c r="BA76" s="93">
        <v>100</v>
      </c>
      <c r="BB76" s="94"/>
      <c r="BC76" s="94"/>
      <c r="BD76" s="93">
        <v>100</v>
      </c>
      <c r="BE76" s="94"/>
      <c r="BF76" s="94"/>
      <c r="BG76" s="93">
        <v>100</v>
      </c>
      <c r="BH76" s="94"/>
      <c r="BI76" s="94"/>
      <c r="BJ76" s="93">
        <v>100</v>
      </c>
      <c r="BK76" s="94"/>
      <c r="BL76" s="94"/>
      <c r="BM76" s="93">
        <v>100</v>
      </c>
      <c r="BN76" s="94"/>
      <c r="BO76" s="94"/>
      <c r="BP76" s="93">
        <v>100</v>
      </c>
      <c r="BQ76" s="94"/>
      <c r="BR76" s="94"/>
      <c r="BS76" s="93">
        <v>100</v>
      </c>
      <c r="BT76" s="94"/>
      <c r="BU76" s="94"/>
      <c r="BV76" s="93">
        <v>100</v>
      </c>
      <c r="BW76" s="94"/>
      <c r="BX76" s="94"/>
      <c r="BY76" s="93">
        <v>100</v>
      </c>
      <c r="BZ76" s="94"/>
      <c r="CA76" s="94"/>
      <c r="CB76" s="93">
        <v>100</v>
      </c>
      <c r="CC76" s="94"/>
      <c r="CD76" s="94"/>
      <c r="CE76" s="988">
        <v>100</v>
      </c>
      <c r="CF76" s="406"/>
      <c r="CG76" s="406"/>
      <c r="CH76" s="407"/>
      <c r="CI76" s="406"/>
      <c r="CJ76" s="406"/>
      <c r="CK76" s="407"/>
      <c r="CL76" s="406"/>
      <c r="CM76" s="406"/>
      <c r="CN76" s="406"/>
      <c r="CO76" s="473"/>
      <c r="CP76" s="467"/>
      <c r="CQ76" s="407"/>
      <c r="CR76" s="406"/>
      <c r="CS76" s="406"/>
      <c r="CT76" s="407"/>
      <c r="CU76" s="406"/>
      <c r="CV76" s="406"/>
      <c r="CW76" s="407"/>
      <c r="CX76" s="467"/>
      <c r="CY76" s="467"/>
      <c r="CZ76" s="406"/>
      <c r="DA76" s="407"/>
      <c r="DB76" s="467"/>
      <c r="DC76" s="467"/>
      <c r="DD76" s="467"/>
      <c r="DE76" s="467"/>
      <c r="DF76" s="407"/>
    </row>
    <row r="77" spans="1:110" ht="8.4499999999999993" customHeight="1" x14ac:dyDescent="0.2">
      <c r="A77" s="130" t="s">
        <v>2224</v>
      </c>
      <c r="B77" s="96">
        <v>62</v>
      </c>
      <c r="C77" s="82" t="s">
        <v>2429</v>
      </c>
      <c r="D77" s="96">
        <v>33</v>
      </c>
      <c r="E77" s="82" t="s">
        <v>1555</v>
      </c>
      <c r="F77" s="82" t="s">
        <v>2409</v>
      </c>
      <c r="G77" s="101">
        <v>7961.1</v>
      </c>
      <c r="H77" s="98">
        <v>0.09</v>
      </c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101">
        <v>4548.97</v>
      </c>
      <c r="AB77" s="102">
        <v>57.14</v>
      </c>
      <c r="AC77" s="102">
        <v>57.14</v>
      </c>
      <c r="AD77" s="101">
        <v>3412.13</v>
      </c>
      <c r="AE77" s="102">
        <v>42.86</v>
      </c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100">
        <v>100</v>
      </c>
      <c r="BW77" s="99"/>
      <c r="BX77" s="99"/>
      <c r="BY77" s="100">
        <v>100</v>
      </c>
      <c r="BZ77" s="99"/>
      <c r="CA77" s="99"/>
      <c r="CB77" s="100">
        <v>100</v>
      </c>
      <c r="CC77" s="99"/>
      <c r="CD77" s="99"/>
      <c r="CE77" s="989">
        <v>100</v>
      </c>
      <c r="CF77" s="406"/>
      <c r="CG77" s="406"/>
      <c r="CH77" s="407"/>
      <c r="CI77" s="406"/>
      <c r="CJ77" s="406"/>
      <c r="CK77" s="407"/>
      <c r="CL77" s="406"/>
      <c r="CM77" s="406"/>
      <c r="CN77" s="406"/>
      <c r="CO77" s="467"/>
      <c r="CP77" s="467"/>
      <c r="CQ77" s="407"/>
      <c r="CR77" s="406"/>
      <c r="CS77" s="406"/>
      <c r="CT77" s="407"/>
      <c r="CU77" s="406"/>
      <c r="CV77" s="406"/>
      <c r="CW77" s="407"/>
      <c r="CX77" s="467"/>
      <c r="CY77" s="467"/>
      <c r="CZ77" s="406"/>
      <c r="DA77" s="407"/>
      <c r="DB77" s="467"/>
      <c r="DC77" s="467"/>
      <c r="DD77" s="467"/>
      <c r="DE77" s="467"/>
      <c r="DF77" s="407"/>
    </row>
    <row r="78" spans="1:110" ht="16.899999999999999" customHeight="1" x14ac:dyDescent="0.2">
      <c r="A78" s="130" t="s">
        <v>2225</v>
      </c>
      <c r="B78" s="96">
        <v>63</v>
      </c>
      <c r="C78" s="82" t="s">
        <v>2430</v>
      </c>
      <c r="D78" s="96">
        <v>33</v>
      </c>
      <c r="E78" s="82" t="s">
        <v>1555</v>
      </c>
      <c r="F78" s="82" t="s">
        <v>2409</v>
      </c>
      <c r="G78" s="97">
        <v>14912.65</v>
      </c>
      <c r="H78" s="98">
        <v>0.17</v>
      </c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101">
        <v>8521.09</v>
      </c>
      <c r="AB78" s="102">
        <v>57.14</v>
      </c>
      <c r="AC78" s="102">
        <v>57.14</v>
      </c>
      <c r="AD78" s="101">
        <v>6391.56</v>
      </c>
      <c r="AE78" s="102">
        <v>42.86</v>
      </c>
      <c r="AF78" s="100">
        <v>100</v>
      </c>
      <c r="AG78" s="99"/>
      <c r="AH78" s="99"/>
      <c r="AI78" s="100">
        <v>100</v>
      </c>
      <c r="AJ78" s="99"/>
      <c r="AK78" s="99"/>
      <c r="AL78" s="100">
        <v>100</v>
      </c>
      <c r="AM78" s="99"/>
      <c r="AN78" s="99"/>
      <c r="AO78" s="100">
        <v>100</v>
      </c>
      <c r="AP78" s="99"/>
      <c r="AQ78" s="99"/>
      <c r="AR78" s="100">
        <v>100</v>
      </c>
      <c r="AS78" s="99"/>
      <c r="AT78" s="99"/>
      <c r="AU78" s="100">
        <v>100</v>
      </c>
      <c r="AV78" s="99"/>
      <c r="AW78" s="99"/>
      <c r="AX78" s="100">
        <v>100</v>
      </c>
      <c r="AY78" s="99"/>
      <c r="AZ78" s="99"/>
      <c r="BA78" s="100">
        <v>100</v>
      </c>
      <c r="BB78" s="99"/>
      <c r="BC78" s="99"/>
      <c r="BD78" s="100">
        <v>100</v>
      </c>
      <c r="BE78" s="99"/>
      <c r="BF78" s="99"/>
      <c r="BG78" s="100">
        <v>100</v>
      </c>
      <c r="BH78" s="99"/>
      <c r="BI78" s="99"/>
      <c r="BJ78" s="100">
        <v>100</v>
      </c>
      <c r="BK78" s="99"/>
      <c r="BL78" s="99"/>
      <c r="BM78" s="100">
        <v>100</v>
      </c>
      <c r="BN78" s="99"/>
      <c r="BO78" s="99"/>
      <c r="BP78" s="100">
        <v>100</v>
      </c>
      <c r="BQ78" s="99"/>
      <c r="BR78" s="99"/>
      <c r="BS78" s="100">
        <v>100</v>
      </c>
      <c r="BT78" s="99"/>
      <c r="BU78" s="99"/>
      <c r="BV78" s="100">
        <v>100</v>
      </c>
      <c r="BW78" s="99"/>
      <c r="BX78" s="99"/>
      <c r="BY78" s="100">
        <v>100</v>
      </c>
      <c r="BZ78" s="99"/>
      <c r="CA78" s="99"/>
      <c r="CB78" s="100">
        <v>100</v>
      </c>
      <c r="CC78" s="99"/>
      <c r="CD78" s="99"/>
      <c r="CE78" s="989">
        <v>100</v>
      </c>
      <c r="CF78" s="460"/>
      <c r="CG78" s="460"/>
      <c r="CH78" s="405"/>
      <c r="CI78" s="460"/>
      <c r="CJ78" s="460"/>
      <c r="CK78" s="405"/>
      <c r="CL78" s="460"/>
      <c r="CM78" s="460"/>
      <c r="CN78" s="460"/>
      <c r="CO78" s="469"/>
      <c r="CP78" s="467"/>
      <c r="CQ78" s="409"/>
      <c r="CR78" s="407"/>
      <c r="CS78" s="408"/>
      <c r="CT78" s="409"/>
      <c r="CU78" s="407"/>
      <c r="CV78" s="408"/>
      <c r="CW78" s="409"/>
      <c r="CX78" s="468"/>
      <c r="CY78" s="467"/>
      <c r="CZ78" s="408"/>
      <c r="DA78" s="409"/>
      <c r="DB78" s="468"/>
      <c r="DC78" s="467"/>
      <c r="DD78" s="469"/>
      <c r="DE78" s="467"/>
      <c r="DF78" s="407"/>
    </row>
    <row r="79" spans="1:110" ht="8.4499999999999993" customHeight="1" x14ac:dyDescent="0.2">
      <c r="A79" s="130" t="s">
        <v>2226</v>
      </c>
      <c r="B79" s="96">
        <v>64</v>
      </c>
      <c r="C79" s="82" t="s">
        <v>2431</v>
      </c>
      <c r="D79" s="96">
        <v>33</v>
      </c>
      <c r="E79" s="82" t="s">
        <v>1555</v>
      </c>
      <c r="F79" s="82" t="s">
        <v>2409</v>
      </c>
      <c r="G79" s="97">
        <v>11144.57</v>
      </c>
      <c r="H79" s="98">
        <v>0.13</v>
      </c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101">
        <v>6368.01</v>
      </c>
      <c r="AB79" s="102">
        <v>57.14</v>
      </c>
      <c r="AC79" s="102">
        <v>57.14</v>
      </c>
      <c r="AD79" s="101">
        <v>4776.5600000000004</v>
      </c>
      <c r="AE79" s="102">
        <v>42.86</v>
      </c>
      <c r="AF79" s="100">
        <v>100</v>
      </c>
      <c r="AG79" s="99"/>
      <c r="AH79" s="99"/>
      <c r="AI79" s="100">
        <v>100</v>
      </c>
      <c r="AJ79" s="99"/>
      <c r="AK79" s="99"/>
      <c r="AL79" s="100">
        <v>100</v>
      </c>
      <c r="AM79" s="99"/>
      <c r="AN79" s="99"/>
      <c r="AO79" s="100">
        <v>100</v>
      </c>
      <c r="AP79" s="99"/>
      <c r="AQ79" s="99"/>
      <c r="AR79" s="100">
        <v>100</v>
      </c>
      <c r="AS79" s="99"/>
      <c r="AT79" s="99"/>
      <c r="AU79" s="100">
        <v>100</v>
      </c>
      <c r="AV79" s="99"/>
      <c r="AW79" s="99"/>
      <c r="AX79" s="100">
        <v>100</v>
      </c>
      <c r="AY79" s="99"/>
      <c r="AZ79" s="99"/>
      <c r="BA79" s="100">
        <v>100</v>
      </c>
      <c r="BB79" s="99"/>
      <c r="BC79" s="99"/>
      <c r="BD79" s="100">
        <v>100</v>
      </c>
      <c r="BE79" s="99"/>
      <c r="BF79" s="99"/>
      <c r="BG79" s="100">
        <v>100</v>
      </c>
      <c r="BH79" s="99"/>
      <c r="BI79" s="99"/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100">
        <v>100</v>
      </c>
      <c r="BW79" s="99"/>
      <c r="BX79" s="99"/>
      <c r="BY79" s="100">
        <v>100</v>
      </c>
      <c r="BZ79" s="99"/>
      <c r="CA79" s="99"/>
      <c r="CB79" s="100">
        <v>100</v>
      </c>
      <c r="CC79" s="99"/>
      <c r="CD79" s="99"/>
      <c r="CE79" s="989">
        <v>100</v>
      </c>
      <c r="CF79" s="406"/>
      <c r="CG79" s="406"/>
      <c r="CH79" s="407"/>
      <c r="CI79" s="406"/>
      <c r="CJ79" s="406"/>
      <c r="CK79" s="407"/>
      <c r="CL79" s="406"/>
      <c r="CM79" s="406"/>
      <c r="CN79" s="406"/>
      <c r="CO79" s="469"/>
      <c r="CP79" s="467"/>
      <c r="CQ79" s="409"/>
      <c r="CR79" s="407"/>
      <c r="CS79" s="408"/>
      <c r="CT79" s="409"/>
      <c r="CU79" s="407"/>
      <c r="CV79" s="408"/>
      <c r="CW79" s="409"/>
      <c r="CX79" s="468"/>
      <c r="CY79" s="467"/>
      <c r="CZ79" s="408"/>
      <c r="DA79" s="409"/>
      <c r="DB79" s="468"/>
      <c r="DC79" s="467"/>
      <c r="DD79" s="469"/>
      <c r="DE79" s="467"/>
      <c r="DF79" s="407"/>
    </row>
    <row r="80" spans="1:110" ht="16.899999999999999" customHeight="1" x14ac:dyDescent="0.2">
      <c r="A80" s="130" t="s">
        <v>2227</v>
      </c>
      <c r="B80" s="96">
        <v>65</v>
      </c>
      <c r="C80" s="82" t="s">
        <v>2432</v>
      </c>
      <c r="D80" s="96">
        <v>33</v>
      </c>
      <c r="E80" s="82" t="s">
        <v>1555</v>
      </c>
      <c r="F80" s="82" t="s">
        <v>2409</v>
      </c>
      <c r="G80" s="101">
        <v>6506.91</v>
      </c>
      <c r="H80" s="98">
        <v>7.0000000000000007E-2</v>
      </c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101">
        <v>3718.05</v>
      </c>
      <c r="AB80" s="102">
        <v>57.14</v>
      </c>
      <c r="AC80" s="102">
        <v>57.14</v>
      </c>
      <c r="AD80" s="101">
        <v>2788.86</v>
      </c>
      <c r="AE80" s="102">
        <v>42.86</v>
      </c>
      <c r="AF80" s="100">
        <v>100</v>
      </c>
      <c r="AG80" s="99"/>
      <c r="AH80" s="99"/>
      <c r="AI80" s="100">
        <v>100</v>
      </c>
      <c r="AJ80" s="99"/>
      <c r="AK80" s="99"/>
      <c r="AL80" s="100">
        <v>100</v>
      </c>
      <c r="AM80" s="99"/>
      <c r="AN80" s="99"/>
      <c r="AO80" s="100">
        <v>100</v>
      </c>
      <c r="AP80" s="99"/>
      <c r="AQ80" s="99"/>
      <c r="AR80" s="100">
        <v>100</v>
      </c>
      <c r="AS80" s="99"/>
      <c r="AT80" s="99"/>
      <c r="AU80" s="100">
        <v>100</v>
      </c>
      <c r="AV80" s="99"/>
      <c r="AW80" s="99"/>
      <c r="AX80" s="100">
        <v>100</v>
      </c>
      <c r="AY80" s="99"/>
      <c r="AZ80" s="99"/>
      <c r="BA80" s="100">
        <v>100</v>
      </c>
      <c r="BB80" s="99"/>
      <c r="BC80" s="99"/>
      <c r="BD80" s="100">
        <v>100</v>
      </c>
      <c r="BE80" s="99"/>
      <c r="BF80" s="99"/>
      <c r="BG80" s="100">
        <v>100</v>
      </c>
      <c r="BH80" s="99"/>
      <c r="BI80" s="99"/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100">
        <v>100</v>
      </c>
      <c r="BW80" s="99"/>
      <c r="BX80" s="99"/>
      <c r="BY80" s="100">
        <v>100</v>
      </c>
      <c r="BZ80" s="99"/>
      <c r="CA80" s="99"/>
      <c r="CB80" s="100">
        <v>100</v>
      </c>
      <c r="CC80" s="99"/>
      <c r="CD80" s="99"/>
      <c r="CE80" s="989">
        <v>100</v>
      </c>
      <c r="CF80" s="406"/>
      <c r="CG80" s="406"/>
      <c r="CH80" s="407"/>
      <c r="CI80" s="406"/>
      <c r="CJ80" s="406"/>
      <c r="CK80" s="407"/>
      <c r="CL80" s="406"/>
      <c r="CM80" s="406"/>
      <c r="CN80" s="406"/>
      <c r="CO80" s="469"/>
      <c r="CP80" s="467"/>
      <c r="CQ80" s="409"/>
      <c r="CR80" s="409"/>
      <c r="CS80" s="408"/>
      <c r="CT80" s="409"/>
      <c r="CU80" s="409"/>
      <c r="CV80" s="408"/>
      <c r="CW80" s="409"/>
      <c r="CX80" s="473"/>
      <c r="CY80" s="467"/>
      <c r="CZ80" s="408"/>
      <c r="DA80" s="409"/>
      <c r="DB80" s="473"/>
      <c r="DC80" s="467"/>
      <c r="DD80" s="469"/>
      <c r="DE80" s="467"/>
      <c r="DF80" s="407"/>
    </row>
    <row r="81" spans="1:110" ht="16.899999999999999" customHeight="1" x14ac:dyDescent="0.2">
      <c r="A81" s="130" t="s">
        <v>2228</v>
      </c>
      <c r="B81" s="96">
        <v>66</v>
      </c>
      <c r="C81" s="82" t="s">
        <v>2433</v>
      </c>
      <c r="D81" s="96">
        <v>33</v>
      </c>
      <c r="E81" s="82" t="s">
        <v>1555</v>
      </c>
      <c r="F81" s="82" t="s">
        <v>2409</v>
      </c>
      <c r="G81" s="101">
        <v>4487.91</v>
      </c>
      <c r="H81" s="98">
        <v>0.05</v>
      </c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101">
        <v>2564.39</v>
      </c>
      <c r="AB81" s="102">
        <v>57.14</v>
      </c>
      <c r="AC81" s="102">
        <v>57.14</v>
      </c>
      <c r="AD81" s="101">
        <v>1923.52</v>
      </c>
      <c r="AE81" s="102">
        <v>42.86</v>
      </c>
      <c r="AF81" s="100">
        <v>100</v>
      </c>
      <c r="AG81" s="99"/>
      <c r="AH81" s="99"/>
      <c r="AI81" s="100">
        <v>100</v>
      </c>
      <c r="AJ81" s="99"/>
      <c r="AK81" s="99"/>
      <c r="AL81" s="100">
        <v>100</v>
      </c>
      <c r="AM81" s="99"/>
      <c r="AN81" s="99"/>
      <c r="AO81" s="100">
        <v>100</v>
      </c>
      <c r="AP81" s="99"/>
      <c r="AQ81" s="99"/>
      <c r="AR81" s="100">
        <v>100</v>
      </c>
      <c r="AS81" s="99"/>
      <c r="AT81" s="99"/>
      <c r="AU81" s="100">
        <v>100</v>
      </c>
      <c r="AV81" s="99"/>
      <c r="AW81" s="99"/>
      <c r="AX81" s="100">
        <v>100</v>
      </c>
      <c r="AY81" s="99"/>
      <c r="AZ81" s="99"/>
      <c r="BA81" s="100">
        <v>100</v>
      </c>
      <c r="BB81" s="99"/>
      <c r="BC81" s="99"/>
      <c r="BD81" s="100">
        <v>100</v>
      </c>
      <c r="BE81" s="99"/>
      <c r="BF81" s="99"/>
      <c r="BG81" s="100">
        <v>100</v>
      </c>
      <c r="BH81" s="99"/>
      <c r="BI81" s="99"/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100">
        <v>100</v>
      </c>
      <c r="BW81" s="99"/>
      <c r="BX81" s="99"/>
      <c r="BY81" s="100">
        <v>100</v>
      </c>
      <c r="BZ81" s="99"/>
      <c r="CA81" s="99"/>
      <c r="CB81" s="100">
        <v>100</v>
      </c>
      <c r="CC81" s="99"/>
      <c r="CD81" s="99"/>
      <c r="CE81" s="989">
        <v>100</v>
      </c>
      <c r="CF81" s="406"/>
      <c r="CG81" s="406"/>
      <c r="CH81" s="407"/>
      <c r="CI81" s="406"/>
      <c r="CJ81" s="406"/>
      <c r="CK81" s="407"/>
      <c r="CL81" s="406"/>
      <c r="CM81" s="406"/>
      <c r="CN81" s="406"/>
      <c r="CO81" s="467"/>
      <c r="CP81" s="467"/>
      <c r="CQ81" s="407"/>
      <c r="CR81" s="406"/>
      <c r="CS81" s="406"/>
      <c r="CT81" s="407"/>
      <c r="CU81" s="406"/>
      <c r="CV81" s="406"/>
      <c r="CW81" s="407"/>
      <c r="CX81" s="467"/>
      <c r="CY81" s="467"/>
      <c r="CZ81" s="406"/>
      <c r="DA81" s="407"/>
      <c r="DB81" s="467"/>
      <c r="DC81" s="467"/>
      <c r="DD81" s="467"/>
      <c r="DE81" s="467"/>
      <c r="DF81" s="407"/>
    </row>
    <row r="82" spans="1:110" ht="16.899999999999999" customHeight="1" x14ac:dyDescent="0.2">
      <c r="A82" s="130" t="s">
        <v>105</v>
      </c>
      <c r="B82" s="88">
        <v>67</v>
      </c>
      <c r="C82" s="87" t="s">
        <v>337</v>
      </c>
      <c r="D82" s="103">
        <v>138</v>
      </c>
      <c r="E82" s="87" t="s">
        <v>1950</v>
      </c>
      <c r="F82" s="87" t="s">
        <v>2176</v>
      </c>
      <c r="G82" s="360">
        <v>1069382.3799999999</v>
      </c>
      <c r="H82" s="91">
        <v>12.16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105">
        <v>183181.84</v>
      </c>
      <c r="Y82" s="91">
        <v>17.13</v>
      </c>
      <c r="Z82" s="91">
        <v>17.13</v>
      </c>
      <c r="AA82" s="105">
        <v>152415.84</v>
      </c>
      <c r="AB82" s="91">
        <v>14.25</v>
      </c>
      <c r="AC82" s="91">
        <v>31.38</v>
      </c>
      <c r="AD82" s="105">
        <v>166823.81</v>
      </c>
      <c r="AE82" s="91">
        <v>15.6</v>
      </c>
      <c r="AF82" s="91">
        <v>46.98</v>
      </c>
      <c r="AG82" s="105">
        <v>124580.27</v>
      </c>
      <c r="AH82" s="91">
        <v>11.65</v>
      </c>
      <c r="AI82" s="91">
        <v>58.63</v>
      </c>
      <c r="AJ82" s="105">
        <v>181051.28</v>
      </c>
      <c r="AK82" s="91">
        <v>16.93</v>
      </c>
      <c r="AL82" s="91">
        <v>75.56</v>
      </c>
      <c r="AM82" s="105">
        <v>202057.74</v>
      </c>
      <c r="AN82" s="91">
        <v>18.89</v>
      </c>
      <c r="AO82" s="91">
        <v>94.46</v>
      </c>
      <c r="AP82" s="89">
        <v>59271.6</v>
      </c>
      <c r="AQ82" s="90">
        <v>5.54</v>
      </c>
      <c r="AR82" s="93">
        <v>100</v>
      </c>
      <c r="AS82" s="94"/>
      <c r="AT82" s="94"/>
      <c r="AU82" s="93">
        <v>100</v>
      </c>
      <c r="AV82" s="94"/>
      <c r="AW82" s="94"/>
      <c r="AX82" s="93">
        <v>100</v>
      </c>
      <c r="AY82" s="94"/>
      <c r="AZ82" s="94"/>
      <c r="BA82" s="93">
        <v>100</v>
      </c>
      <c r="BB82" s="94"/>
      <c r="BC82" s="94"/>
      <c r="BD82" s="93">
        <v>100</v>
      </c>
      <c r="BE82" s="94"/>
      <c r="BF82" s="94"/>
      <c r="BG82" s="93">
        <v>100</v>
      </c>
      <c r="BH82" s="94"/>
      <c r="BI82" s="94"/>
      <c r="BJ82" s="93">
        <v>100</v>
      </c>
      <c r="BK82" s="94"/>
      <c r="BL82" s="94"/>
      <c r="BM82" s="93">
        <v>100</v>
      </c>
      <c r="BN82" s="94"/>
      <c r="BO82" s="94"/>
      <c r="BP82" s="93">
        <v>100</v>
      </c>
      <c r="BQ82" s="94"/>
      <c r="BR82" s="94"/>
      <c r="BS82" s="93">
        <v>100</v>
      </c>
      <c r="BT82" s="94"/>
      <c r="BU82" s="94"/>
      <c r="BV82" s="93">
        <v>100</v>
      </c>
      <c r="BW82" s="94"/>
      <c r="BX82" s="94"/>
      <c r="BY82" s="93">
        <v>100</v>
      </c>
      <c r="BZ82" s="94"/>
      <c r="CA82" s="94"/>
      <c r="CB82" s="93">
        <v>100</v>
      </c>
      <c r="CC82" s="94"/>
      <c r="CD82" s="94"/>
      <c r="CE82" s="988">
        <v>100</v>
      </c>
      <c r="CF82" s="406"/>
      <c r="CG82" s="406"/>
      <c r="CH82" s="407"/>
      <c r="CI82" s="406"/>
      <c r="CJ82" s="406"/>
      <c r="CK82" s="407"/>
      <c r="CL82" s="406"/>
      <c r="CM82" s="406"/>
      <c r="CN82" s="406"/>
      <c r="CO82" s="469"/>
      <c r="CP82" s="467"/>
      <c r="CQ82" s="409"/>
      <c r="CR82" s="409"/>
      <c r="CS82" s="408"/>
      <c r="CT82" s="409"/>
      <c r="CU82" s="409"/>
      <c r="CV82" s="408"/>
      <c r="CW82" s="409"/>
      <c r="CX82" s="473"/>
      <c r="CY82" s="467"/>
      <c r="CZ82" s="408"/>
      <c r="DA82" s="409"/>
      <c r="DB82" s="473"/>
      <c r="DC82" s="467"/>
      <c r="DD82" s="469"/>
      <c r="DE82" s="467"/>
      <c r="DF82" s="407"/>
    </row>
    <row r="83" spans="1:110" ht="8.4499999999999993" customHeight="1" x14ac:dyDescent="0.2">
      <c r="A83" s="130" t="s">
        <v>106</v>
      </c>
      <c r="B83" s="96">
        <v>68</v>
      </c>
      <c r="C83" s="82" t="s">
        <v>2434</v>
      </c>
      <c r="D83" s="104">
        <v>138</v>
      </c>
      <c r="E83" s="82" t="s">
        <v>1950</v>
      </c>
      <c r="F83" s="82" t="s">
        <v>2176</v>
      </c>
      <c r="G83" s="106">
        <v>437872.99</v>
      </c>
      <c r="H83" s="98">
        <v>4.9800000000000004</v>
      </c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7">
        <v>78204.12</v>
      </c>
      <c r="Y83" s="102">
        <v>17.86</v>
      </c>
      <c r="Z83" s="102">
        <v>17.86</v>
      </c>
      <c r="AA83" s="97">
        <v>64630.05</v>
      </c>
      <c r="AB83" s="102">
        <v>14.76</v>
      </c>
      <c r="AC83" s="102">
        <v>32.619999999999997</v>
      </c>
      <c r="AD83" s="97">
        <v>60557.83</v>
      </c>
      <c r="AE83" s="102">
        <v>13.83</v>
      </c>
      <c r="AF83" s="102">
        <v>46.45</v>
      </c>
      <c r="AG83" s="97">
        <v>49742.37</v>
      </c>
      <c r="AH83" s="102">
        <v>11.36</v>
      </c>
      <c r="AI83" s="102">
        <v>57.81</v>
      </c>
      <c r="AJ83" s="97">
        <v>76146.11</v>
      </c>
      <c r="AK83" s="102">
        <v>17.39</v>
      </c>
      <c r="AL83" s="102">
        <v>75.2</v>
      </c>
      <c r="AM83" s="97">
        <v>84071.61</v>
      </c>
      <c r="AN83" s="102">
        <v>19.2</v>
      </c>
      <c r="AO83" s="102">
        <v>94.4</v>
      </c>
      <c r="AP83" s="97">
        <v>24520.89</v>
      </c>
      <c r="AQ83" s="98">
        <v>5.6</v>
      </c>
      <c r="AR83" s="100">
        <v>100</v>
      </c>
      <c r="AS83" s="99"/>
      <c r="AT83" s="99"/>
      <c r="AU83" s="100">
        <v>100</v>
      </c>
      <c r="AV83" s="99"/>
      <c r="AW83" s="99"/>
      <c r="AX83" s="100">
        <v>100</v>
      </c>
      <c r="AY83" s="99"/>
      <c r="AZ83" s="99"/>
      <c r="BA83" s="100">
        <v>100</v>
      </c>
      <c r="BB83" s="99"/>
      <c r="BC83" s="99"/>
      <c r="BD83" s="100">
        <v>100</v>
      </c>
      <c r="BE83" s="99"/>
      <c r="BF83" s="99"/>
      <c r="BG83" s="100">
        <v>100</v>
      </c>
      <c r="BH83" s="99"/>
      <c r="BI83" s="99"/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100">
        <v>100</v>
      </c>
      <c r="BW83" s="99"/>
      <c r="BX83" s="99"/>
      <c r="BY83" s="100">
        <v>100</v>
      </c>
      <c r="BZ83" s="99"/>
      <c r="CA83" s="99"/>
      <c r="CB83" s="100">
        <v>100</v>
      </c>
      <c r="CC83" s="99"/>
      <c r="CD83" s="99"/>
      <c r="CE83" s="989">
        <v>100</v>
      </c>
      <c r="CF83" s="406"/>
      <c r="CG83" s="406"/>
      <c r="CH83" s="407"/>
      <c r="CI83" s="406"/>
      <c r="CJ83" s="406"/>
      <c r="CK83" s="407"/>
      <c r="CL83" s="406"/>
      <c r="CM83" s="406"/>
      <c r="CN83" s="406"/>
      <c r="CO83" s="469"/>
      <c r="CP83" s="467"/>
      <c r="CQ83" s="409"/>
      <c r="CR83" s="407"/>
      <c r="CS83" s="408"/>
      <c r="CT83" s="409"/>
      <c r="CU83" s="407"/>
      <c r="CV83" s="408"/>
      <c r="CW83" s="407"/>
      <c r="CX83" s="467"/>
      <c r="CY83" s="467"/>
      <c r="CZ83" s="406"/>
      <c r="DA83" s="407"/>
      <c r="DB83" s="467"/>
      <c r="DC83" s="467"/>
      <c r="DD83" s="467"/>
      <c r="DE83" s="467"/>
      <c r="DF83" s="407"/>
    </row>
    <row r="84" spans="1:110" ht="8.4499999999999993" customHeight="1" x14ac:dyDescent="0.2">
      <c r="A84" s="130" t="s">
        <v>107</v>
      </c>
      <c r="B84" s="96">
        <v>69</v>
      </c>
      <c r="C84" s="82" t="s">
        <v>2431</v>
      </c>
      <c r="D84" s="104">
        <v>138</v>
      </c>
      <c r="E84" s="82" t="s">
        <v>1950</v>
      </c>
      <c r="F84" s="82" t="s">
        <v>2176</v>
      </c>
      <c r="G84" s="106">
        <v>393014.85</v>
      </c>
      <c r="H84" s="98">
        <v>4.47</v>
      </c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7">
        <v>65515.58</v>
      </c>
      <c r="Y84" s="102">
        <v>16.670000000000002</v>
      </c>
      <c r="Z84" s="102">
        <v>16.670000000000002</v>
      </c>
      <c r="AA84" s="97">
        <v>55297.19</v>
      </c>
      <c r="AB84" s="102">
        <v>14.07</v>
      </c>
      <c r="AC84" s="102">
        <v>30.74</v>
      </c>
      <c r="AD84" s="97">
        <v>66655.320000000007</v>
      </c>
      <c r="AE84" s="102">
        <v>16.96</v>
      </c>
      <c r="AF84" s="102">
        <v>47.7</v>
      </c>
      <c r="AG84" s="97">
        <v>46532.959999999999</v>
      </c>
      <c r="AH84" s="102">
        <v>11.84</v>
      </c>
      <c r="AI84" s="102">
        <v>59.54</v>
      </c>
      <c r="AJ84" s="97">
        <v>64768.85</v>
      </c>
      <c r="AK84" s="102">
        <v>16.48</v>
      </c>
      <c r="AL84" s="102">
        <v>76.02</v>
      </c>
      <c r="AM84" s="97">
        <v>72982.86</v>
      </c>
      <c r="AN84" s="102">
        <v>18.57</v>
      </c>
      <c r="AO84" s="102">
        <v>94.59</v>
      </c>
      <c r="AP84" s="97">
        <v>21262.1</v>
      </c>
      <c r="AQ84" s="98">
        <v>5.41</v>
      </c>
      <c r="AR84" s="100">
        <v>100</v>
      </c>
      <c r="AS84" s="99"/>
      <c r="AT84" s="99"/>
      <c r="AU84" s="100">
        <v>100</v>
      </c>
      <c r="AV84" s="99"/>
      <c r="AW84" s="99"/>
      <c r="AX84" s="100">
        <v>100</v>
      </c>
      <c r="AY84" s="99"/>
      <c r="AZ84" s="99"/>
      <c r="BA84" s="100">
        <v>100</v>
      </c>
      <c r="BB84" s="99"/>
      <c r="BC84" s="99"/>
      <c r="BD84" s="100">
        <v>100</v>
      </c>
      <c r="BE84" s="99"/>
      <c r="BF84" s="99"/>
      <c r="BG84" s="100">
        <v>100</v>
      </c>
      <c r="BH84" s="99"/>
      <c r="BI84" s="99"/>
      <c r="BJ84" s="100">
        <v>100</v>
      </c>
      <c r="BK84" s="99"/>
      <c r="BL84" s="99"/>
      <c r="BM84" s="100">
        <v>100</v>
      </c>
      <c r="BN84" s="99"/>
      <c r="BO84" s="99"/>
      <c r="BP84" s="100">
        <v>100</v>
      </c>
      <c r="BQ84" s="99"/>
      <c r="BR84" s="99"/>
      <c r="BS84" s="100">
        <v>100</v>
      </c>
      <c r="BT84" s="99"/>
      <c r="BU84" s="99"/>
      <c r="BV84" s="100">
        <v>100</v>
      </c>
      <c r="BW84" s="99"/>
      <c r="BX84" s="99"/>
      <c r="BY84" s="100">
        <v>100</v>
      </c>
      <c r="BZ84" s="99"/>
      <c r="CA84" s="99"/>
      <c r="CB84" s="100">
        <v>100</v>
      </c>
      <c r="CC84" s="99"/>
      <c r="CD84" s="99"/>
      <c r="CE84" s="989">
        <v>100</v>
      </c>
      <c r="CF84" s="406"/>
      <c r="CG84" s="406"/>
      <c r="CH84" s="407"/>
      <c r="CI84" s="406"/>
      <c r="CJ84" s="406"/>
      <c r="CK84" s="407"/>
      <c r="CL84" s="406"/>
      <c r="CM84" s="406"/>
      <c r="CN84" s="406"/>
      <c r="CO84" s="469"/>
      <c r="CP84" s="467"/>
      <c r="CQ84" s="409"/>
      <c r="CR84" s="407"/>
      <c r="CS84" s="408"/>
      <c r="CT84" s="409"/>
      <c r="CU84" s="407"/>
      <c r="CV84" s="408"/>
      <c r="CW84" s="407"/>
      <c r="CX84" s="467"/>
      <c r="CY84" s="467"/>
      <c r="CZ84" s="406"/>
      <c r="DA84" s="407"/>
      <c r="DB84" s="467"/>
      <c r="DC84" s="467"/>
      <c r="DD84" s="467"/>
      <c r="DE84" s="467"/>
      <c r="DF84" s="407"/>
    </row>
    <row r="85" spans="1:110" ht="8.4499999999999993" customHeight="1" x14ac:dyDescent="0.2">
      <c r="A85" s="130" t="s">
        <v>614</v>
      </c>
      <c r="B85" s="96">
        <v>70</v>
      </c>
      <c r="C85" s="82" t="s">
        <v>2435</v>
      </c>
      <c r="D85" s="104">
        <v>138</v>
      </c>
      <c r="E85" s="82" t="s">
        <v>1950</v>
      </c>
      <c r="F85" s="82" t="s">
        <v>2176</v>
      </c>
      <c r="G85" s="106">
        <v>219830.42</v>
      </c>
      <c r="H85" s="98">
        <v>2.5</v>
      </c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7">
        <v>36645.730000000003</v>
      </c>
      <c r="Y85" s="102">
        <v>16.670000000000002</v>
      </c>
      <c r="Z85" s="102">
        <v>16.670000000000002</v>
      </c>
      <c r="AA85" s="97">
        <v>30930.14</v>
      </c>
      <c r="AB85" s="102">
        <v>14.07</v>
      </c>
      <c r="AC85" s="102">
        <v>30.74</v>
      </c>
      <c r="AD85" s="97">
        <v>37283.24</v>
      </c>
      <c r="AE85" s="102">
        <v>16.96</v>
      </c>
      <c r="AF85" s="102">
        <v>47.7</v>
      </c>
      <c r="AG85" s="97">
        <v>26027.919999999998</v>
      </c>
      <c r="AH85" s="102">
        <v>11.84</v>
      </c>
      <c r="AI85" s="102">
        <v>59.54</v>
      </c>
      <c r="AJ85" s="97">
        <v>36228.050000000003</v>
      </c>
      <c r="AK85" s="102">
        <v>16.48</v>
      </c>
      <c r="AL85" s="102">
        <v>76.02</v>
      </c>
      <c r="AM85" s="97">
        <v>40822.51</v>
      </c>
      <c r="AN85" s="102">
        <v>18.57</v>
      </c>
      <c r="AO85" s="102">
        <v>94.59</v>
      </c>
      <c r="AP85" s="97">
        <v>11892.83</v>
      </c>
      <c r="AQ85" s="98">
        <v>5.41</v>
      </c>
      <c r="AR85" s="100">
        <v>100</v>
      </c>
      <c r="AS85" s="99"/>
      <c r="AT85" s="99"/>
      <c r="AU85" s="100">
        <v>100</v>
      </c>
      <c r="AV85" s="99"/>
      <c r="AW85" s="99"/>
      <c r="AX85" s="100">
        <v>100</v>
      </c>
      <c r="AY85" s="99"/>
      <c r="AZ85" s="99"/>
      <c r="BA85" s="100">
        <v>100</v>
      </c>
      <c r="BB85" s="99"/>
      <c r="BC85" s="99"/>
      <c r="BD85" s="100">
        <v>100</v>
      </c>
      <c r="BE85" s="99"/>
      <c r="BF85" s="99"/>
      <c r="BG85" s="100">
        <v>100</v>
      </c>
      <c r="BH85" s="99"/>
      <c r="BI85" s="99"/>
      <c r="BJ85" s="100">
        <v>100</v>
      </c>
      <c r="BK85" s="99"/>
      <c r="BL85" s="99"/>
      <c r="BM85" s="100">
        <v>100</v>
      </c>
      <c r="BN85" s="99"/>
      <c r="BO85" s="99"/>
      <c r="BP85" s="100">
        <v>100</v>
      </c>
      <c r="BQ85" s="99"/>
      <c r="BR85" s="99"/>
      <c r="BS85" s="100">
        <v>100</v>
      </c>
      <c r="BT85" s="99"/>
      <c r="BU85" s="99"/>
      <c r="BV85" s="100">
        <v>100</v>
      </c>
      <c r="BW85" s="99"/>
      <c r="BX85" s="99"/>
      <c r="BY85" s="100">
        <v>100</v>
      </c>
      <c r="BZ85" s="99"/>
      <c r="CA85" s="99"/>
      <c r="CB85" s="100">
        <v>100</v>
      </c>
      <c r="CC85" s="99"/>
      <c r="CD85" s="99"/>
      <c r="CE85" s="989">
        <v>100</v>
      </c>
      <c r="CF85" s="406"/>
      <c r="CG85" s="406"/>
      <c r="CH85" s="407"/>
      <c r="CI85" s="406"/>
      <c r="CJ85" s="406"/>
      <c r="CK85" s="407"/>
      <c r="CL85" s="406"/>
      <c r="CM85" s="406"/>
      <c r="CN85" s="406"/>
      <c r="CO85" s="467"/>
      <c r="CP85" s="467"/>
      <c r="CQ85" s="406"/>
      <c r="CR85" s="406"/>
      <c r="CS85" s="406"/>
      <c r="CT85" s="406"/>
      <c r="CU85" s="407"/>
      <c r="CV85" s="409"/>
      <c r="CW85" s="409"/>
      <c r="CX85" s="468"/>
      <c r="CY85" s="467"/>
      <c r="CZ85" s="409"/>
      <c r="DA85" s="409"/>
      <c r="DB85" s="468"/>
      <c r="DC85" s="467"/>
      <c r="DD85" s="473"/>
      <c r="DE85" s="467"/>
      <c r="DF85" s="407"/>
    </row>
    <row r="86" spans="1:110" ht="8.4499999999999993" customHeight="1" x14ac:dyDescent="0.2">
      <c r="A86" s="130" t="s">
        <v>615</v>
      </c>
      <c r="B86" s="96">
        <v>71</v>
      </c>
      <c r="C86" s="82" t="s">
        <v>2436</v>
      </c>
      <c r="D86" s="104">
        <v>138</v>
      </c>
      <c r="E86" s="82" t="s">
        <v>1950</v>
      </c>
      <c r="F86" s="82" t="s">
        <v>2176</v>
      </c>
      <c r="G86" s="97">
        <v>18664.12</v>
      </c>
      <c r="H86" s="98">
        <v>0.21</v>
      </c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101">
        <v>2816.42</v>
      </c>
      <c r="Y86" s="102">
        <v>15.09</v>
      </c>
      <c r="Z86" s="102">
        <v>15.09</v>
      </c>
      <c r="AA86" s="101">
        <v>1558.45</v>
      </c>
      <c r="AB86" s="98">
        <v>8.35</v>
      </c>
      <c r="AC86" s="102">
        <v>23.44</v>
      </c>
      <c r="AD86" s="101">
        <v>2327.42</v>
      </c>
      <c r="AE86" s="102">
        <v>12.47</v>
      </c>
      <c r="AF86" s="102">
        <v>35.909999999999997</v>
      </c>
      <c r="AG86" s="101">
        <v>2277.02</v>
      </c>
      <c r="AH86" s="102">
        <v>12.2</v>
      </c>
      <c r="AI86" s="102">
        <v>48.11</v>
      </c>
      <c r="AJ86" s="101">
        <v>3908.27</v>
      </c>
      <c r="AK86" s="102">
        <v>20.94</v>
      </c>
      <c r="AL86" s="102">
        <v>69.05</v>
      </c>
      <c r="AM86" s="101">
        <v>4180.76</v>
      </c>
      <c r="AN86" s="102">
        <v>22.4</v>
      </c>
      <c r="AO86" s="102">
        <v>91.45</v>
      </c>
      <c r="AP86" s="101">
        <v>1595.78</v>
      </c>
      <c r="AQ86" s="98">
        <v>8.5500000000000007</v>
      </c>
      <c r="AR86" s="100">
        <v>100</v>
      </c>
      <c r="AS86" s="99"/>
      <c r="AT86" s="99"/>
      <c r="AU86" s="100">
        <v>100</v>
      </c>
      <c r="AV86" s="99"/>
      <c r="AW86" s="99"/>
      <c r="AX86" s="100">
        <v>100</v>
      </c>
      <c r="AY86" s="99"/>
      <c r="AZ86" s="99"/>
      <c r="BA86" s="100">
        <v>100</v>
      </c>
      <c r="BB86" s="99"/>
      <c r="BC86" s="99"/>
      <c r="BD86" s="100">
        <v>100</v>
      </c>
      <c r="BE86" s="99"/>
      <c r="BF86" s="99"/>
      <c r="BG86" s="100">
        <v>100</v>
      </c>
      <c r="BH86" s="99"/>
      <c r="BI86" s="99"/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100">
        <v>100</v>
      </c>
      <c r="BW86" s="99"/>
      <c r="BX86" s="99"/>
      <c r="BY86" s="100">
        <v>100</v>
      </c>
      <c r="BZ86" s="99"/>
      <c r="CA86" s="99"/>
      <c r="CB86" s="100">
        <v>100</v>
      </c>
      <c r="CC86" s="99"/>
      <c r="CD86" s="99"/>
      <c r="CE86" s="989">
        <v>100</v>
      </c>
      <c r="CF86" s="406"/>
      <c r="CG86" s="406"/>
      <c r="CH86" s="407"/>
      <c r="CI86" s="406"/>
      <c r="CJ86" s="406"/>
      <c r="CK86" s="407"/>
      <c r="CL86" s="406"/>
      <c r="CM86" s="406"/>
      <c r="CN86" s="406"/>
      <c r="CO86" s="474"/>
      <c r="CP86" s="464"/>
      <c r="CQ86" s="405"/>
      <c r="CR86" s="460"/>
      <c r="CS86" s="460"/>
      <c r="CT86" s="405"/>
      <c r="CU86" s="460"/>
      <c r="CV86" s="460"/>
      <c r="CW86" s="405"/>
      <c r="CX86" s="464"/>
      <c r="CY86" s="464"/>
      <c r="CZ86" s="460"/>
      <c r="DA86" s="405"/>
      <c r="DB86" s="464"/>
      <c r="DC86" s="464"/>
      <c r="DD86" s="464"/>
      <c r="DE86" s="464"/>
      <c r="DF86" s="405"/>
    </row>
    <row r="87" spans="1:110" ht="8.4499999999999993" customHeight="1" x14ac:dyDescent="0.2">
      <c r="A87" s="130" t="s">
        <v>108</v>
      </c>
      <c r="B87" s="88">
        <v>72</v>
      </c>
      <c r="C87" s="87" t="s">
        <v>338</v>
      </c>
      <c r="D87" s="103">
        <v>290</v>
      </c>
      <c r="E87" s="87" t="s">
        <v>2437</v>
      </c>
      <c r="F87" s="87" t="s">
        <v>2026</v>
      </c>
      <c r="G87" s="105">
        <v>217000.26</v>
      </c>
      <c r="H87" s="90">
        <v>2.4700000000000002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89">
        <v>14327.01</v>
      </c>
      <c r="AK87" s="90">
        <v>6.68</v>
      </c>
      <c r="AL87" s="90">
        <v>6.68</v>
      </c>
      <c r="AM87" s="89">
        <v>58582.95</v>
      </c>
      <c r="AN87" s="91">
        <v>27.24</v>
      </c>
      <c r="AO87" s="91">
        <v>33.92</v>
      </c>
      <c r="AP87" s="89">
        <v>56189.279999999999</v>
      </c>
      <c r="AQ87" s="91">
        <v>26.13</v>
      </c>
      <c r="AR87" s="91">
        <v>60.05</v>
      </c>
      <c r="AS87" s="89">
        <v>27647.61</v>
      </c>
      <c r="AT87" s="91">
        <v>12.88</v>
      </c>
      <c r="AU87" s="91">
        <v>72.930000000000007</v>
      </c>
      <c r="AV87" s="92">
        <v>2703.46</v>
      </c>
      <c r="AW87" s="90">
        <v>1.22</v>
      </c>
      <c r="AX87" s="91">
        <v>74.150000000000006</v>
      </c>
      <c r="AY87" s="89">
        <v>19052.95</v>
      </c>
      <c r="AZ87" s="90">
        <v>7.88</v>
      </c>
      <c r="BA87" s="91">
        <v>82.03</v>
      </c>
      <c r="BB87" s="92">
        <v>6271.92</v>
      </c>
      <c r="BC87" s="90">
        <v>2.93</v>
      </c>
      <c r="BD87" s="91">
        <v>84.95</v>
      </c>
      <c r="BE87" s="93">
        <v>168.08</v>
      </c>
      <c r="BF87" s="90">
        <v>0.08</v>
      </c>
      <c r="BG87" s="91">
        <v>85.03</v>
      </c>
      <c r="BH87" s="94"/>
      <c r="BI87" s="94"/>
      <c r="BJ87" s="91">
        <v>85.03</v>
      </c>
      <c r="BK87" s="94"/>
      <c r="BL87" s="94"/>
      <c r="BM87" s="91">
        <v>85.03</v>
      </c>
      <c r="BN87" s="93">
        <v>560</v>
      </c>
      <c r="BO87" s="90">
        <v>0.26</v>
      </c>
      <c r="BP87" s="91">
        <v>85.29</v>
      </c>
      <c r="BQ87" s="89">
        <v>20535</v>
      </c>
      <c r="BR87" s="90">
        <v>9.59</v>
      </c>
      <c r="BS87" s="91">
        <v>94.88</v>
      </c>
      <c r="BT87" s="92">
        <v>5481</v>
      </c>
      <c r="BU87" s="90">
        <v>2.56</v>
      </c>
      <c r="BV87" s="91">
        <v>97.44</v>
      </c>
      <c r="BW87" s="92">
        <v>5481</v>
      </c>
      <c r="BX87" s="90">
        <v>2.56</v>
      </c>
      <c r="BY87" s="93">
        <v>100</v>
      </c>
      <c r="BZ87" s="94"/>
      <c r="CA87" s="94"/>
      <c r="CB87" s="93">
        <v>100</v>
      </c>
      <c r="CC87" s="94"/>
      <c r="CD87" s="94"/>
      <c r="CE87" s="988">
        <v>100</v>
      </c>
      <c r="CF87" s="460"/>
      <c r="CG87" s="460"/>
      <c r="CH87" s="405"/>
      <c r="CI87" s="460"/>
      <c r="CJ87" s="460"/>
      <c r="CK87" s="405"/>
      <c r="CL87" s="460"/>
      <c r="CM87" s="460"/>
      <c r="CN87" s="460"/>
      <c r="CO87" s="467"/>
      <c r="CP87" s="467"/>
      <c r="CQ87" s="407"/>
      <c r="CR87" s="406"/>
      <c r="CS87" s="406"/>
      <c r="CT87" s="407"/>
      <c r="CU87" s="406"/>
      <c r="CV87" s="406"/>
      <c r="CW87" s="407"/>
      <c r="CX87" s="467"/>
      <c r="CY87" s="467"/>
      <c r="CZ87" s="406"/>
      <c r="DA87" s="407"/>
      <c r="DB87" s="467"/>
      <c r="DC87" s="467"/>
      <c r="DD87" s="467"/>
      <c r="DE87" s="467"/>
      <c r="DF87" s="407"/>
    </row>
    <row r="88" spans="1:110" ht="16.899999999999999" customHeight="1" x14ac:dyDescent="0.2">
      <c r="A88" s="130" t="s">
        <v>617</v>
      </c>
      <c r="B88" s="88">
        <v>73</v>
      </c>
      <c r="C88" s="87" t="s">
        <v>339</v>
      </c>
      <c r="D88" s="103">
        <v>100</v>
      </c>
      <c r="E88" s="87" t="s">
        <v>2437</v>
      </c>
      <c r="F88" s="87" t="s">
        <v>2016</v>
      </c>
      <c r="G88" s="105">
        <v>131453.79999999999</v>
      </c>
      <c r="H88" s="90">
        <v>1.49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89">
        <v>13891.94</v>
      </c>
      <c r="AK88" s="91">
        <v>10.57</v>
      </c>
      <c r="AL88" s="91">
        <v>10.57</v>
      </c>
      <c r="AM88" s="89">
        <v>52825.43</v>
      </c>
      <c r="AN88" s="91">
        <v>40.19</v>
      </c>
      <c r="AO88" s="91">
        <v>50.75</v>
      </c>
      <c r="AP88" s="89">
        <v>44373.51</v>
      </c>
      <c r="AQ88" s="91">
        <v>33.76</v>
      </c>
      <c r="AR88" s="91">
        <v>84.51</v>
      </c>
      <c r="AS88" s="89">
        <v>20357.91</v>
      </c>
      <c r="AT88" s="91">
        <v>15.49</v>
      </c>
      <c r="AU88" s="93">
        <v>100</v>
      </c>
      <c r="AV88" s="90">
        <v>5.0199999999999996</v>
      </c>
      <c r="AW88" s="90">
        <v>0</v>
      </c>
      <c r="AX88" s="93">
        <v>100</v>
      </c>
      <c r="AY88" s="94"/>
      <c r="AZ88" s="94"/>
      <c r="BA88" s="93">
        <v>100</v>
      </c>
      <c r="BB88" s="94"/>
      <c r="BC88" s="94"/>
      <c r="BD88" s="93">
        <v>100</v>
      </c>
      <c r="BE88" s="94"/>
      <c r="BF88" s="94"/>
      <c r="BG88" s="93">
        <v>100</v>
      </c>
      <c r="BH88" s="94"/>
      <c r="BI88" s="94"/>
      <c r="BJ88" s="93">
        <v>100</v>
      </c>
      <c r="BK88" s="94"/>
      <c r="BL88" s="94"/>
      <c r="BM88" s="93">
        <v>100</v>
      </c>
      <c r="BN88" s="94"/>
      <c r="BO88" s="94"/>
      <c r="BP88" s="93">
        <v>100</v>
      </c>
      <c r="BQ88" s="94"/>
      <c r="BR88" s="94"/>
      <c r="BS88" s="93">
        <v>100</v>
      </c>
      <c r="BT88" s="94"/>
      <c r="BU88" s="94"/>
      <c r="BV88" s="93">
        <v>100</v>
      </c>
      <c r="BW88" s="94"/>
      <c r="BX88" s="94"/>
      <c r="BY88" s="93">
        <v>100</v>
      </c>
      <c r="BZ88" s="94"/>
      <c r="CA88" s="94"/>
      <c r="CB88" s="93">
        <v>100</v>
      </c>
      <c r="CC88" s="94"/>
      <c r="CD88" s="94"/>
      <c r="CE88" s="988">
        <v>100</v>
      </c>
      <c r="CF88" s="406"/>
      <c r="CG88" s="406"/>
      <c r="CH88" s="407"/>
      <c r="CI88" s="406"/>
      <c r="CJ88" s="406"/>
      <c r="CK88" s="407"/>
      <c r="CL88" s="406"/>
      <c r="CM88" s="406"/>
      <c r="CN88" s="406"/>
      <c r="CO88" s="473"/>
      <c r="CP88" s="467"/>
      <c r="CQ88" s="407"/>
      <c r="CR88" s="406"/>
      <c r="CS88" s="406"/>
      <c r="CT88" s="407"/>
      <c r="CU88" s="406"/>
      <c r="CV88" s="406"/>
      <c r="CW88" s="407"/>
      <c r="CX88" s="467"/>
      <c r="CY88" s="467"/>
      <c r="CZ88" s="406"/>
      <c r="DA88" s="407"/>
      <c r="DB88" s="467"/>
      <c r="DC88" s="467"/>
      <c r="DD88" s="467"/>
      <c r="DE88" s="467"/>
      <c r="DF88" s="407"/>
    </row>
    <row r="89" spans="1:110" ht="8.4499999999999993" customHeight="1" x14ac:dyDescent="0.2">
      <c r="A89" s="130" t="s">
        <v>619</v>
      </c>
      <c r="B89" s="96">
        <v>74</v>
      </c>
      <c r="C89" s="82" t="s">
        <v>2438</v>
      </c>
      <c r="D89" s="104">
        <v>100</v>
      </c>
      <c r="E89" s="82" t="s">
        <v>2437</v>
      </c>
      <c r="F89" s="82" t="s">
        <v>2016</v>
      </c>
      <c r="G89" s="101">
        <v>3998.57</v>
      </c>
      <c r="H89" s="98">
        <v>0.05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100">
        <v>111.56</v>
      </c>
      <c r="AK89" s="98">
        <v>2.79</v>
      </c>
      <c r="AL89" s="98">
        <v>2.79</v>
      </c>
      <c r="AM89" s="100">
        <v>743.33</v>
      </c>
      <c r="AN89" s="102">
        <v>18.59</v>
      </c>
      <c r="AO89" s="102">
        <v>21.38</v>
      </c>
      <c r="AP89" s="100">
        <v>725.34</v>
      </c>
      <c r="AQ89" s="102">
        <v>18.14</v>
      </c>
      <c r="AR89" s="102">
        <v>39.520000000000003</v>
      </c>
      <c r="AS89" s="101">
        <v>2418.34</v>
      </c>
      <c r="AT89" s="102">
        <v>60.48</v>
      </c>
      <c r="AU89" s="100">
        <v>100</v>
      </c>
      <c r="AV89" s="99"/>
      <c r="AW89" s="99"/>
      <c r="AX89" s="100">
        <v>100</v>
      </c>
      <c r="AY89" s="99"/>
      <c r="AZ89" s="99"/>
      <c r="BA89" s="100">
        <v>100</v>
      </c>
      <c r="BB89" s="99"/>
      <c r="BC89" s="99"/>
      <c r="BD89" s="100">
        <v>100</v>
      </c>
      <c r="BE89" s="99"/>
      <c r="BF89" s="99"/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100">
        <v>100</v>
      </c>
      <c r="BW89" s="99"/>
      <c r="BX89" s="99"/>
      <c r="BY89" s="100">
        <v>100</v>
      </c>
      <c r="BZ89" s="99"/>
      <c r="CA89" s="99"/>
      <c r="CB89" s="100">
        <v>100</v>
      </c>
      <c r="CC89" s="99"/>
      <c r="CD89" s="99"/>
      <c r="CE89" s="989">
        <v>100</v>
      </c>
      <c r="CF89" s="406"/>
      <c r="CG89" s="406"/>
      <c r="CH89" s="407"/>
      <c r="CI89" s="406"/>
      <c r="CJ89" s="406"/>
      <c r="CK89" s="407"/>
      <c r="CL89" s="406"/>
      <c r="CM89" s="406"/>
      <c r="CN89" s="406"/>
      <c r="CO89" s="467"/>
      <c r="CP89" s="467"/>
      <c r="CQ89" s="407"/>
      <c r="CR89" s="406"/>
      <c r="CS89" s="406"/>
      <c r="CT89" s="407"/>
      <c r="CU89" s="406"/>
      <c r="CV89" s="406"/>
      <c r="CW89" s="407"/>
      <c r="CX89" s="467"/>
      <c r="CY89" s="467"/>
      <c r="CZ89" s="406"/>
      <c r="DA89" s="407"/>
      <c r="DB89" s="467"/>
      <c r="DC89" s="467"/>
      <c r="DD89" s="467"/>
      <c r="DE89" s="467"/>
      <c r="DF89" s="407"/>
    </row>
    <row r="90" spans="1:110" ht="8.4499999999999993" customHeight="1" x14ac:dyDescent="0.2">
      <c r="A90" s="130" t="s">
        <v>620</v>
      </c>
      <c r="B90" s="96">
        <v>75</v>
      </c>
      <c r="C90" s="82" t="s">
        <v>2439</v>
      </c>
      <c r="D90" s="104">
        <v>100</v>
      </c>
      <c r="E90" s="82" t="s">
        <v>2437</v>
      </c>
      <c r="F90" s="82" t="s">
        <v>2016</v>
      </c>
      <c r="G90" s="97">
        <v>57643.79</v>
      </c>
      <c r="H90" s="98">
        <v>0.66</v>
      </c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101">
        <v>4749.8500000000004</v>
      </c>
      <c r="AK90" s="98">
        <v>8.24</v>
      </c>
      <c r="AL90" s="98">
        <v>8.24</v>
      </c>
      <c r="AM90" s="97">
        <v>23945.23</v>
      </c>
      <c r="AN90" s="102">
        <v>41.54</v>
      </c>
      <c r="AO90" s="102">
        <v>49.78</v>
      </c>
      <c r="AP90" s="97">
        <v>20550.009999999998</v>
      </c>
      <c r="AQ90" s="102">
        <v>35.65</v>
      </c>
      <c r="AR90" s="102">
        <v>85.43</v>
      </c>
      <c r="AS90" s="101">
        <v>8398.7000000000007</v>
      </c>
      <c r="AT90" s="102">
        <v>14.57</v>
      </c>
      <c r="AU90" s="100">
        <v>100</v>
      </c>
      <c r="AV90" s="99"/>
      <c r="AW90" s="99"/>
      <c r="AX90" s="100">
        <v>100</v>
      </c>
      <c r="AY90" s="99"/>
      <c r="AZ90" s="99"/>
      <c r="BA90" s="100">
        <v>100</v>
      </c>
      <c r="BB90" s="99"/>
      <c r="BC90" s="99"/>
      <c r="BD90" s="100">
        <v>100</v>
      </c>
      <c r="BE90" s="99"/>
      <c r="BF90" s="99"/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100">
        <v>100</v>
      </c>
      <c r="BW90" s="99"/>
      <c r="BX90" s="99"/>
      <c r="BY90" s="100">
        <v>100</v>
      </c>
      <c r="BZ90" s="99"/>
      <c r="CA90" s="99"/>
      <c r="CB90" s="100">
        <v>100</v>
      </c>
      <c r="CC90" s="99"/>
      <c r="CD90" s="99"/>
      <c r="CE90" s="989">
        <v>100</v>
      </c>
      <c r="CF90" s="406"/>
      <c r="CG90" s="406"/>
      <c r="CH90" s="407"/>
      <c r="CI90" s="406"/>
      <c r="CJ90" s="406"/>
      <c r="CK90" s="407"/>
      <c r="CL90" s="406"/>
      <c r="CM90" s="406"/>
      <c r="CN90" s="406"/>
      <c r="CO90" s="473"/>
      <c r="CP90" s="467"/>
      <c r="CQ90" s="407"/>
      <c r="CR90" s="406"/>
      <c r="CS90" s="406"/>
      <c r="CT90" s="407"/>
      <c r="CU90" s="406"/>
      <c r="CV90" s="406"/>
      <c r="CW90" s="407"/>
      <c r="CX90" s="467"/>
      <c r="CY90" s="467"/>
      <c r="CZ90" s="406"/>
      <c r="DA90" s="407"/>
      <c r="DB90" s="467"/>
      <c r="DC90" s="467"/>
      <c r="DD90" s="467"/>
      <c r="DE90" s="467"/>
      <c r="DF90" s="407"/>
    </row>
    <row r="91" spans="1:110" ht="8.4499999999999993" customHeight="1" x14ac:dyDescent="0.2">
      <c r="A91" s="130" t="s">
        <v>621</v>
      </c>
      <c r="B91" s="96">
        <v>76</v>
      </c>
      <c r="C91" s="82" t="s">
        <v>2440</v>
      </c>
      <c r="D91" s="104">
        <v>100</v>
      </c>
      <c r="E91" s="82" t="s">
        <v>2437</v>
      </c>
      <c r="F91" s="82" t="s">
        <v>2016</v>
      </c>
      <c r="G91" s="97">
        <v>19636.150000000001</v>
      </c>
      <c r="H91" s="98">
        <v>0.22</v>
      </c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101">
        <v>4223.74</v>
      </c>
      <c r="AK91" s="102">
        <v>21.51</v>
      </c>
      <c r="AL91" s="102">
        <v>21.51</v>
      </c>
      <c r="AM91" s="101">
        <v>8056.71</v>
      </c>
      <c r="AN91" s="102">
        <v>41.03</v>
      </c>
      <c r="AO91" s="102">
        <v>62.54</v>
      </c>
      <c r="AP91" s="101">
        <v>6063.64</v>
      </c>
      <c r="AQ91" s="102">
        <v>30.88</v>
      </c>
      <c r="AR91" s="102">
        <v>93.42</v>
      </c>
      <c r="AS91" s="101">
        <v>1292.06</v>
      </c>
      <c r="AT91" s="98">
        <v>6.58</v>
      </c>
      <c r="AU91" s="100">
        <v>100</v>
      </c>
      <c r="AV91" s="99"/>
      <c r="AW91" s="99"/>
      <c r="AX91" s="100">
        <v>100</v>
      </c>
      <c r="AY91" s="99"/>
      <c r="AZ91" s="99"/>
      <c r="BA91" s="100">
        <v>100</v>
      </c>
      <c r="BB91" s="99"/>
      <c r="BC91" s="99"/>
      <c r="BD91" s="100">
        <v>100</v>
      </c>
      <c r="BE91" s="99"/>
      <c r="BF91" s="99"/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100">
        <v>100</v>
      </c>
      <c r="BW91" s="99"/>
      <c r="BX91" s="99"/>
      <c r="BY91" s="100">
        <v>100</v>
      </c>
      <c r="BZ91" s="99"/>
      <c r="CA91" s="99"/>
      <c r="CB91" s="100">
        <v>100</v>
      </c>
      <c r="CC91" s="99"/>
      <c r="CD91" s="99"/>
      <c r="CE91" s="989">
        <v>100</v>
      </c>
      <c r="CF91" s="406"/>
      <c r="CG91" s="406"/>
      <c r="CH91" s="407"/>
      <c r="CI91" s="406"/>
      <c r="CJ91" s="406"/>
      <c r="CK91" s="407"/>
      <c r="CL91" s="406"/>
      <c r="CM91" s="406"/>
      <c r="CN91" s="406"/>
      <c r="CO91" s="467"/>
      <c r="CP91" s="467"/>
      <c r="CQ91" s="407"/>
      <c r="CR91" s="406"/>
      <c r="CS91" s="406"/>
      <c r="CT91" s="407"/>
      <c r="CU91" s="406"/>
      <c r="CV91" s="406"/>
      <c r="CW91" s="407"/>
      <c r="CX91" s="467"/>
      <c r="CY91" s="467"/>
      <c r="CZ91" s="406"/>
      <c r="DA91" s="407"/>
      <c r="DB91" s="467"/>
      <c r="DC91" s="467"/>
      <c r="DD91" s="467"/>
      <c r="DE91" s="467"/>
      <c r="DF91" s="407"/>
    </row>
    <row r="92" spans="1:110" ht="8.4499999999999993" customHeight="1" x14ac:dyDescent="0.2">
      <c r="A92" s="130" t="s">
        <v>622</v>
      </c>
      <c r="B92" s="96">
        <v>77</v>
      </c>
      <c r="C92" s="82" t="s">
        <v>2441</v>
      </c>
      <c r="D92" s="104">
        <v>100</v>
      </c>
      <c r="E92" s="82" t="s">
        <v>2437</v>
      </c>
      <c r="F92" s="82" t="s">
        <v>2016</v>
      </c>
      <c r="G92" s="97">
        <v>50175.29</v>
      </c>
      <c r="H92" s="98">
        <v>0.56999999999999995</v>
      </c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101">
        <v>4806.79</v>
      </c>
      <c r="AK92" s="98">
        <v>9.58</v>
      </c>
      <c r="AL92" s="98">
        <v>9.58</v>
      </c>
      <c r="AM92" s="97">
        <v>20080.150000000001</v>
      </c>
      <c r="AN92" s="102">
        <v>40.020000000000003</v>
      </c>
      <c r="AO92" s="102">
        <v>49.6</v>
      </c>
      <c r="AP92" s="97">
        <v>17034.509999999998</v>
      </c>
      <c r="AQ92" s="102">
        <v>33.950000000000003</v>
      </c>
      <c r="AR92" s="102">
        <v>83.55</v>
      </c>
      <c r="AS92" s="101">
        <v>8248.82</v>
      </c>
      <c r="AT92" s="102">
        <v>16.440000000000001</v>
      </c>
      <c r="AU92" s="102">
        <v>99.99</v>
      </c>
      <c r="AV92" s="98">
        <v>5.0199999999999996</v>
      </c>
      <c r="AW92" s="98">
        <v>0.01</v>
      </c>
      <c r="AX92" s="100">
        <v>100</v>
      </c>
      <c r="AY92" s="99"/>
      <c r="AZ92" s="99"/>
      <c r="BA92" s="100">
        <v>100</v>
      </c>
      <c r="BB92" s="99"/>
      <c r="BC92" s="99"/>
      <c r="BD92" s="100">
        <v>100</v>
      </c>
      <c r="BE92" s="99"/>
      <c r="BF92" s="99"/>
      <c r="BG92" s="100">
        <v>100</v>
      </c>
      <c r="BH92" s="99"/>
      <c r="BI92" s="99"/>
      <c r="BJ92" s="100">
        <v>100</v>
      </c>
      <c r="BK92" s="99"/>
      <c r="BL92" s="99"/>
      <c r="BM92" s="100">
        <v>100</v>
      </c>
      <c r="BN92" s="99"/>
      <c r="BO92" s="99"/>
      <c r="BP92" s="100">
        <v>100</v>
      </c>
      <c r="BQ92" s="99"/>
      <c r="BR92" s="99"/>
      <c r="BS92" s="100">
        <v>100</v>
      </c>
      <c r="BT92" s="99"/>
      <c r="BU92" s="99"/>
      <c r="BV92" s="100">
        <v>100</v>
      </c>
      <c r="BW92" s="99"/>
      <c r="BX92" s="99"/>
      <c r="BY92" s="100">
        <v>100</v>
      </c>
      <c r="BZ92" s="99"/>
      <c r="CA92" s="99"/>
      <c r="CB92" s="100">
        <v>100</v>
      </c>
      <c r="CC92" s="99"/>
      <c r="CD92" s="99"/>
      <c r="CE92" s="989">
        <v>100</v>
      </c>
      <c r="CF92" s="406"/>
      <c r="CG92" s="406"/>
      <c r="CH92" s="407"/>
      <c r="CI92" s="406"/>
      <c r="CJ92" s="406"/>
      <c r="CK92" s="407"/>
      <c r="CL92" s="406"/>
      <c r="CM92" s="406"/>
      <c r="CN92" s="406"/>
      <c r="CO92" s="473"/>
      <c r="CP92" s="467"/>
      <c r="CQ92" s="407"/>
      <c r="CR92" s="406"/>
      <c r="CS92" s="406"/>
      <c r="CT92" s="407"/>
      <c r="CU92" s="406"/>
      <c r="CV92" s="406"/>
      <c r="CW92" s="407"/>
      <c r="CX92" s="467"/>
      <c r="CY92" s="467"/>
      <c r="CZ92" s="406"/>
      <c r="DA92" s="407"/>
      <c r="DB92" s="467"/>
      <c r="DC92" s="467"/>
      <c r="DD92" s="467"/>
      <c r="DE92" s="467"/>
      <c r="DF92" s="407"/>
    </row>
    <row r="93" spans="1:110" ht="8.4499999999999993" customHeight="1" x14ac:dyDescent="0.2">
      <c r="A93" s="130" t="s">
        <v>623</v>
      </c>
      <c r="B93" s="88">
        <v>78</v>
      </c>
      <c r="C93" s="87" t="s">
        <v>2442</v>
      </c>
      <c r="D93" s="88">
        <v>33</v>
      </c>
      <c r="E93" s="87" t="s">
        <v>2182</v>
      </c>
      <c r="F93" s="87" t="s">
        <v>2028</v>
      </c>
      <c r="G93" s="89">
        <v>21354.28</v>
      </c>
      <c r="H93" s="90">
        <v>0.24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2">
        <v>2301.33</v>
      </c>
      <c r="AW93" s="91">
        <v>11.56</v>
      </c>
      <c r="AX93" s="91">
        <v>11.56</v>
      </c>
      <c r="AY93" s="89">
        <v>19052.95</v>
      </c>
      <c r="AZ93" s="91">
        <v>88.44</v>
      </c>
      <c r="BA93" s="93">
        <v>100</v>
      </c>
      <c r="BB93" s="94"/>
      <c r="BC93" s="94"/>
      <c r="BD93" s="93">
        <v>100</v>
      </c>
      <c r="BE93" s="94"/>
      <c r="BF93" s="94"/>
      <c r="BG93" s="93">
        <v>100</v>
      </c>
      <c r="BH93" s="94"/>
      <c r="BI93" s="94"/>
      <c r="BJ93" s="93">
        <v>100</v>
      </c>
      <c r="BK93" s="94"/>
      <c r="BL93" s="94"/>
      <c r="BM93" s="93">
        <v>100</v>
      </c>
      <c r="BN93" s="94"/>
      <c r="BO93" s="94"/>
      <c r="BP93" s="93">
        <v>100</v>
      </c>
      <c r="BQ93" s="94"/>
      <c r="BR93" s="94"/>
      <c r="BS93" s="93">
        <v>100</v>
      </c>
      <c r="BT93" s="94"/>
      <c r="BU93" s="94"/>
      <c r="BV93" s="93">
        <v>100</v>
      </c>
      <c r="BW93" s="94"/>
      <c r="BX93" s="94"/>
      <c r="BY93" s="93">
        <v>100</v>
      </c>
      <c r="BZ93" s="94"/>
      <c r="CA93" s="94"/>
      <c r="CB93" s="93">
        <v>100</v>
      </c>
      <c r="CC93" s="94"/>
      <c r="CD93" s="94"/>
      <c r="CE93" s="988">
        <v>100</v>
      </c>
      <c r="CF93" s="406"/>
      <c r="CG93" s="406"/>
      <c r="CH93" s="407"/>
      <c r="CI93" s="406"/>
      <c r="CJ93" s="406"/>
      <c r="CK93" s="407"/>
      <c r="CL93" s="406"/>
      <c r="CM93" s="406"/>
      <c r="CN93" s="406"/>
      <c r="CO93" s="466"/>
      <c r="CP93" s="464"/>
      <c r="CQ93" s="404"/>
      <c r="CR93" s="411"/>
      <c r="CS93" s="462"/>
      <c r="CT93" s="404"/>
      <c r="CU93" s="411"/>
      <c r="CV93" s="462"/>
      <c r="CW93" s="404"/>
      <c r="CX93" s="472"/>
      <c r="CY93" s="464"/>
      <c r="CZ93" s="462"/>
      <c r="DA93" s="404"/>
      <c r="DB93" s="472"/>
      <c r="DC93" s="464"/>
      <c r="DD93" s="466"/>
      <c r="DE93" s="464"/>
      <c r="DF93" s="405"/>
    </row>
    <row r="94" spans="1:110" ht="8.4499999999999993" customHeight="1" x14ac:dyDescent="0.2">
      <c r="A94" s="130" t="s">
        <v>624</v>
      </c>
      <c r="B94" s="96">
        <v>79</v>
      </c>
      <c r="C94" s="82" t="s">
        <v>2443</v>
      </c>
      <c r="D94" s="96">
        <v>33</v>
      </c>
      <c r="E94" s="82" t="s">
        <v>2182</v>
      </c>
      <c r="F94" s="82" t="s">
        <v>2028</v>
      </c>
      <c r="G94" s="101">
        <v>9991.52</v>
      </c>
      <c r="H94" s="98">
        <v>0.11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101">
        <v>1606.64</v>
      </c>
      <c r="AW94" s="102">
        <v>16.079999999999998</v>
      </c>
      <c r="AX94" s="102">
        <v>16.079999999999998</v>
      </c>
      <c r="AY94" s="101">
        <v>8384.8799999999992</v>
      </c>
      <c r="AZ94" s="102">
        <v>83.92</v>
      </c>
      <c r="BA94" s="100">
        <v>100</v>
      </c>
      <c r="BB94" s="99"/>
      <c r="BC94" s="99"/>
      <c r="BD94" s="100">
        <v>100</v>
      </c>
      <c r="BE94" s="99"/>
      <c r="BF94" s="99"/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100">
        <v>100</v>
      </c>
      <c r="BW94" s="99"/>
      <c r="BX94" s="99"/>
      <c r="BY94" s="100">
        <v>100</v>
      </c>
      <c r="BZ94" s="99"/>
      <c r="CA94" s="99"/>
      <c r="CB94" s="100">
        <v>100</v>
      </c>
      <c r="CC94" s="99"/>
      <c r="CD94" s="99"/>
      <c r="CE94" s="989">
        <v>100</v>
      </c>
      <c r="CF94" s="406"/>
      <c r="CG94" s="406"/>
      <c r="CH94" s="407"/>
      <c r="CI94" s="406"/>
      <c r="CJ94" s="406"/>
      <c r="CK94" s="407"/>
      <c r="CL94" s="406"/>
      <c r="CM94" s="406"/>
      <c r="CN94" s="406"/>
      <c r="CO94" s="466"/>
      <c r="CP94" s="464"/>
      <c r="CQ94" s="404"/>
      <c r="CR94" s="403"/>
      <c r="CS94" s="462"/>
      <c r="CT94" s="404"/>
      <c r="CU94" s="403"/>
      <c r="CV94" s="462"/>
      <c r="CW94" s="404"/>
      <c r="CX94" s="465"/>
      <c r="CY94" s="464"/>
      <c r="CZ94" s="462"/>
      <c r="DA94" s="404"/>
      <c r="DB94" s="465"/>
      <c r="DC94" s="464"/>
      <c r="DD94" s="466"/>
      <c r="DE94" s="464"/>
      <c r="DF94" s="405"/>
    </row>
    <row r="95" spans="1:110" ht="8.4499999999999993" customHeight="1" x14ac:dyDescent="0.2">
      <c r="A95" s="130" t="s">
        <v>2043</v>
      </c>
      <c r="B95" s="96">
        <v>80</v>
      </c>
      <c r="C95" s="82" t="s">
        <v>2444</v>
      </c>
      <c r="D95" s="96">
        <v>33</v>
      </c>
      <c r="E95" s="82" t="s">
        <v>2182</v>
      </c>
      <c r="F95" s="82" t="s">
        <v>2028</v>
      </c>
      <c r="G95" s="101">
        <v>4320.2299999999996</v>
      </c>
      <c r="H95" s="98">
        <v>0.05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100">
        <v>694.69</v>
      </c>
      <c r="AW95" s="102">
        <v>16.079999999999998</v>
      </c>
      <c r="AX95" s="102">
        <v>16.079999999999998</v>
      </c>
      <c r="AY95" s="101">
        <v>3625.54</v>
      </c>
      <c r="AZ95" s="102">
        <v>83.92</v>
      </c>
      <c r="BA95" s="100">
        <v>100</v>
      </c>
      <c r="BB95" s="99"/>
      <c r="BC95" s="99"/>
      <c r="BD95" s="100">
        <v>100</v>
      </c>
      <c r="BE95" s="99"/>
      <c r="BF95" s="99"/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100">
        <v>100</v>
      </c>
      <c r="BW95" s="99"/>
      <c r="BX95" s="99"/>
      <c r="BY95" s="100">
        <v>100</v>
      </c>
      <c r="BZ95" s="99"/>
      <c r="CA95" s="99"/>
      <c r="CB95" s="100">
        <v>100</v>
      </c>
      <c r="CC95" s="99"/>
      <c r="CD95" s="99"/>
      <c r="CE95" s="989">
        <v>100</v>
      </c>
      <c r="CF95" s="406"/>
      <c r="CG95" s="406"/>
      <c r="CH95" s="407"/>
      <c r="CI95" s="406"/>
      <c r="CJ95" s="406"/>
      <c r="CK95" s="407"/>
      <c r="CL95" s="406"/>
      <c r="CM95" s="406"/>
      <c r="CN95" s="406"/>
      <c r="CO95" s="469"/>
      <c r="CP95" s="467"/>
      <c r="CQ95" s="409"/>
      <c r="CR95" s="410"/>
      <c r="CS95" s="408"/>
      <c r="CT95" s="409"/>
      <c r="CU95" s="410"/>
      <c r="CV95" s="408"/>
      <c r="CW95" s="409"/>
      <c r="CX95" s="470"/>
      <c r="CY95" s="467"/>
      <c r="CZ95" s="408"/>
      <c r="DA95" s="409"/>
      <c r="DB95" s="470"/>
      <c r="DC95" s="467"/>
      <c r="DD95" s="469"/>
      <c r="DE95" s="467"/>
      <c r="DF95" s="407"/>
    </row>
    <row r="96" spans="1:110" ht="8.4499999999999993" customHeight="1" x14ac:dyDescent="0.2">
      <c r="A96" s="130" t="s">
        <v>2045</v>
      </c>
      <c r="B96" s="96">
        <v>81</v>
      </c>
      <c r="C96" s="82" t="s">
        <v>2445</v>
      </c>
      <c r="D96" s="96">
        <v>21</v>
      </c>
      <c r="E96" s="82" t="s">
        <v>2029</v>
      </c>
      <c r="F96" s="82" t="s">
        <v>2028</v>
      </c>
      <c r="G96" s="101">
        <v>2624.63</v>
      </c>
      <c r="H96" s="98">
        <v>0.03</v>
      </c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101">
        <v>2624.63</v>
      </c>
      <c r="AZ96" s="100">
        <v>100</v>
      </c>
      <c r="BA96" s="100">
        <v>100</v>
      </c>
      <c r="BB96" s="99"/>
      <c r="BC96" s="99"/>
      <c r="BD96" s="100">
        <v>100</v>
      </c>
      <c r="BE96" s="99"/>
      <c r="BF96" s="99"/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100">
        <v>100</v>
      </c>
      <c r="BW96" s="99"/>
      <c r="BX96" s="99"/>
      <c r="BY96" s="100">
        <v>100</v>
      </c>
      <c r="BZ96" s="99"/>
      <c r="CA96" s="99"/>
      <c r="CB96" s="100">
        <v>100</v>
      </c>
      <c r="CC96" s="99"/>
      <c r="CD96" s="99"/>
      <c r="CE96" s="989">
        <v>100</v>
      </c>
      <c r="CF96" s="406"/>
      <c r="CG96" s="406"/>
      <c r="CH96" s="407"/>
      <c r="CI96" s="406"/>
      <c r="CJ96" s="406"/>
      <c r="CK96" s="407"/>
      <c r="CL96" s="406"/>
      <c r="CM96" s="406"/>
      <c r="CN96" s="406"/>
      <c r="CO96" s="469"/>
      <c r="CP96" s="467"/>
      <c r="CQ96" s="409"/>
      <c r="CR96" s="410"/>
      <c r="CS96" s="408"/>
      <c r="CT96" s="409"/>
      <c r="CU96" s="410"/>
      <c r="CV96" s="408"/>
      <c r="CW96" s="409"/>
      <c r="CX96" s="470"/>
      <c r="CY96" s="467"/>
      <c r="CZ96" s="408"/>
      <c r="DA96" s="409"/>
      <c r="DB96" s="470"/>
      <c r="DC96" s="467"/>
      <c r="DD96" s="469"/>
      <c r="DE96" s="467"/>
      <c r="DF96" s="407"/>
    </row>
    <row r="97" spans="1:110" ht="8.4499999999999993" customHeight="1" x14ac:dyDescent="0.2">
      <c r="A97" s="130" t="s">
        <v>2047</v>
      </c>
      <c r="B97" s="96">
        <v>82</v>
      </c>
      <c r="C97" s="82" t="s">
        <v>2446</v>
      </c>
      <c r="D97" s="96">
        <v>21</v>
      </c>
      <c r="E97" s="82" t="s">
        <v>2029</v>
      </c>
      <c r="F97" s="82" t="s">
        <v>2028</v>
      </c>
      <c r="G97" s="101">
        <v>4417.8999999999996</v>
      </c>
      <c r="H97" s="98">
        <v>0.05</v>
      </c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101">
        <v>4417.8999999999996</v>
      </c>
      <c r="AZ97" s="100">
        <v>100</v>
      </c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100">
        <v>100</v>
      </c>
      <c r="BW97" s="99"/>
      <c r="BX97" s="99"/>
      <c r="BY97" s="100">
        <v>100</v>
      </c>
      <c r="BZ97" s="99"/>
      <c r="CA97" s="99"/>
      <c r="CB97" s="100">
        <v>100</v>
      </c>
      <c r="CC97" s="99"/>
      <c r="CD97" s="99"/>
      <c r="CE97" s="989">
        <v>100</v>
      </c>
      <c r="CF97" s="406"/>
      <c r="CG97" s="406"/>
      <c r="CH97" s="407"/>
      <c r="CI97" s="406"/>
      <c r="CJ97" s="406"/>
      <c r="CK97" s="407"/>
      <c r="CL97" s="406"/>
      <c r="CM97" s="406"/>
      <c r="CN97" s="406"/>
      <c r="CO97" s="469"/>
      <c r="CP97" s="467"/>
      <c r="CQ97" s="409"/>
      <c r="CR97" s="407"/>
      <c r="CS97" s="408"/>
      <c r="CT97" s="409"/>
      <c r="CU97" s="407"/>
      <c r="CV97" s="408"/>
      <c r="CW97" s="409"/>
      <c r="CX97" s="468"/>
      <c r="CY97" s="467"/>
      <c r="CZ97" s="408"/>
      <c r="DA97" s="409"/>
      <c r="DB97" s="468"/>
      <c r="DC97" s="467"/>
      <c r="DD97" s="469"/>
      <c r="DE97" s="467"/>
      <c r="DF97" s="407"/>
    </row>
    <row r="98" spans="1:110" ht="8.4499999999999993" customHeight="1" x14ac:dyDescent="0.2">
      <c r="A98" s="130" t="s">
        <v>625</v>
      </c>
      <c r="B98" s="88">
        <v>83</v>
      </c>
      <c r="C98" s="87" t="s">
        <v>340</v>
      </c>
      <c r="D98" s="103">
        <v>100</v>
      </c>
      <c r="E98" s="87" t="s">
        <v>2437</v>
      </c>
      <c r="F98" s="87" t="s">
        <v>2016</v>
      </c>
      <c r="G98" s="89">
        <v>25695.18</v>
      </c>
      <c r="H98" s="90">
        <v>0.28999999999999998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3">
        <v>435.08</v>
      </c>
      <c r="AK98" s="90">
        <v>1.66</v>
      </c>
      <c r="AL98" s="90">
        <v>1.66</v>
      </c>
      <c r="AM98" s="92">
        <v>5757.52</v>
      </c>
      <c r="AN98" s="91">
        <v>21.95</v>
      </c>
      <c r="AO98" s="91">
        <v>23.61</v>
      </c>
      <c r="AP98" s="89">
        <v>11815.77</v>
      </c>
      <c r="AQ98" s="91">
        <v>46.11</v>
      </c>
      <c r="AR98" s="91">
        <v>69.72</v>
      </c>
      <c r="AS98" s="92">
        <v>7289.7</v>
      </c>
      <c r="AT98" s="91">
        <v>28.7</v>
      </c>
      <c r="AU98" s="91">
        <v>98.42</v>
      </c>
      <c r="AV98" s="93">
        <v>397.11</v>
      </c>
      <c r="AW98" s="90">
        <v>1.58</v>
      </c>
      <c r="AX98" s="93">
        <v>100</v>
      </c>
      <c r="AY98" s="94"/>
      <c r="AZ98" s="94"/>
      <c r="BA98" s="93">
        <v>100</v>
      </c>
      <c r="BB98" s="94"/>
      <c r="BC98" s="94"/>
      <c r="BD98" s="93">
        <v>100</v>
      </c>
      <c r="BE98" s="94"/>
      <c r="BF98" s="94"/>
      <c r="BG98" s="93">
        <v>100</v>
      </c>
      <c r="BH98" s="94"/>
      <c r="BI98" s="94"/>
      <c r="BJ98" s="93">
        <v>100</v>
      </c>
      <c r="BK98" s="94"/>
      <c r="BL98" s="94"/>
      <c r="BM98" s="93">
        <v>100</v>
      </c>
      <c r="BN98" s="94"/>
      <c r="BO98" s="94"/>
      <c r="BP98" s="93">
        <v>100</v>
      </c>
      <c r="BQ98" s="94"/>
      <c r="BR98" s="94"/>
      <c r="BS98" s="93">
        <v>100</v>
      </c>
      <c r="BT98" s="94"/>
      <c r="BU98" s="94"/>
      <c r="BV98" s="93">
        <v>100</v>
      </c>
      <c r="BW98" s="94"/>
      <c r="BX98" s="94"/>
      <c r="BY98" s="93">
        <v>100</v>
      </c>
      <c r="BZ98" s="94"/>
      <c r="CA98" s="94"/>
      <c r="CB98" s="93">
        <v>100</v>
      </c>
      <c r="CC98" s="94"/>
      <c r="CD98" s="94"/>
      <c r="CE98" s="988">
        <v>100</v>
      </c>
      <c r="CF98" s="406"/>
      <c r="CG98" s="406"/>
      <c r="CH98" s="407"/>
      <c r="CI98" s="406"/>
      <c r="CJ98" s="406"/>
      <c r="CK98" s="407"/>
      <c r="CL98" s="406"/>
      <c r="CM98" s="406"/>
      <c r="CN98" s="406"/>
      <c r="CO98" s="469"/>
      <c r="CP98" s="467"/>
      <c r="CQ98" s="409"/>
      <c r="CR98" s="407"/>
      <c r="CS98" s="408"/>
      <c r="CT98" s="409"/>
      <c r="CU98" s="407"/>
      <c r="CV98" s="408"/>
      <c r="CW98" s="409"/>
      <c r="CX98" s="468"/>
      <c r="CY98" s="467"/>
      <c r="CZ98" s="408"/>
      <c r="DA98" s="409"/>
      <c r="DB98" s="468"/>
      <c r="DC98" s="467"/>
      <c r="DD98" s="469"/>
      <c r="DE98" s="467"/>
      <c r="DF98" s="407"/>
    </row>
    <row r="99" spans="1:110" ht="8.4499999999999993" customHeight="1" x14ac:dyDescent="0.2">
      <c r="A99" s="130" t="s">
        <v>627</v>
      </c>
      <c r="B99" s="96">
        <v>84</v>
      </c>
      <c r="C99" s="82" t="s">
        <v>2447</v>
      </c>
      <c r="D99" s="96">
        <v>59</v>
      </c>
      <c r="E99" s="82" t="s">
        <v>2031</v>
      </c>
      <c r="F99" s="82" t="s">
        <v>2448</v>
      </c>
      <c r="G99" s="101">
        <v>6330.24</v>
      </c>
      <c r="H99" s="98">
        <v>7.0000000000000007E-2</v>
      </c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101">
        <v>3322.74</v>
      </c>
      <c r="AQ99" s="102">
        <v>52.49</v>
      </c>
      <c r="AR99" s="102">
        <v>52.49</v>
      </c>
      <c r="AS99" s="101">
        <v>2811.26</v>
      </c>
      <c r="AT99" s="102">
        <v>44.41</v>
      </c>
      <c r="AU99" s="102">
        <v>96.9</v>
      </c>
      <c r="AV99" s="100">
        <v>196.24</v>
      </c>
      <c r="AW99" s="98">
        <v>3.1</v>
      </c>
      <c r="AX99" s="100">
        <v>100</v>
      </c>
      <c r="AY99" s="99"/>
      <c r="AZ99" s="99"/>
      <c r="BA99" s="100">
        <v>100</v>
      </c>
      <c r="BB99" s="99"/>
      <c r="BC99" s="99"/>
      <c r="BD99" s="100">
        <v>100</v>
      </c>
      <c r="BE99" s="99"/>
      <c r="BF99" s="99"/>
      <c r="BG99" s="100">
        <v>100</v>
      </c>
      <c r="BH99" s="99"/>
      <c r="BI99" s="99"/>
      <c r="BJ99" s="100">
        <v>100</v>
      </c>
      <c r="BK99" s="99"/>
      <c r="BL99" s="99"/>
      <c r="BM99" s="100">
        <v>100</v>
      </c>
      <c r="BN99" s="99"/>
      <c r="BO99" s="99"/>
      <c r="BP99" s="100">
        <v>100</v>
      </c>
      <c r="BQ99" s="99"/>
      <c r="BR99" s="99"/>
      <c r="BS99" s="100">
        <v>100</v>
      </c>
      <c r="BT99" s="99"/>
      <c r="BU99" s="99"/>
      <c r="BV99" s="100">
        <v>100</v>
      </c>
      <c r="BW99" s="99"/>
      <c r="BX99" s="99"/>
      <c r="BY99" s="100">
        <v>100</v>
      </c>
      <c r="BZ99" s="99"/>
      <c r="CA99" s="99"/>
      <c r="CB99" s="100">
        <v>100</v>
      </c>
      <c r="CC99" s="99"/>
      <c r="CD99" s="99"/>
      <c r="CE99" s="989">
        <v>100</v>
      </c>
      <c r="CF99" s="460"/>
      <c r="CG99" s="460"/>
      <c r="CH99" s="405"/>
      <c r="CI99" s="460"/>
      <c r="CJ99" s="460"/>
      <c r="CK99" s="405"/>
      <c r="CL99" s="460"/>
      <c r="CM99" s="460"/>
      <c r="CN99" s="460"/>
      <c r="CO99" s="469"/>
      <c r="CP99" s="467"/>
      <c r="CQ99" s="409"/>
      <c r="CR99" s="407"/>
      <c r="CS99" s="408"/>
      <c r="CT99" s="409"/>
      <c r="CU99" s="407"/>
      <c r="CV99" s="408"/>
      <c r="CW99" s="409"/>
      <c r="CX99" s="468"/>
      <c r="CY99" s="467"/>
      <c r="CZ99" s="408"/>
      <c r="DA99" s="409"/>
      <c r="DB99" s="468"/>
      <c r="DC99" s="467"/>
      <c r="DD99" s="469"/>
      <c r="DE99" s="467"/>
      <c r="DF99" s="407"/>
    </row>
    <row r="100" spans="1:110" ht="8.4499999999999993" customHeight="1" x14ac:dyDescent="0.2">
      <c r="A100" s="130" t="s">
        <v>628</v>
      </c>
      <c r="B100" s="96">
        <v>85</v>
      </c>
      <c r="C100" s="82" t="s">
        <v>2449</v>
      </c>
      <c r="D100" s="96">
        <v>59</v>
      </c>
      <c r="E100" s="82" t="s">
        <v>2031</v>
      </c>
      <c r="F100" s="82" t="s">
        <v>2448</v>
      </c>
      <c r="G100" s="101">
        <v>6180.79</v>
      </c>
      <c r="H100" s="98">
        <v>7.0000000000000007E-2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101">
        <v>3212.77</v>
      </c>
      <c r="AQ100" s="102">
        <v>51.98</v>
      </c>
      <c r="AR100" s="102">
        <v>51.98</v>
      </c>
      <c r="AS100" s="101">
        <v>2767.14</v>
      </c>
      <c r="AT100" s="102">
        <v>44.77</v>
      </c>
      <c r="AU100" s="102">
        <v>96.75</v>
      </c>
      <c r="AV100" s="100">
        <v>200.88</v>
      </c>
      <c r="AW100" s="98">
        <v>3.25</v>
      </c>
      <c r="AX100" s="100">
        <v>100</v>
      </c>
      <c r="AY100" s="99"/>
      <c r="AZ100" s="99"/>
      <c r="BA100" s="100">
        <v>100</v>
      </c>
      <c r="BB100" s="99"/>
      <c r="BC100" s="99"/>
      <c r="BD100" s="100">
        <v>100</v>
      </c>
      <c r="BE100" s="99"/>
      <c r="BF100" s="99"/>
      <c r="BG100" s="100">
        <v>100</v>
      </c>
      <c r="BH100" s="99"/>
      <c r="BI100" s="99"/>
      <c r="BJ100" s="100">
        <v>100</v>
      </c>
      <c r="BK100" s="99"/>
      <c r="BL100" s="99"/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100">
        <v>100</v>
      </c>
      <c r="BW100" s="99"/>
      <c r="BX100" s="99"/>
      <c r="BY100" s="100">
        <v>100</v>
      </c>
      <c r="BZ100" s="99"/>
      <c r="CA100" s="99"/>
      <c r="CB100" s="100">
        <v>100</v>
      </c>
      <c r="CC100" s="99"/>
      <c r="CD100" s="99"/>
      <c r="CE100" s="989">
        <v>100</v>
      </c>
      <c r="CF100" s="406"/>
      <c r="CG100" s="406"/>
      <c r="CH100" s="407"/>
      <c r="CI100" s="406"/>
      <c r="CJ100" s="406"/>
      <c r="CK100" s="407"/>
      <c r="CL100" s="406"/>
      <c r="CM100" s="406"/>
      <c r="CN100" s="406"/>
      <c r="CO100" s="469"/>
      <c r="CP100" s="467"/>
      <c r="CQ100" s="409"/>
      <c r="CR100" s="407"/>
      <c r="CS100" s="408"/>
      <c r="CT100" s="409"/>
      <c r="CU100" s="407"/>
      <c r="CV100" s="408"/>
      <c r="CW100" s="409"/>
      <c r="CX100" s="468"/>
      <c r="CY100" s="467"/>
      <c r="CZ100" s="408"/>
      <c r="DA100" s="409"/>
      <c r="DB100" s="468"/>
      <c r="DC100" s="467"/>
      <c r="DD100" s="469"/>
      <c r="DE100" s="467"/>
      <c r="DF100" s="407"/>
    </row>
    <row r="101" spans="1:110" ht="16.899999999999999" customHeight="1" x14ac:dyDescent="0.2">
      <c r="A101" s="130" t="s">
        <v>629</v>
      </c>
      <c r="B101" s="96">
        <v>86</v>
      </c>
      <c r="C101" s="82" t="s">
        <v>2450</v>
      </c>
      <c r="D101" s="104">
        <v>100</v>
      </c>
      <c r="E101" s="82" t="s">
        <v>2437</v>
      </c>
      <c r="F101" s="82" t="s">
        <v>2016</v>
      </c>
      <c r="G101" s="97">
        <v>13184.15</v>
      </c>
      <c r="H101" s="98">
        <v>0.15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100">
        <v>435.08</v>
      </c>
      <c r="AK101" s="98">
        <v>3.3</v>
      </c>
      <c r="AL101" s="98">
        <v>3.3</v>
      </c>
      <c r="AM101" s="101">
        <v>5757.52</v>
      </c>
      <c r="AN101" s="102">
        <v>43.67</v>
      </c>
      <c r="AO101" s="102">
        <v>46.97</v>
      </c>
      <c r="AP101" s="101">
        <v>5280.25</v>
      </c>
      <c r="AQ101" s="102">
        <v>40.049999999999997</v>
      </c>
      <c r="AR101" s="102">
        <v>87.02</v>
      </c>
      <c r="AS101" s="101">
        <v>1711.3</v>
      </c>
      <c r="AT101" s="102">
        <v>12.98</v>
      </c>
      <c r="AU101" s="100">
        <v>100</v>
      </c>
      <c r="AV101" s="99"/>
      <c r="AW101" s="99"/>
      <c r="AX101" s="100">
        <v>100</v>
      </c>
      <c r="AY101" s="99"/>
      <c r="AZ101" s="99"/>
      <c r="BA101" s="100">
        <v>100</v>
      </c>
      <c r="BB101" s="99"/>
      <c r="BC101" s="99"/>
      <c r="BD101" s="100">
        <v>100</v>
      </c>
      <c r="BE101" s="99"/>
      <c r="BF101" s="99"/>
      <c r="BG101" s="100">
        <v>100</v>
      </c>
      <c r="BH101" s="99"/>
      <c r="BI101" s="99"/>
      <c r="BJ101" s="100">
        <v>100</v>
      </c>
      <c r="BK101" s="99"/>
      <c r="BL101" s="99"/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100">
        <v>100</v>
      </c>
      <c r="BW101" s="99"/>
      <c r="BX101" s="99"/>
      <c r="BY101" s="100">
        <v>100</v>
      </c>
      <c r="BZ101" s="99"/>
      <c r="CA101" s="99"/>
      <c r="CB101" s="100">
        <v>100</v>
      </c>
      <c r="CC101" s="99"/>
      <c r="CD101" s="99"/>
      <c r="CE101" s="989">
        <v>100</v>
      </c>
      <c r="CF101" s="406"/>
      <c r="CG101" s="406"/>
      <c r="CH101" s="407"/>
      <c r="CI101" s="406"/>
      <c r="CJ101" s="406"/>
      <c r="CK101" s="407"/>
      <c r="CL101" s="406"/>
      <c r="CM101" s="406"/>
      <c r="CN101" s="406"/>
      <c r="CO101" s="469"/>
      <c r="CP101" s="467"/>
      <c r="CQ101" s="409"/>
      <c r="CR101" s="407"/>
      <c r="CS101" s="408"/>
      <c r="CT101" s="409"/>
      <c r="CU101" s="407"/>
      <c r="CV101" s="408"/>
      <c r="CW101" s="409"/>
      <c r="CX101" s="468"/>
      <c r="CY101" s="467"/>
      <c r="CZ101" s="408"/>
      <c r="DA101" s="409"/>
      <c r="DB101" s="468"/>
      <c r="DC101" s="467"/>
      <c r="DD101" s="469"/>
      <c r="DE101" s="467"/>
      <c r="DF101" s="407"/>
    </row>
    <row r="102" spans="1:110" ht="8.4499999999999993" customHeight="1" x14ac:dyDescent="0.2">
      <c r="A102" s="130" t="s">
        <v>1398</v>
      </c>
      <c r="B102" s="88">
        <v>87</v>
      </c>
      <c r="C102" s="87" t="s">
        <v>1556</v>
      </c>
      <c r="D102" s="103">
        <v>168</v>
      </c>
      <c r="E102" s="87" t="s">
        <v>2172</v>
      </c>
      <c r="F102" s="87" t="s">
        <v>2026</v>
      </c>
      <c r="G102" s="89">
        <v>38497</v>
      </c>
      <c r="H102" s="90">
        <v>0.44</v>
      </c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2">
        <v>6271.92</v>
      </c>
      <c r="BC102" s="91">
        <v>16.29</v>
      </c>
      <c r="BD102" s="91">
        <v>16.29</v>
      </c>
      <c r="BE102" s="93">
        <v>168.08</v>
      </c>
      <c r="BF102" s="90">
        <v>0.44</v>
      </c>
      <c r="BG102" s="91">
        <v>16.73</v>
      </c>
      <c r="BH102" s="94"/>
      <c r="BI102" s="94"/>
      <c r="BJ102" s="91">
        <v>16.73</v>
      </c>
      <c r="BK102" s="94"/>
      <c r="BL102" s="94"/>
      <c r="BM102" s="91">
        <v>16.73</v>
      </c>
      <c r="BN102" s="93">
        <v>560</v>
      </c>
      <c r="BO102" s="90">
        <v>1.45</v>
      </c>
      <c r="BP102" s="91">
        <v>18.18</v>
      </c>
      <c r="BQ102" s="89">
        <v>20535</v>
      </c>
      <c r="BR102" s="91">
        <v>53.34</v>
      </c>
      <c r="BS102" s="91">
        <v>71.53</v>
      </c>
      <c r="BT102" s="92">
        <v>5481</v>
      </c>
      <c r="BU102" s="91">
        <v>14.24</v>
      </c>
      <c r="BV102" s="91">
        <v>85.76</v>
      </c>
      <c r="BW102" s="92">
        <v>5481</v>
      </c>
      <c r="BX102" s="91">
        <v>14.24</v>
      </c>
      <c r="BY102" s="93">
        <v>100</v>
      </c>
      <c r="BZ102" s="94"/>
      <c r="CA102" s="94"/>
      <c r="CB102" s="93">
        <v>100</v>
      </c>
      <c r="CC102" s="94"/>
      <c r="CD102" s="94"/>
      <c r="CE102" s="988">
        <v>100</v>
      </c>
      <c r="CF102" s="406"/>
      <c r="CG102" s="406"/>
      <c r="CH102" s="407"/>
      <c r="CI102" s="406"/>
      <c r="CJ102" s="406"/>
      <c r="CK102" s="407"/>
      <c r="CL102" s="406"/>
      <c r="CM102" s="406"/>
      <c r="CN102" s="406"/>
      <c r="CO102" s="469"/>
      <c r="CP102" s="467"/>
      <c r="CQ102" s="409"/>
      <c r="CR102" s="410"/>
      <c r="CS102" s="408"/>
      <c r="CT102" s="409"/>
      <c r="CU102" s="410"/>
      <c r="CV102" s="408"/>
      <c r="CW102" s="409"/>
      <c r="CX102" s="470"/>
      <c r="CY102" s="467"/>
      <c r="CZ102" s="408"/>
      <c r="DA102" s="409"/>
      <c r="DB102" s="470"/>
      <c r="DC102" s="467"/>
      <c r="DD102" s="469"/>
      <c r="DE102" s="467"/>
      <c r="DF102" s="407"/>
    </row>
    <row r="103" spans="1:110" ht="8.4499999999999993" customHeight="1" x14ac:dyDescent="0.2">
      <c r="A103" s="130" t="s">
        <v>1400</v>
      </c>
      <c r="B103" s="96">
        <v>88</v>
      </c>
      <c r="C103" s="82" t="s">
        <v>2451</v>
      </c>
      <c r="D103" s="96">
        <v>42</v>
      </c>
      <c r="E103" s="82" t="s">
        <v>2009</v>
      </c>
      <c r="F103" s="82" t="s">
        <v>2013</v>
      </c>
      <c r="G103" s="101">
        <v>1400</v>
      </c>
      <c r="H103" s="98">
        <v>0.02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100">
        <v>560</v>
      </c>
      <c r="BO103" s="102">
        <v>40</v>
      </c>
      <c r="BP103" s="102">
        <v>40</v>
      </c>
      <c r="BQ103" s="100">
        <v>840</v>
      </c>
      <c r="BR103" s="102">
        <v>60</v>
      </c>
      <c r="BS103" s="100">
        <v>100</v>
      </c>
      <c r="BT103" s="99"/>
      <c r="BU103" s="99"/>
      <c r="BV103" s="100">
        <v>100</v>
      </c>
      <c r="BW103" s="99"/>
      <c r="BX103" s="99"/>
      <c r="BY103" s="100">
        <v>100</v>
      </c>
      <c r="BZ103" s="99"/>
      <c r="CA103" s="99"/>
      <c r="CB103" s="100">
        <v>100</v>
      </c>
      <c r="CC103" s="99"/>
      <c r="CD103" s="99"/>
      <c r="CE103" s="989">
        <v>100</v>
      </c>
      <c r="CF103" s="406"/>
      <c r="CG103" s="406"/>
      <c r="CH103" s="407"/>
      <c r="CI103" s="406"/>
      <c r="CJ103" s="406"/>
      <c r="CK103" s="407"/>
      <c r="CL103" s="406"/>
      <c r="CM103" s="406"/>
      <c r="CN103" s="406"/>
      <c r="CO103" s="469"/>
      <c r="CP103" s="467"/>
      <c r="CQ103" s="409"/>
      <c r="CR103" s="410"/>
      <c r="CS103" s="408"/>
      <c r="CT103" s="409"/>
      <c r="CU103" s="410"/>
      <c r="CV103" s="408"/>
      <c r="CW103" s="409"/>
      <c r="CX103" s="470"/>
      <c r="CY103" s="467"/>
      <c r="CZ103" s="408"/>
      <c r="DA103" s="409"/>
      <c r="DB103" s="470"/>
      <c r="DC103" s="467"/>
      <c r="DD103" s="469"/>
      <c r="DE103" s="467"/>
      <c r="DF103" s="407"/>
    </row>
    <row r="104" spans="1:110" ht="8.4499999999999993" customHeight="1" x14ac:dyDescent="0.2">
      <c r="A104" s="130" t="s">
        <v>1402</v>
      </c>
      <c r="B104" s="96">
        <v>89</v>
      </c>
      <c r="C104" s="82" t="s">
        <v>2452</v>
      </c>
      <c r="D104" s="96">
        <v>27</v>
      </c>
      <c r="E104" s="82" t="s">
        <v>2172</v>
      </c>
      <c r="F104" s="82" t="s">
        <v>2453</v>
      </c>
      <c r="G104" s="101">
        <v>6440</v>
      </c>
      <c r="H104" s="98">
        <v>7.0000000000000007E-2</v>
      </c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101">
        <v>6271.92</v>
      </c>
      <c r="BC104" s="102">
        <v>97.39</v>
      </c>
      <c r="BD104" s="102">
        <v>97.39</v>
      </c>
      <c r="BE104" s="100">
        <v>168.08</v>
      </c>
      <c r="BF104" s="98">
        <v>2.61</v>
      </c>
      <c r="BG104" s="100">
        <v>100</v>
      </c>
      <c r="BH104" s="99"/>
      <c r="BI104" s="99"/>
      <c r="BJ104" s="100">
        <v>100</v>
      </c>
      <c r="BK104" s="99"/>
      <c r="BL104" s="99"/>
      <c r="BM104" s="100">
        <v>100</v>
      </c>
      <c r="BN104" s="99"/>
      <c r="BO104" s="99"/>
      <c r="BP104" s="100">
        <v>100</v>
      </c>
      <c r="BQ104" s="99"/>
      <c r="BR104" s="99"/>
      <c r="BS104" s="100">
        <v>100</v>
      </c>
      <c r="BT104" s="99"/>
      <c r="BU104" s="99"/>
      <c r="BV104" s="100">
        <v>100</v>
      </c>
      <c r="BW104" s="99"/>
      <c r="BX104" s="99"/>
      <c r="BY104" s="100">
        <v>100</v>
      </c>
      <c r="BZ104" s="99"/>
      <c r="CA104" s="99"/>
      <c r="CB104" s="100">
        <v>100</v>
      </c>
      <c r="CC104" s="99"/>
      <c r="CD104" s="99"/>
      <c r="CE104" s="989">
        <v>100</v>
      </c>
      <c r="CF104" s="460"/>
      <c r="CG104" s="460"/>
      <c r="CH104" s="405"/>
      <c r="CI104" s="460"/>
      <c r="CJ104" s="460"/>
      <c r="CK104" s="405"/>
      <c r="CL104" s="460"/>
      <c r="CM104" s="460"/>
      <c r="CN104" s="460"/>
      <c r="CO104" s="466"/>
      <c r="CP104" s="464"/>
      <c r="CQ104" s="404"/>
      <c r="CR104" s="411"/>
      <c r="CS104" s="462"/>
      <c r="CT104" s="404"/>
      <c r="CU104" s="411"/>
      <c r="CV104" s="462"/>
      <c r="CW104" s="404"/>
      <c r="CX104" s="472"/>
      <c r="CY104" s="464"/>
      <c r="CZ104" s="462"/>
      <c r="DA104" s="404"/>
      <c r="DB104" s="472"/>
      <c r="DC104" s="464"/>
      <c r="DD104" s="466"/>
      <c r="DE104" s="464"/>
      <c r="DF104" s="405"/>
    </row>
    <row r="105" spans="1:110" ht="8.4499999999999993" customHeight="1" x14ac:dyDescent="0.2">
      <c r="A105" s="130" t="s">
        <v>2230</v>
      </c>
      <c r="B105" s="96">
        <v>90</v>
      </c>
      <c r="C105" s="82" t="s">
        <v>2454</v>
      </c>
      <c r="D105" s="96">
        <v>41</v>
      </c>
      <c r="E105" s="82" t="s">
        <v>2033</v>
      </c>
      <c r="F105" s="82" t="s">
        <v>2026</v>
      </c>
      <c r="G105" s="97">
        <v>10962</v>
      </c>
      <c r="H105" s="98">
        <v>0.12</v>
      </c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101">
        <v>5481</v>
      </c>
      <c r="BU105" s="102">
        <v>50</v>
      </c>
      <c r="BV105" s="102">
        <v>50</v>
      </c>
      <c r="BW105" s="101">
        <v>5481</v>
      </c>
      <c r="BX105" s="102">
        <v>50</v>
      </c>
      <c r="BY105" s="100">
        <v>100</v>
      </c>
      <c r="BZ105" s="99"/>
      <c r="CA105" s="99"/>
      <c r="CB105" s="100">
        <v>100</v>
      </c>
      <c r="CC105" s="99"/>
      <c r="CD105" s="99"/>
      <c r="CE105" s="989">
        <v>100</v>
      </c>
      <c r="CF105" s="460"/>
      <c r="CG105" s="460"/>
      <c r="CH105" s="405"/>
      <c r="CI105" s="460"/>
      <c r="CJ105" s="460"/>
      <c r="CK105" s="405"/>
      <c r="CL105" s="460"/>
      <c r="CM105" s="460"/>
      <c r="CN105" s="460"/>
      <c r="CO105" s="469"/>
      <c r="CP105" s="467"/>
      <c r="CQ105" s="409"/>
      <c r="CR105" s="409"/>
      <c r="CS105" s="408"/>
      <c r="CT105" s="409"/>
      <c r="CU105" s="409"/>
      <c r="CV105" s="408"/>
      <c r="CW105" s="409"/>
      <c r="CX105" s="473"/>
      <c r="CY105" s="467"/>
      <c r="CZ105" s="408"/>
      <c r="DA105" s="409"/>
      <c r="DB105" s="473"/>
      <c r="DC105" s="467"/>
      <c r="DD105" s="469"/>
      <c r="DE105" s="467"/>
      <c r="DF105" s="407"/>
    </row>
    <row r="106" spans="1:110" ht="8.4499999999999993" customHeight="1" x14ac:dyDescent="0.2">
      <c r="A106" s="130" t="s">
        <v>2231</v>
      </c>
      <c r="B106" s="96">
        <v>91</v>
      </c>
      <c r="C106" s="82" t="s">
        <v>2455</v>
      </c>
      <c r="D106" s="96">
        <v>22</v>
      </c>
      <c r="E106" s="82" t="s">
        <v>2012</v>
      </c>
      <c r="F106" s="82" t="s">
        <v>2013</v>
      </c>
      <c r="G106" s="97">
        <v>19695</v>
      </c>
      <c r="H106" s="98">
        <v>0.22</v>
      </c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7">
        <v>19695</v>
      </c>
      <c r="BR106" s="100">
        <v>100</v>
      </c>
      <c r="BS106" s="100">
        <v>100</v>
      </c>
      <c r="BT106" s="99"/>
      <c r="BU106" s="99"/>
      <c r="BV106" s="100">
        <v>100</v>
      </c>
      <c r="BW106" s="99"/>
      <c r="BX106" s="99"/>
      <c r="BY106" s="100">
        <v>100</v>
      </c>
      <c r="BZ106" s="99"/>
      <c r="CA106" s="99"/>
      <c r="CB106" s="100">
        <v>100</v>
      </c>
      <c r="CC106" s="99"/>
      <c r="CD106" s="99"/>
      <c r="CE106" s="989">
        <v>100</v>
      </c>
      <c r="CF106" s="406"/>
      <c r="CG106" s="406"/>
      <c r="CH106" s="407"/>
      <c r="CI106" s="406"/>
      <c r="CJ106" s="406"/>
      <c r="CK106" s="407"/>
      <c r="CL106" s="406"/>
      <c r="CM106" s="406"/>
      <c r="CN106" s="406"/>
      <c r="CO106" s="469"/>
      <c r="CP106" s="467"/>
      <c r="CQ106" s="409"/>
      <c r="CR106" s="407"/>
      <c r="CS106" s="408"/>
      <c r="CT106" s="409"/>
      <c r="CU106" s="407"/>
      <c r="CV106" s="408"/>
      <c r="CW106" s="409"/>
      <c r="CX106" s="468"/>
      <c r="CY106" s="467"/>
      <c r="CZ106" s="408"/>
      <c r="DA106" s="409"/>
      <c r="DB106" s="468"/>
      <c r="DC106" s="467"/>
      <c r="DD106" s="469"/>
      <c r="DE106" s="467"/>
      <c r="DF106" s="407"/>
    </row>
    <row r="107" spans="1:110" ht="8.4499999999999993" customHeight="1" x14ac:dyDescent="0.2">
      <c r="A107" s="130" t="s">
        <v>110</v>
      </c>
      <c r="B107" s="88">
        <v>92</v>
      </c>
      <c r="C107" s="87" t="s">
        <v>341</v>
      </c>
      <c r="D107" s="103">
        <v>278</v>
      </c>
      <c r="E107" s="87" t="s">
        <v>1951</v>
      </c>
      <c r="F107" s="87" t="s">
        <v>2013</v>
      </c>
      <c r="G107" s="89">
        <v>82737.070000000007</v>
      </c>
      <c r="H107" s="90">
        <v>0.94</v>
      </c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2">
        <v>2288.46</v>
      </c>
      <c r="AH107" s="90">
        <v>2.54</v>
      </c>
      <c r="AI107" s="90">
        <v>2.54</v>
      </c>
      <c r="AJ107" s="94"/>
      <c r="AK107" s="94"/>
      <c r="AL107" s="90">
        <v>2.54</v>
      </c>
      <c r="AM107" s="94"/>
      <c r="AN107" s="94"/>
      <c r="AO107" s="90">
        <v>2.54</v>
      </c>
      <c r="AP107" s="94"/>
      <c r="AQ107" s="94"/>
      <c r="AR107" s="90">
        <v>2.54</v>
      </c>
      <c r="AS107" s="94"/>
      <c r="AT107" s="94"/>
      <c r="AU107" s="90">
        <v>2.54</v>
      </c>
      <c r="AV107" s="94"/>
      <c r="AW107" s="94"/>
      <c r="AX107" s="90">
        <v>2.54</v>
      </c>
      <c r="AY107" s="93">
        <v>338.71</v>
      </c>
      <c r="AZ107" s="90">
        <v>0.41</v>
      </c>
      <c r="BA107" s="90">
        <v>2.95</v>
      </c>
      <c r="BB107" s="94"/>
      <c r="BC107" s="94"/>
      <c r="BD107" s="90">
        <v>2.95</v>
      </c>
      <c r="BE107" s="92">
        <v>2057.87</v>
      </c>
      <c r="BF107" s="90">
        <v>2.4900000000000002</v>
      </c>
      <c r="BG107" s="90">
        <v>5.45</v>
      </c>
      <c r="BH107" s="92">
        <v>2221.27</v>
      </c>
      <c r="BI107" s="90">
        <v>2.69</v>
      </c>
      <c r="BJ107" s="90">
        <v>8.14</v>
      </c>
      <c r="BK107" s="92">
        <v>4433.05</v>
      </c>
      <c r="BL107" s="90">
        <v>5.37</v>
      </c>
      <c r="BM107" s="91">
        <v>13.51</v>
      </c>
      <c r="BN107" s="89">
        <v>35428.65</v>
      </c>
      <c r="BO107" s="91">
        <v>42.92</v>
      </c>
      <c r="BP107" s="91">
        <v>56.43</v>
      </c>
      <c r="BQ107" s="89">
        <v>35969.06</v>
      </c>
      <c r="BR107" s="91">
        <v>43.57</v>
      </c>
      <c r="BS107" s="93">
        <v>100</v>
      </c>
      <c r="BT107" s="94"/>
      <c r="BU107" s="94"/>
      <c r="BV107" s="93">
        <v>100</v>
      </c>
      <c r="BW107" s="94"/>
      <c r="BX107" s="94"/>
      <c r="BY107" s="93">
        <v>100</v>
      </c>
      <c r="BZ107" s="94"/>
      <c r="CA107" s="94"/>
      <c r="CB107" s="93">
        <v>100</v>
      </c>
      <c r="CC107" s="94"/>
      <c r="CD107" s="94"/>
      <c r="CE107" s="988">
        <v>100</v>
      </c>
      <c r="CF107" s="406"/>
      <c r="CG107" s="406"/>
      <c r="CH107" s="407"/>
      <c r="CI107" s="406"/>
      <c r="CJ107" s="406"/>
      <c r="CK107" s="407"/>
      <c r="CL107" s="406"/>
      <c r="CM107" s="406"/>
      <c r="CN107" s="406"/>
      <c r="CO107" s="469"/>
      <c r="CP107" s="467"/>
      <c r="CQ107" s="409"/>
      <c r="CR107" s="407"/>
      <c r="CS107" s="408"/>
      <c r="CT107" s="409"/>
      <c r="CU107" s="407"/>
      <c r="CV107" s="408"/>
      <c r="CW107" s="409"/>
      <c r="CX107" s="468"/>
      <c r="CY107" s="467"/>
      <c r="CZ107" s="408"/>
      <c r="DA107" s="409"/>
      <c r="DB107" s="468"/>
      <c r="DC107" s="467"/>
      <c r="DD107" s="469"/>
      <c r="DE107" s="467"/>
      <c r="DF107" s="407"/>
    </row>
    <row r="108" spans="1:110" ht="8.4499999999999993" customHeight="1" x14ac:dyDescent="0.2">
      <c r="A108" s="130" t="s">
        <v>631</v>
      </c>
      <c r="B108" s="96">
        <v>93</v>
      </c>
      <c r="C108" s="82" t="s">
        <v>2456</v>
      </c>
      <c r="D108" s="96">
        <v>42</v>
      </c>
      <c r="E108" s="82" t="s">
        <v>2009</v>
      </c>
      <c r="F108" s="82" t="s">
        <v>2013</v>
      </c>
      <c r="G108" s="97">
        <v>53953.7</v>
      </c>
      <c r="H108" s="98">
        <v>0.61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7">
        <v>28201.599999999999</v>
      </c>
      <c r="BO108" s="102">
        <v>52.27</v>
      </c>
      <c r="BP108" s="102">
        <v>52.27</v>
      </c>
      <c r="BQ108" s="97">
        <v>25752.1</v>
      </c>
      <c r="BR108" s="102">
        <v>47.73</v>
      </c>
      <c r="BS108" s="100">
        <v>100</v>
      </c>
      <c r="BT108" s="99"/>
      <c r="BU108" s="99"/>
      <c r="BV108" s="100">
        <v>100</v>
      </c>
      <c r="BW108" s="99"/>
      <c r="BX108" s="99"/>
      <c r="BY108" s="100">
        <v>100</v>
      </c>
      <c r="BZ108" s="99"/>
      <c r="CA108" s="99"/>
      <c r="CB108" s="100">
        <v>100</v>
      </c>
      <c r="CC108" s="99"/>
      <c r="CD108" s="99"/>
      <c r="CE108" s="989">
        <v>100</v>
      </c>
      <c r="CF108" s="406"/>
      <c r="CG108" s="406"/>
      <c r="CH108" s="407"/>
      <c r="CI108" s="406"/>
      <c r="CJ108" s="406"/>
      <c r="CK108" s="407"/>
      <c r="CL108" s="406"/>
      <c r="CM108" s="406"/>
      <c r="CN108" s="406"/>
      <c r="CO108" s="469"/>
      <c r="CP108" s="467"/>
      <c r="CQ108" s="409"/>
      <c r="CR108" s="409"/>
      <c r="CS108" s="408"/>
      <c r="CT108" s="409"/>
      <c r="CU108" s="409"/>
      <c r="CV108" s="408"/>
      <c r="CW108" s="409"/>
      <c r="CX108" s="473"/>
      <c r="CY108" s="467"/>
      <c r="CZ108" s="408"/>
      <c r="DA108" s="409"/>
      <c r="DB108" s="473"/>
      <c r="DC108" s="467"/>
      <c r="DD108" s="469"/>
      <c r="DE108" s="467"/>
      <c r="DF108" s="407"/>
    </row>
    <row r="109" spans="1:110" ht="8.4499999999999993" customHeight="1" x14ac:dyDescent="0.2">
      <c r="A109" s="130" t="s">
        <v>632</v>
      </c>
      <c r="B109" s="96">
        <v>94</v>
      </c>
      <c r="C109" s="82" t="s">
        <v>2457</v>
      </c>
      <c r="D109" s="96">
        <v>52</v>
      </c>
      <c r="E109" s="82" t="s">
        <v>2032</v>
      </c>
      <c r="F109" s="82" t="s">
        <v>2458</v>
      </c>
      <c r="G109" s="101">
        <v>4476.5600000000004</v>
      </c>
      <c r="H109" s="98">
        <v>0.05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101">
        <v>2057.87</v>
      </c>
      <c r="BF109" s="102">
        <v>45.97</v>
      </c>
      <c r="BG109" s="102">
        <v>45.97</v>
      </c>
      <c r="BH109" s="101">
        <v>2221.27</v>
      </c>
      <c r="BI109" s="102">
        <v>49.62</v>
      </c>
      <c r="BJ109" s="102">
        <v>95.59</v>
      </c>
      <c r="BK109" s="100">
        <v>197.42</v>
      </c>
      <c r="BL109" s="98">
        <v>4.41</v>
      </c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100">
        <v>100</v>
      </c>
      <c r="BW109" s="99"/>
      <c r="BX109" s="99"/>
      <c r="BY109" s="100">
        <v>100</v>
      </c>
      <c r="BZ109" s="99"/>
      <c r="CA109" s="99"/>
      <c r="CB109" s="100">
        <v>100</v>
      </c>
      <c r="CC109" s="99"/>
      <c r="CD109" s="99"/>
      <c r="CE109" s="989">
        <v>100</v>
      </c>
      <c r="CF109" s="406"/>
      <c r="CG109" s="406"/>
      <c r="CH109" s="407"/>
      <c r="CI109" s="406"/>
      <c r="CJ109" s="406"/>
      <c r="CK109" s="407"/>
      <c r="CL109" s="406"/>
      <c r="CM109" s="406"/>
      <c r="CN109" s="406"/>
      <c r="CO109" s="469"/>
      <c r="CP109" s="467"/>
      <c r="CQ109" s="409"/>
      <c r="CR109" s="409"/>
      <c r="CS109" s="408"/>
      <c r="CT109" s="409"/>
      <c r="CU109" s="409"/>
      <c r="CV109" s="408"/>
      <c r="CW109" s="409"/>
      <c r="CX109" s="473"/>
      <c r="CY109" s="467"/>
      <c r="CZ109" s="408"/>
      <c r="DA109" s="409"/>
      <c r="DB109" s="473"/>
      <c r="DC109" s="467"/>
      <c r="DD109" s="469"/>
      <c r="DE109" s="467"/>
      <c r="DF109" s="407"/>
    </row>
    <row r="110" spans="1:110" ht="8.4499999999999993" customHeight="1" x14ac:dyDescent="0.2">
      <c r="A110" s="130" t="s">
        <v>633</v>
      </c>
      <c r="B110" s="96">
        <v>95</v>
      </c>
      <c r="C110" s="82" t="s">
        <v>2459</v>
      </c>
      <c r="D110" s="96">
        <v>22</v>
      </c>
      <c r="E110" s="82" t="s">
        <v>1951</v>
      </c>
      <c r="F110" s="82" t="s">
        <v>1954</v>
      </c>
      <c r="G110" s="101">
        <v>2288.46</v>
      </c>
      <c r="H110" s="98">
        <v>0.03</v>
      </c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01">
        <v>2288.46</v>
      </c>
      <c r="AH110" s="100">
        <v>100</v>
      </c>
      <c r="AI110" s="100">
        <v>100</v>
      </c>
      <c r="AJ110" s="99"/>
      <c r="AK110" s="99"/>
      <c r="AL110" s="100">
        <v>100</v>
      </c>
      <c r="AM110" s="99"/>
      <c r="AN110" s="99"/>
      <c r="AO110" s="100">
        <v>100</v>
      </c>
      <c r="AP110" s="99"/>
      <c r="AQ110" s="99"/>
      <c r="AR110" s="100">
        <v>100</v>
      </c>
      <c r="AS110" s="99"/>
      <c r="AT110" s="99"/>
      <c r="AU110" s="100">
        <v>100</v>
      </c>
      <c r="AV110" s="99"/>
      <c r="AW110" s="99"/>
      <c r="AX110" s="100">
        <v>100</v>
      </c>
      <c r="AY110" s="99"/>
      <c r="AZ110" s="99"/>
      <c r="BA110" s="100">
        <v>100</v>
      </c>
      <c r="BB110" s="99"/>
      <c r="BC110" s="99"/>
      <c r="BD110" s="100">
        <v>100</v>
      </c>
      <c r="BE110" s="99"/>
      <c r="BF110" s="99"/>
      <c r="BG110" s="100">
        <v>100</v>
      </c>
      <c r="BH110" s="99"/>
      <c r="BI110" s="99"/>
      <c r="BJ110" s="100">
        <v>100</v>
      </c>
      <c r="BK110" s="99"/>
      <c r="BL110" s="99"/>
      <c r="BM110" s="100">
        <v>100</v>
      </c>
      <c r="BN110" s="99"/>
      <c r="BO110" s="99"/>
      <c r="BP110" s="100">
        <v>100</v>
      </c>
      <c r="BQ110" s="99"/>
      <c r="BR110" s="99"/>
      <c r="BS110" s="100">
        <v>100</v>
      </c>
      <c r="BT110" s="99"/>
      <c r="BU110" s="99"/>
      <c r="BV110" s="100">
        <v>100</v>
      </c>
      <c r="BW110" s="99"/>
      <c r="BX110" s="99"/>
      <c r="BY110" s="100">
        <v>100</v>
      </c>
      <c r="BZ110" s="99"/>
      <c r="CA110" s="99"/>
      <c r="CB110" s="100">
        <v>100</v>
      </c>
      <c r="CC110" s="99"/>
      <c r="CD110" s="99"/>
      <c r="CE110" s="989">
        <v>100</v>
      </c>
      <c r="CF110" s="460"/>
      <c r="CG110" s="460"/>
      <c r="CH110" s="405"/>
      <c r="CI110" s="460"/>
      <c r="CJ110" s="460"/>
      <c r="CK110" s="405"/>
      <c r="CL110" s="460"/>
      <c r="CM110" s="460"/>
      <c r="CN110" s="460"/>
      <c r="CO110" s="467"/>
      <c r="CP110" s="467"/>
      <c r="CQ110" s="407"/>
      <c r="CR110" s="406"/>
      <c r="CS110" s="406"/>
      <c r="CT110" s="407"/>
      <c r="CU110" s="406"/>
      <c r="CV110" s="406"/>
      <c r="CW110" s="407"/>
      <c r="CX110" s="467"/>
      <c r="CY110" s="467"/>
      <c r="CZ110" s="406"/>
      <c r="DA110" s="407"/>
      <c r="DB110" s="467"/>
      <c r="DC110" s="467"/>
      <c r="DD110" s="467"/>
      <c r="DE110" s="467"/>
      <c r="DF110" s="407"/>
    </row>
    <row r="111" spans="1:110" ht="8.4499999999999993" customHeight="1" x14ac:dyDescent="0.2">
      <c r="A111" s="130" t="s">
        <v>634</v>
      </c>
      <c r="B111" s="96">
        <v>96</v>
      </c>
      <c r="C111" s="82" t="s">
        <v>2460</v>
      </c>
      <c r="D111" s="96">
        <v>10</v>
      </c>
      <c r="E111" s="82" t="s">
        <v>2029</v>
      </c>
      <c r="F111" s="82" t="s">
        <v>2014</v>
      </c>
      <c r="G111" s="100">
        <v>338.71</v>
      </c>
      <c r="H111" s="98">
        <v>0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100">
        <v>338.71</v>
      </c>
      <c r="AZ111" s="100">
        <v>100</v>
      </c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100">
        <v>100</v>
      </c>
      <c r="BW111" s="99"/>
      <c r="BX111" s="99"/>
      <c r="BY111" s="100">
        <v>100</v>
      </c>
      <c r="BZ111" s="99"/>
      <c r="CA111" s="99"/>
      <c r="CB111" s="100">
        <v>100</v>
      </c>
      <c r="CC111" s="99"/>
      <c r="CD111" s="99"/>
      <c r="CE111" s="989">
        <v>100</v>
      </c>
      <c r="CF111" s="406"/>
      <c r="CG111" s="406"/>
      <c r="CH111" s="407"/>
      <c r="CI111" s="406"/>
      <c r="CJ111" s="406"/>
      <c r="CK111" s="407"/>
      <c r="CL111" s="406"/>
      <c r="CM111" s="406"/>
      <c r="CN111" s="406"/>
      <c r="CO111" s="469"/>
      <c r="CP111" s="467"/>
      <c r="CQ111" s="409"/>
      <c r="CR111" s="407"/>
      <c r="CS111" s="408"/>
      <c r="CT111" s="409"/>
      <c r="CU111" s="407"/>
      <c r="CV111" s="408"/>
      <c r="CW111" s="409"/>
      <c r="CX111" s="468"/>
      <c r="CY111" s="467"/>
      <c r="CZ111" s="408"/>
      <c r="DA111" s="409"/>
      <c r="DB111" s="468"/>
      <c r="DC111" s="467"/>
      <c r="DD111" s="469"/>
      <c r="DE111" s="467"/>
      <c r="DF111" s="407"/>
    </row>
    <row r="112" spans="1:110" ht="8.4499999999999993" customHeight="1" x14ac:dyDescent="0.2">
      <c r="A112" s="130" t="s">
        <v>635</v>
      </c>
      <c r="B112" s="96">
        <v>97</v>
      </c>
      <c r="C112" s="82" t="s">
        <v>2461</v>
      </c>
      <c r="D112" s="96">
        <v>42</v>
      </c>
      <c r="E112" s="82" t="s">
        <v>2009</v>
      </c>
      <c r="F112" s="82" t="s">
        <v>2013</v>
      </c>
      <c r="G112" s="97">
        <v>17444.009999999998</v>
      </c>
      <c r="H112" s="98">
        <v>0.2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101">
        <v>7227.05</v>
      </c>
      <c r="BO112" s="102">
        <v>41.43</v>
      </c>
      <c r="BP112" s="102">
        <v>41.43</v>
      </c>
      <c r="BQ112" s="97">
        <v>10216.959999999999</v>
      </c>
      <c r="BR112" s="102">
        <v>58.57</v>
      </c>
      <c r="BS112" s="100">
        <v>100</v>
      </c>
      <c r="BT112" s="99"/>
      <c r="BU112" s="99"/>
      <c r="BV112" s="100">
        <v>100</v>
      </c>
      <c r="BW112" s="99"/>
      <c r="BX112" s="99"/>
      <c r="BY112" s="100">
        <v>100</v>
      </c>
      <c r="BZ112" s="99"/>
      <c r="CA112" s="99"/>
      <c r="CB112" s="100">
        <v>100</v>
      </c>
      <c r="CC112" s="99"/>
      <c r="CD112" s="99"/>
      <c r="CE112" s="989">
        <v>100</v>
      </c>
      <c r="CF112" s="406"/>
      <c r="CG112" s="406"/>
      <c r="CH112" s="407"/>
      <c r="CI112" s="406"/>
      <c r="CJ112" s="406"/>
      <c r="CK112" s="407"/>
      <c r="CL112" s="406"/>
      <c r="CM112" s="406"/>
      <c r="CN112" s="406"/>
      <c r="CO112" s="473"/>
      <c r="CP112" s="467"/>
      <c r="CQ112" s="409"/>
      <c r="CR112" s="407"/>
      <c r="CS112" s="409"/>
      <c r="CT112" s="409"/>
      <c r="CU112" s="407"/>
      <c r="CV112" s="409"/>
      <c r="CW112" s="409"/>
      <c r="CX112" s="468"/>
      <c r="CY112" s="467"/>
      <c r="CZ112" s="409"/>
      <c r="DA112" s="409"/>
      <c r="DB112" s="468"/>
      <c r="DC112" s="467"/>
      <c r="DD112" s="473"/>
      <c r="DE112" s="467"/>
      <c r="DF112" s="407"/>
    </row>
    <row r="113" spans="1:110" ht="8.4499999999999993" customHeight="1" x14ac:dyDescent="0.2">
      <c r="A113" s="130" t="s">
        <v>1407</v>
      </c>
      <c r="B113" s="96">
        <v>98</v>
      </c>
      <c r="C113" s="82" t="s">
        <v>2462</v>
      </c>
      <c r="D113" s="96">
        <v>20</v>
      </c>
      <c r="E113" s="82" t="s">
        <v>2171</v>
      </c>
      <c r="F113" s="82" t="s">
        <v>2170</v>
      </c>
      <c r="G113" s="101">
        <v>4235.63</v>
      </c>
      <c r="H113" s="98">
        <v>0.05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101">
        <v>4235.63</v>
      </c>
      <c r="BL113" s="100">
        <v>100</v>
      </c>
      <c r="BM113" s="100">
        <v>100</v>
      </c>
      <c r="BN113" s="99"/>
      <c r="BO113" s="99"/>
      <c r="BP113" s="100">
        <v>100</v>
      </c>
      <c r="BQ113" s="99"/>
      <c r="BR113" s="99"/>
      <c r="BS113" s="100">
        <v>100</v>
      </c>
      <c r="BT113" s="99"/>
      <c r="BU113" s="99"/>
      <c r="BV113" s="100">
        <v>100</v>
      </c>
      <c r="BW113" s="99"/>
      <c r="BX113" s="99"/>
      <c r="BY113" s="100">
        <v>100</v>
      </c>
      <c r="BZ113" s="99"/>
      <c r="CA113" s="99"/>
      <c r="CB113" s="100">
        <v>100</v>
      </c>
      <c r="CC113" s="99"/>
      <c r="CD113" s="99"/>
      <c r="CE113" s="989">
        <v>100</v>
      </c>
      <c r="CF113" s="406"/>
      <c r="CG113" s="406"/>
      <c r="CH113" s="407"/>
      <c r="CI113" s="406"/>
      <c r="CJ113" s="406"/>
      <c r="CK113" s="407"/>
      <c r="CL113" s="406"/>
      <c r="CM113" s="406"/>
      <c r="CN113" s="406"/>
      <c r="CO113" s="467"/>
      <c r="CP113" s="467"/>
      <c r="CQ113" s="406"/>
      <c r="CR113" s="406"/>
      <c r="CS113" s="406"/>
      <c r="CT113" s="406"/>
      <c r="CU113" s="406"/>
      <c r="CV113" s="406"/>
      <c r="CW113" s="406"/>
      <c r="CX113" s="467"/>
      <c r="CY113" s="467"/>
      <c r="CZ113" s="406"/>
      <c r="DA113" s="406"/>
      <c r="DB113" s="475"/>
      <c r="DC113" s="467"/>
      <c r="DD113" s="468"/>
      <c r="DE113" s="467"/>
      <c r="DF113" s="407"/>
    </row>
    <row r="114" spans="1:110" ht="8.4499999999999993" customHeight="1" x14ac:dyDescent="0.2">
      <c r="A114" s="130" t="s">
        <v>112</v>
      </c>
      <c r="B114" s="88">
        <v>99</v>
      </c>
      <c r="C114" s="87" t="s">
        <v>342</v>
      </c>
      <c r="D114" s="103">
        <v>278</v>
      </c>
      <c r="E114" s="87" t="s">
        <v>2031</v>
      </c>
      <c r="F114" s="87" t="s">
        <v>2024</v>
      </c>
      <c r="G114" s="105">
        <v>344752.42</v>
      </c>
      <c r="H114" s="90">
        <v>3.92</v>
      </c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2">
        <v>3774.43</v>
      </c>
      <c r="AQ114" s="90">
        <v>1.1000000000000001</v>
      </c>
      <c r="AR114" s="90">
        <v>1.1000000000000001</v>
      </c>
      <c r="AS114" s="92">
        <v>4872.8500000000004</v>
      </c>
      <c r="AT114" s="90">
        <v>1.42</v>
      </c>
      <c r="AU114" s="90">
        <v>2.52</v>
      </c>
      <c r="AV114" s="92">
        <v>8124.85</v>
      </c>
      <c r="AW114" s="90">
        <v>2.37</v>
      </c>
      <c r="AX114" s="90">
        <v>4.8899999999999997</v>
      </c>
      <c r="AY114" s="92">
        <v>4878.5</v>
      </c>
      <c r="AZ114" s="90">
        <v>1.42</v>
      </c>
      <c r="BA114" s="90">
        <v>6.31</v>
      </c>
      <c r="BB114" s="89">
        <v>11569.62</v>
      </c>
      <c r="BC114" s="90">
        <v>3.37</v>
      </c>
      <c r="BD114" s="90">
        <v>9.68</v>
      </c>
      <c r="BE114" s="89">
        <v>27430.93</v>
      </c>
      <c r="BF114" s="90">
        <v>7.99</v>
      </c>
      <c r="BG114" s="91">
        <v>17.670000000000002</v>
      </c>
      <c r="BH114" s="89">
        <v>49190.58</v>
      </c>
      <c r="BI114" s="91">
        <v>14.33</v>
      </c>
      <c r="BJ114" s="91">
        <v>32</v>
      </c>
      <c r="BK114" s="89">
        <v>70919.05</v>
      </c>
      <c r="BL114" s="91">
        <v>20.66</v>
      </c>
      <c r="BM114" s="91">
        <v>52.67</v>
      </c>
      <c r="BN114" s="89">
        <v>42705.59</v>
      </c>
      <c r="BO114" s="91">
        <v>12.33</v>
      </c>
      <c r="BP114" s="91">
        <v>64.989999999999995</v>
      </c>
      <c r="BQ114" s="89">
        <v>24403.18</v>
      </c>
      <c r="BR114" s="90">
        <v>6.9</v>
      </c>
      <c r="BS114" s="91">
        <v>71.89</v>
      </c>
      <c r="BT114" s="89">
        <v>44397.4</v>
      </c>
      <c r="BU114" s="91">
        <v>12.83</v>
      </c>
      <c r="BV114" s="91">
        <v>84.72</v>
      </c>
      <c r="BW114" s="89">
        <v>43938.3</v>
      </c>
      <c r="BX114" s="91">
        <v>12.79</v>
      </c>
      <c r="BY114" s="91">
        <v>97.51</v>
      </c>
      <c r="BZ114" s="92">
        <v>8547.11</v>
      </c>
      <c r="CA114" s="90">
        <v>2.4900000000000002</v>
      </c>
      <c r="CB114" s="93">
        <v>100</v>
      </c>
      <c r="CC114" s="94"/>
      <c r="CD114" s="94"/>
      <c r="CE114" s="988">
        <v>100</v>
      </c>
      <c r="CF114" s="406"/>
      <c r="CG114" s="406"/>
      <c r="CH114" s="407"/>
      <c r="CI114" s="406"/>
      <c r="CJ114" s="406"/>
      <c r="CK114" s="407"/>
      <c r="CL114" s="406"/>
      <c r="CM114" s="406"/>
      <c r="CN114" s="406"/>
      <c r="CO114" s="469"/>
      <c r="CP114" s="467"/>
      <c r="CQ114" s="409"/>
      <c r="CR114" s="410"/>
      <c r="CS114" s="408"/>
      <c r="CT114" s="409"/>
      <c r="CU114" s="410"/>
      <c r="CV114" s="408"/>
      <c r="CW114" s="409"/>
      <c r="CX114" s="470"/>
      <c r="CY114" s="467"/>
      <c r="CZ114" s="408"/>
      <c r="DA114" s="409"/>
      <c r="DB114" s="470"/>
      <c r="DC114" s="467"/>
      <c r="DD114" s="469"/>
      <c r="DE114" s="467"/>
      <c r="DF114" s="407"/>
    </row>
    <row r="115" spans="1:110" ht="8.4499999999999993" customHeight="1" x14ac:dyDescent="0.2">
      <c r="A115" s="130" t="s">
        <v>113</v>
      </c>
      <c r="B115" s="103">
        <v>100</v>
      </c>
      <c r="C115" s="87" t="s">
        <v>2017</v>
      </c>
      <c r="D115" s="103">
        <v>234</v>
      </c>
      <c r="E115" s="87" t="s">
        <v>2031</v>
      </c>
      <c r="F115" s="87" t="s">
        <v>2010</v>
      </c>
      <c r="G115" s="89">
        <v>66056.83</v>
      </c>
      <c r="H115" s="90">
        <v>0.75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2">
        <v>3774.43</v>
      </c>
      <c r="AQ115" s="90">
        <v>5.85</v>
      </c>
      <c r="AR115" s="90">
        <v>5.85</v>
      </c>
      <c r="AS115" s="94"/>
      <c r="AT115" s="94"/>
      <c r="AU115" s="90">
        <v>5.85</v>
      </c>
      <c r="AV115" s="92">
        <v>4172.72</v>
      </c>
      <c r="AW115" s="90">
        <v>6.46</v>
      </c>
      <c r="AX115" s="91">
        <v>12.31</v>
      </c>
      <c r="AY115" s="94"/>
      <c r="AZ115" s="94"/>
      <c r="BA115" s="91">
        <v>12.31</v>
      </c>
      <c r="BB115" s="92">
        <v>5460.4</v>
      </c>
      <c r="BC115" s="90">
        <v>8.4600000000000009</v>
      </c>
      <c r="BD115" s="91">
        <v>20.76</v>
      </c>
      <c r="BE115" s="89">
        <v>23535.84</v>
      </c>
      <c r="BF115" s="91">
        <v>36.450000000000003</v>
      </c>
      <c r="BG115" s="91">
        <v>57.21</v>
      </c>
      <c r="BH115" s="89">
        <v>18067.95</v>
      </c>
      <c r="BI115" s="91">
        <v>27.98</v>
      </c>
      <c r="BJ115" s="91">
        <v>85.2</v>
      </c>
      <c r="BK115" s="92">
        <v>1543.48</v>
      </c>
      <c r="BL115" s="90">
        <v>2.39</v>
      </c>
      <c r="BM115" s="91">
        <v>87.59</v>
      </c>
      <c r="BN115" s="92">
        <v>1578.84</v>
      </c>
      <c r="BO115" s="90">
        <v>1.83</v>
      </c>
      <c r="BP115" s="91">
        <v>89.42</v>
      </c>
      <c r="BQ115" s="92">
        <v>3959.68</v>
      </c>
      <c r="BR115" s="90">
        <v>5.03</v>
      </c>
      <c r="BS115" s="91">
        <v>94.45</v>
      </c>
      <c r="BT115" s="92">
        <v>3963.49</v>
      </c>
      <c r="BU115" s="90">
        <v>5.55</v>
      </c>
      <c r="BV115" s="93">
        <v>100</v>
      </c>
      <c r="BW115" s="94"/>
      <c r="BX115" s="94"/>
      <c r="BY115" s="93">
        <v>100</v>
      </c>
      <c r="BZ115" s="94"/>
      <c r="CA115" s="94"/>
      <c r="CB115" s="93">
        <v>100</v>
      </c>
      <c r="CC115" s="94"/>
      <c r="CD115" s="94"/>
      <c r="CE115" s="988">
        <v>100</v>
      </c>
      <c r="CF115" s="460"/>
      <c r="CG115" s="460"/>
      <c r="CH115" s="405"/>
      <c r="CI115" s="460"/>
      <c r="CJ115" s="460"/>
      <c r="CK115" s="405"/>
      <c r="CL115" s="460"/>
      <c r="CM115" s="460"/>
      <c r="CN115" s="460"/>
      <c r="CO115" s="469"/>
      <c r="CP115" s="467"/>
      <c r="CQ115" s="409"/>
      <c r="CR115" s="407"/>
      <c r="CS115" s="408"/>
      <c r="CT115" s="409"/>
      <c r="CU115" s="407"/>
      <c r="CV115" s="408"/>
      <c r="CW115" s="409"/>
      <c r="CX115" s="468"/>
      <c r="CY115" s="467"/>
      <c r="CZ115" s="408"/>
      <c r="DA115" s="409"/>
      <c r="DB115" s="468"/>
      <c r="DC115" s="467"/>
      <c r="DD115" s="469"/>
      <c r="DE115" s="467"/>
      <c r="DF115" s="407"/>
    </row>
    <row r="116" spans="1:110" ht="8.4499999999999993" customHeight="1" x14ac:dyDescent="0.2">
      <c r="A116" s="130" t="s">
        <v>2051</v>
      </c>
      <c r="B116" s="104">
        <v>101</v>
      </c>
      <c r="C116" s="82" t="s">
        <v>2463</v>
      </c>
      <c r="D116" s="96">
        <v>43</v>
      </c>
      <c r="E116" s="82" t="s">
        <v>2012</v>
      </c>
      <c r="F116" s="82" t="s">
        <v>2010</v>
      </c>
      <c r="G116" s="101">
        <v>1212.76</v>
      </c>
      <c r="H116" s="98">
        <v>0.01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100">
        <v>606.38</v>
      </c>
      <c r="BR116" s="102">
        <v>50</v>
      </c>
      <c r="BS116" s="102">
        <v>50</v>
      </c>
      <c r="BT116" s="100">
        <v>606.38</v>
      </c>
      <c r="BU116" s="102">
        <v>50</v>
      </c>
      <c r="BV116" s="100">
        <v>100</v>
      </c>
      <c r="BW116" s="99"/>
      <c r="BX116" s="99"/>
      <c r="BY116" s="100">
        <v>100</v>
      </c>
      <c r="BZ116" s="99"/>
      <c r="CA116" s="99"/>
      <c r="CB116" s="100">
        <v>100</v>
      </c>
      <c r="CC116" s="99"/>
      <c r="CD116" s="99"/>
      <c r="CE116" s="989">
        <v>100</v>
      </c>
      <c r="CF116" s="406"/>
      <c r="CG116" s="406"/>
      <c r="CH116" s="407"/>
      <c r="CI116" s="406"/>
      <c r="CJ116" s="406"/>
      <c r="CK116" s="407"/>
      <c r="CL116" s="406"/>
      <c r="CM116" s="406"/>
      <c r="CN116" s="406"/>
      <c r="CO116" s="469"/>
      <c r="CP116" s="467"/>
      <c r="CQ116" s="409"/>
      <c r="CR116" s="407"/>
      <c r="CS116" s="408"/>
      <c r="CT116" s="409"/>
      <c r="CU116" s="407"/>
      <c r="CV116" s="408"/>
      <c r="CW116" s="409"/>
      <c r="CX116" s="468"/>
      <c r="CY116" s="467"/>
      <c r="CZ116" s="408"/>
      <c r="DA116" s="409"/>
      <c r="DB116" s="468"/>
      <c r="DC116" s="467"/>
      <c r="DD116" s="469"/>
      <c r="DE116" s="467"/>
      <c r="DF116" s="407"/>
    </row>
    <row r="117" spans="1:110" ht="8.4499999999999993" customHeight="1" x14ac:dyDescent="0.2">
      <c r="A117" s="130" t="s">
        <v>2052</v>
      </c>
      <c r="B117" s="104">
        <v>102</v>
      </c>
      <c r="C117" s="82" t="s">
        <v>2464</v>
      </c>
      <c r="D117" s="96">
        <v>43</v>
      </c>
      <c r="E117" s="82" t="s">
        <v>2012</v>
      </c>
      <c r="F117" s="82" t="s">
        <v>2010</v>
      </c>
      <c r="G117" s="100">
        <v>723.25</v>
      </c>
      <c r="H117" s="98">
        <v>0.01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100">
        <v>361.63</v>
      </c>
      <c r="BR117" s="102">
        <v>50</v>
      </c>
      <c r="BS117" s="102">
        <v>50</v>
      </c>
      <c r="BT117" s="100">
        <v>361.63</v>
      </c>
      <c r="BU117" s="102">
        <v>50</v>
      </c>
      <c r="BV117" s="100">
        <v>100</v>
      </c>
      <c r="BW117" s="99"/>
      <c r="BX117" s="99"/>
      <c r="BY117" s="100">
        <v>100</v>
      </c>
      <c r="BZ117" s="99"/>
      <c r="CA117" s="99"/>
      <c r="CB117" s="100">
        <v>100</v>
      </c>
      <c r="CC117" s="99"/>
      <c r="CD117" s="99"/>
      <c r="CE117" s="989">
        <v>100</v>
      </c>
      <c r="CF117" s="406"/>
      <c r="CG117" s="406"/>
      <c r="CH117" s="407"/>
      <c r="CI117" s="406"/>
      <c r="CJ117" s="406"/>
      <c r="CK117" s="407"/>
      <c r="CL117" s="406"/>
      <c r="CM117" s="406"/>
      <c r="CN117" s="406"/>
      <c r="CO117" s="469"/>
      <c r="CP117" s="467"/>
      <c r="CQ117" s="409"/>
      <c r="CR117" s="407"/>
      <c r="CS117" s="408"/>
      <c r="CT117" s="409"/>
      <c r="CU117" s="407"/>
      <c r="CV117" s="408"/>
      <c r="CW117" s="409"/>
      <c r="CX117" s="468"/>
      <c r="CY117" s="467"/>
      <c r="CZ117" s="408"/>
      <c r="DA117" s="409"/>
      <c r="DB117" s="468"/>
      <c r="DC117" s="467"/>
      <c r="DD117" s="469"/>
      <c r="DE117" s="467"/>
      <c r="DF117" s="407"/>
    </row>
    <row r="118" spans="1:110" ht="8.4499999999999993" customHeight="1" x14ac:dyDescent="0.2">
      <c r="A118" s="130" t="s">
        <v>2053</v>
      </c>
      <c r="B118" s="104">
        <v>103</v>
      </c>
      <c r="C118" s="82" t="s">
        <v>2465</v>
      </c>
      <c r="D118" s="96">
        <v>74</v>
      </c>
      <c r="E118" s="82" t="s">
        <v>2168</v>
      </c>
      <c r="F118" s="82" t="s">
        <v>2010</v>
      </c>
      <c r="G118" s="101">
        <v>3630.23</v>
      </c>
      <c r="H118" s="98">
        <v>0.04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100">
        <v>776.51</v>
      </c>
      <c r="BL118" s="102">
        <v>21.39</v>
      </c>
      <c r="BM118" s="102">
        <v>21.39</v>
      </c>
      <c r="BN118" s="99"/>
      <c r="BO118" s="99"/>
      <c r="BP118" s="102">
        <v>21.39</v>
      </c>
      <c r="BQ118" s="99"/>
      <c r="BR118" s="99"/>
      <c r="BS118" s="102">
        <v>21.39</v>
      </c>
      <c r="BT118" s="101">
        <v>2853.72</v>
      </c>
      <c r="BU118" s="102">
        <v>78.61</v>
      </c>
      <c r="BV118" s="100">
        <v>100</v>
      </c>
      <c r="BW118" s="99"/>
      <c r="BX118" s="99"/>
      <c r="BY118" s="100">
        <v>100</v>
      </c>
      <c r="BZ118" s="99"/>
      <c r="CA118" s="99"/>
      <c r="CB118" s="100">
        <v>100</v>
      </c>
      <c r="CC118" s="99"/>
      <c r="CD118" s="99"/>
      <c r="CE118" s="989">
        <v>100</v>
      </c>
      <c r="CF118" s="406"/>
      <c r="CG118" s="406"/>
      <c r="CH118" s="407"/>
      <c r="CI118" s="406"/>
      <c r="CJ118" s="406"/>
      <c r="CK118" s="407"/>
      <c r="CL118" s="406"/>
      <c r="CM118" s="406"/>
      <c r="CN118" s="406"/>
      <c r="CO118" s="469"/>
      <c r="CP118" s="467"/>
      <c r="CQ118" s="409"/>
      <c r="CR118" s="410"/>
      <c r="CS118" s="408"/>
      <c r="CT118" s="409"/>
      <c r="CU118" s="410"/>
      <c r="CV118" s="408"/>
      <c r="CW118" s="409"/>
      <c r="CX118" s="470"/>
      <c r="CY118" s="467"/>
      <c r="CZ118" s="408"/>
      <c r="DA118" s="409"/>
      <c r="DB118" s="470"/>
      <c r="DC118" s="467"/>
      <c r="DD118" s="469"/>
      <c r="DE118" s="467"/>
      <c r="DF118" s="407"/>
    </row>
    <row r="119" spans="1:110" ht="8.4499999999999993" customHeight="1" x14ac:dyDescent="0.2">
      <c r="A119" s="130" t="s">
        <v>2054</v>
      </c>
      <c r="B119" s="104">
        <v>104</v>
      </c>
      <c r="C119" s="82" t="s">
        <v>2466</v>
      </c>
      <c r="D119" s="96">
        <v>50</v>
      </c>
      <c r="E119" s="82" t="s">
        <v>2467</v>
      </c>
      <c r="F119" s="82" t="s">
        <v>2167</v>
      </c>
      <c r="G119" s="97">
        <v>42995.28</v>
      </c>
      <c r="H119" s="98">
        <v>0.49</v>
      </c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101">
        <v>5460.4</v>
      </c>
      <c r="BC119" s="102">
        <v>12.7</v>
      </c>
      <c r="BD119" s="102">
        <v>12.7</v>
      </c>
      <c r="BE119" s="97">
        <v>21665.32</v>
      </c>
      <c r="BF119" s="102">
        <v>50.39</v>
      </c>
      <c r="BG119" s="102">
        <v>63.09</v>
      </c>
      <c r="BH119" s="97">
        <v>15869.56</v>
      </c>
      <c r="BI119" s="102">
        <v>36.909999999999997</v>
      </c>
      <c r="BJ119" s="100">
        <v>100</v>
      </c>
      <c r="BK119" s="99"/>
      <c r="BL119" s="99"/>
      <c r="BM119" s="100">
        <v>100</v>
      </c>
      <c r="BN119" s="99"/>
      <c r="BO119" s="99"/>
      <c r="BP119" s="100">
        <v>100</v>
      </c>
      <c r="BQ119" s="99"/>
      <c r="BR119" s="99"/>
      <c r="BS119" s="100">
        <v>100</v>
      </c>
      <c r="BT119" s="99"/>
      <c r="BU119" s="99"/>
      <c r="BV119" s="100">
        <v>100</v>
      </c>
      <c r="BW119" s="99"/>
      <c r="BX119" s="99"/>
      <c r="BY119" s="100">
        <v>100</v>
      </c>
      <c r="BZ119" s="99"/>
      <c r="CA119" s="99"/>
      <c r="CB119" s="100">
        <v>100</v>
      </c>
      <c r="CC119" s="99"/>
      <c r="CD119" s="99"/>
      <c r="CE119" s="989">
        <v>100</v>
      </c>
      <c r="CF119" s="460"/>
      <c r="CG119" s="460"/>
      <c r="CH119" s="405"/>
      <c r="CI119" s="460"/>
      <c r="CJ119" s="460"/>
      <c r="CK119" s="405"/>
      <c r="CL119" s="460"/>
      <c r="CM119" s="460"/>
      <c r="CN119" s="460"/>
      <c r="CO119" s="469"/>
      <c r="CP119" s="467"/>
      <c r="CQ119" s="409"/>
      <c r="CR119" s="410"/>
      <c r="CS119" s="408"/>
      <c r="CT119" s="409"/>
      <c r="CU119" s="410"/>
      <c r="CV119" s="408"/>
      <c r="CW119" s="409"/>
      <c r="CX119" s="470"/>
      <c r="CY119" s="467"/>
      <c r="CZ119" s="408"/>
      <c r="DA119" s="409"/>
      <c r="DB119" s="470"/>
      <c r="DC119" s="467"/>
      <c r="DD119" s="469"/>
      <c r="DE119" s="467"/>
      <c r="DF119" s="407"/>
    </row>
    <row r="120" spans="1:110" ht="8.4499999999999993" customHeight="1" x14ac:dyDescent="0.2">
      <c r="A120" s="130" t="s">
        <v>2055</v>
      </c>
      <c r="B120" s="104">
        <v>105</v>
      </c>
      <c r="C120" s="82" t="s">
        <v>2468</v>
      </c>
      <c r="D120" s="96">
        <v>49</v>
      </c>
      <c r="E120" s="82" t="s">
        <v>2453</v>
      </c>
      <c r="F120" s="82" t="s">
        <v>2469</v>
      </c>
      <c r="G120" s="101">
        <v>4835.88</v>
      </c>
      <c r="H120" s="98">
        <v>0.05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01">
        <v>1870.52</v>
      </c>
      <c r="BF120" s="102">
        <v>38.68</v>
      </c>
      <c r="BG120" s="102">
        <v>38.68</v>
      </c>
      <c r="BH120" s="101">
        <v>2198.39</v>
      </c>
      <c r="BI120" s="102">
        <v>45.46</v>
      </c>
      <c r="BJ120" s="102">
        <v>84.14</v>
      </c>
      <c r="BK120" s="100">
        <v>766.97</v>
      </c>
      <c r="BL120" s="102">
        <v>15.86</v>
      </c>
      <c r="BM120" s="100">
        <v>100</v>
      </c>
      <c r="BN120" s="99"/>
      <c r="BO120" s="99"/>
      <c r="BP120" s="100">
        <v>100</v>
      </c>
      <c r="BQ120" s="99"/>
      <c r="BR120" s="99"/>
      <c r="BS120" s="100">
        <v>100</v>
      </c>
      <c r="BT120" s="99"/>
      <c r="BU120" s="99"/>
      <c r="BV120" s="100">
        <v>100</v>
      </c>
      <c r="BW120" s="99"/>
      <c r="BX120" s="99"/>
      <c r="BY120" s="100">
        <v>100</v>
      </c>
      <c r="BZ120" s="99"/>
      <c r="CA120" s="99"/>
      <c r="CB120" s="100">
        <v>100</v>
      </c>
      <c r="CC120" s="99"/>
      <c r="CD120" s="99"/>
      <c r="CE120" s="989">
        <v>100</v>
      </c>
      <c r="CF120" s="406"/>
      <c r="CG120" s="406"/>
      <c r="CH120" s="407"/>
      <c r="CI120" s="406"/>
      <c r="CJ120" s="406"/>
      <c r="CK120" s="407"/>
      <c r="CL120" s="406"/>
      <c r="CM120" s="406"/>
      <c r="CN120" s="406"/>
      <c r="CO120" s="466"/>
      <c r="CP120" s="464"/>
      <c r="CQ120" s="404"/>
      <c r="CR120" s="411"/>
      <c r="CS120" s="462"/>
      <c r="CT120" s="404"/>
      <c r="CU120" s="411"/>
      <c r="CV120" s="462"/>
      <c r="CW120" s="404"/>
      <c r="CX120" s="472"/>
      <c r="CY120" s="464"/>
      <c r="CZ120" s="462"/>
      <c r="DA120" s="404"/>
      <c r="DB120" s="472"/>
      <c r="DC120" s="464"/>
      <c r="DD120" s="466"/>
      <c r="DE120" s="464"/>
      <c r="DF120" s="405"/>
    </row>
    <row r="121" spans="1:110" ht="8.4499999999999993" customHeight="1" x14ac:dyDescent="0.2">
      <c r="A121" s="130" t="s">
        <v>2056</v>
      </c>
      <c r="B121" s="104">
        <v>106</v>
      </c>
      <c r="C121" s="82" t="s">
        <v>2470</v>
      </c>
      <c r="D121" s="96">
        <v>52</v>
      </c>
      <c r="E121" s="82" t="s">
        <v>2471</v>
      </c>
      <c r="F121" s="82" t="s">
        <v>2181</v>
      </c>
      <c r="G121" s="101">
        <v>2048.56</v>
      </c>
      <c r="H121" s="98">
        <v>0.02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100">
        <v>953.4</v>
      </c>
      <c r="BO121" s="102">
        <v>46.54</v>
      </c>
      <c r="BP121" s="102">
        <v>46.54</v>
      </c>
      <c r="BQ121" s="100">
        <v>953.4</v>
      </c>
      <c r="BR121" s="102">
        <v>46.54</v>
      </c>
      <c r="BS121" s="102">
        <v>93.08</v>
      </c>
      <c r="BT121" s="100">
        <v>141.76</v>
      </c>
      <c r="BU121" s="98">
        <v>6.92</v>
      </c>
      <c r="BV121" s="100">
        <v>100</v>
      </c>
      <c r="BW121" s="99"/>
      <c r="BX121" s="99"/>
      <c r="BY121" s="100">
        <v>100</v>
      </c>
      <c r="BZ121" s="99"/>
      <c r="CA121" s="99"/>
      <c r="CB121" s="100">
        <v>100</v>
      </c>
      <c r="CC121" s="99"/>
      <c r="CD121" s="99"/>
      <c r="CE121" s="989">
        <v>100</v>
      </c>
      <c r="CF121" s="406"/>
      <c r="CG121" s="406"/>
      <c r="CH121" s="407"/>
      <c r="CI121" s="406"/>
      <c r="CJ121" s="406"/>
      <c r="CK121" s="407"/>
      <c r="CL121" s="406"/>
      <c r="CM121" s="406"/>
      <c r="CN121" s="406"/>
      <c r="CO121" s="469"/>
      <c r="CP121" s="467"/>
      <c r="CQ121" s="409"/>
      <c r="CR121" s="412"/>
      <c r="CS121" s="408"/>
      <c r="CT121" s="409"/>
      <c r="CU121" s="412"/>
      <c r="CV121" s="408"/>
      <c r="CW121" s="409"/>
      <c r="CX121" s="475"/>
      <c r="CY121" s="467"/>
      <c r="CZ121" s="408"/>
      <c r="DA121" s="409"/>
      <c r="DB121" s="475"/>
      <c r="DC121" s="467"/>
      <c r="DD121" s="469"/>
      <c r="DE121" s="467"/>
      <c r="DF121" s="407"/>
    </row>
    <row r="122" spans="1:110" ht="8.4499999999999993" customHeight="1" x14ac:dyDescent="0.2">
      <c r="A122" s="130" t="s">
        <v>2057</v>
      </c>
      <c r="B122" s="104">
        <v>107</v>
      </c>
      <c r="C122" s="82" t="s">
        <v>2472</v>
      </c>
      <c r="D122" s="96">
        <v>42</v>
      </c>
      <c r="E122" s="82" t="s">
        <v>2009</v>
      </c>
      <c r="F122" s="82" t="s">
        <v>2013</v>
      </c>
      <c r="G122" s="101">
        <v>2663.72</v>
      </c>
      <c r="H122" s="98">
        <v>0.03</v>
      </c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100">
        <v>625.44000000000005</v>
      </c>
      <c r="BO122" s="102">
        <v>23.48</v>
      </c>
      <c r="BP122" s="102">
        <v>23.48</v>
      </c>
      <c r="BQ122" s="101">
        <v>2038.28</v>
      </c>
      <c r="BR122" s="102">
        <v>76.52</v>
      </c>
      <c r="BS122" s="100">
        <v>100</v>
      </c>
      <c r="BT122" s="99"/>
      <c r="BU122" s="99"/>
      <c r="BV122" s="100">
        <v>100</v>
      </c>
      <c r="BW122" s="99"/>
      <c r="BX122" s="99"/>
      <c r="BY122" s="100">
        <v>100</v>
      </c>
      <c r="BZ122" s="99"/>
      <c r="CA122" s="99"/>
      <c r="CB122" s="100">
        <v>100</v>
      </c>
      <c r="CC122" s="99"/>
      <c r="CD122" s="99"/>
      <c r="CE122" s="989">
        <v>100</v>
      </c>
      <c r="CF122" s="460"/>
      <c r="CG122" s="460"/>
      <c r="CH122" s="405"/>
      <c r="CI122" s="460"/>
      <c r="CJ122" s="460"/>
      <c r="CK122" s="405"/>
      <c r="CL122" s="460"/>
      <c r="CM122" s="460"/>
      <c r="CN122" s="460"/>
      <c r="CO122" s="466"/>
      <c r="CP122" s="464"/>
      <c r="CQ122" s="460"/>
      <c r="CR122" s="461"/>
      <c r="CS122" s="462"/>
      <c r="CT122" s="460"/>
      <c r="CU122" s="461"/>
      <c r="CV122" s="462"/>
      <c r="CW122" s="460"/>
      <c r="CX122" s="476"/>
      <c r="CY122" s="464"/>
      <c r="CZ122" s="462"/>
      <c r="DA122" s="460"/>
      <c r="DB122" s="476"/>
      <c r="DC122" s="464"/>
      <c r="DD122" s="466"/>
      <c r="DE122" s="464"/>
      <c r="DF122" s="460"/>
    </row>
    <row r="123" spans="1:110" ht="8.4499999999999993" customHeight="1" x14ac:dyDescent="0.2">
      <c r="A123" s="130" t="s">
        <v>2059</v>
      </c>
      <c r="B123" s="104">
        <v>108</v>
      </c>
      <c r="C123" s="82" t="s">
        <v>2473</v>
      </c>
      <c r="D123" s="96">
        <v>65</v>
      </c>
      <c r="E123" s="82" t="s">
        <v>2031</v>
      </c>
      <c r="F123" s="82" t="s">
        <v>2016</v>
      </c>
      <c r="G123" s="101">
        <v>5651.19</v>
      </c>
      <c r="H123" s="98">
        <v>0.06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101">
        <v>3774.43</v>
      </c>
      <c r="AQ123" s="102">
        <v>66.790000000000006</v>
      </c>
      <c r="AR123" s="102">
        <v>66.790000000000006</v>
      </c>
      <c r="AS123" s="99"/>
      <c r="AT123" s="99"/>
      <c r="AU123" s="102">
        <v>66.790000000000006</v>
      </c>
      <c r="AV123" s="101">
        <v>1876.76</v>
      </c>
      <c r="AW123" s="102">
        <v>33.21</v>
      </c>
      <c r="AX123" s="100">
        <v>100</v>
      </c>
      <c r="AY123" s="99"/>
      <c r="AZ123" s="99"/>
      <c r="BA123" s="100">
        <v>100</v>
      </c>
      <c r="BB123" s="99"/>
      <c r="BC123" s="99"/>
      <c r="BD123" s="100">
        <v>100</v>
      </c>
      <c r="BE123" s="99"/>
      <c r="BF123" s="99"/>
      <c r="BG123" s="100">
        <v>100</v>
      </c>
      <c r="BH123" s="99"/>
      <c r="BI123" s="99"/>
      <c r="BJ123" s="100">
        <v>100</v>
      </c>
      <c r="BK123" s="99"/>
      <c r="BL123" s="99"/>
      <c r="BM123" s="100">
        <v>100</v>
      </c>
      <c r="BN123" s="99"/>
      <c r="BO123" s="99"/>
      <c r="BP123" s="100">
        <v>100</v>
      </c>
      <c r="BQ123" s="99"/>
      <c r="BR123" s="99"/>
      <c r="BS123" s="100">
        <v>100</v>
      </c>
      <c r="BT123" s="99"/>
      <c r="BU123" s="99"/>
      <c r="BV123" s="100">
        <v>100</v>
      </c>
      <c r="BW123" s="99"/>
      <c r="BX123" s="99"/>
      <c r="BY123" s="100">
        <v>100</v>
      </c>
      <c r="BZ123" s="99"/>
      <c r="CA123" s="99"/>
      <c r="CB123" s="100">
        <v>100</v>
      </c>
      <c r="CC123" s="99"/>
      <c r="CD123" s="99"/>
      <c r="CE123" s="989">
        <v>100</v>
      </c>
      <c r="CF123" s="406"/>
      <c r="CG123" s="406"/>
      <c r="CH123" s="407"/>
      <c r="CI123" s="406"/>
      <c r="CJ123" s="406"/>
      <c r="CK123" s="407"/>
      <c r="CL123" s="406"/>
      <c r="CM123" s="406"/>
      <c r="CN123" s="406"/>
      <c r="CO123" s="464"/>
      <c r="CP123" s="464"/>
      <c r="CQ123" s="404"/>
      <c r="CR123" s="459"/>
      <c r="CS123" s="460"/>
      <c r="CT123" s="404"/>
      <c r="CU123" s="459"/>
      <c r="CV123" s="460"/>
      <c r="CW123" s="404"/>
      <c r="CX123" s="477"/>
      <c r="CY123" s="464"/>
      <c r="CZ123" s="460"/>
      <c r="DA123" s="404"/>
      <c r="DB123" s="477"/>
      <c r="DC123" s="464"/>
      <c r="DD123" s="464"/>
      <c r="DE123" s="464"/>
      <c r="DF123" s="405"/>
    </row>
    <row r="124" spans="1:110" ht="8.4499999999999993" customHeight="1" x14ac:dyDescent="0.2">
      <c r="A124" s="130" t="s">
        <v>2060</v>
      </c>
      <c r="B124" s="104">
        <v>109</v>
      </c>
      <c r="C124" s="82" t="s">
        <v>2474</v>
      </c>
      <c r="D124" s="96">
        <v>21</v>
      </c>
      <c r="E124" s="82" t="s">
        <v>2165</v>
      </c>
      <c r="F124" s="82" t="s">
        <v>2016</v>
      </c>
      <c r="G124" s="101">
        <v>2295.96</v>
      </c>
      <c r="H124" s="98">
        <v>0.03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101">
        <v>2295.96</v>
      </c>
      <c r="AW124" s="100">
        <v>100</v>
      </c>
      <c r="AX124" s="100">
        <v>100</v>
      </c>
      <c r="AY124" s="99"/>
      <c r="AZ124" s="99"/>
      <c r="BA124" s="100">
        <v>100</v>
      </c>
      <c r="BB124" s="99"/>
      <c r="BC124" s="99"/>
      <c r="BD124" s="100">
        <v>100</v>
      </c>
      <c r="BE124" s="99"/>
      <c r="BF124" s="99"/>
      <c r="BG124" s="100">
        <v>100</v>
      </c>
      <c r="BH124" s="99"/>
      <c r="BI124" s="99"/>
      <c r="BJ124" s="100">
        <v>100</v>
      </c>
      <c r="BK124" s="99"/>
      <c r="BL124" s="99"/>
      <c r="BM124" s="100">
        <v>100</v>
      </c>
      <c r="BN124" s="99"/>
      <c r="BO124" s="99"/>
      <c r="BP124" s="100">
        <v>100</v>
      </c>
      <c r="BQ124" s="99"/>
      <c r="BR124" s="99"/>
      <c r="BS124" s="100">
        <v>100</v>
      </c>
      <c r="BT124" s="99"/>
      <c r="BU124" s="99"/>
      <c r="BV124" s="100">
        <v>100</v>
      </c>
      <c r="BW124" s="99"/>
      <c r="BX124" s="99"/>
      <c r="BY124" s="100">
        <v>100</v>
      </c>
      <c r="BZ124" s="99"/>
      <c r="CA124" s="99"/>
      <c r="CB124" s="100">
        <v>100</v>
      </c>
      <c r="CC124" s="99"/>
      <c r="CD124" s="99"/>
      <c r="CE124" s="989">
        <v>100</v>
      </c>
      <c r="CF124" s="406"/>
      <c r="CG124" s="406"/>
      <c r="CH124" s="407"/>
      <c r="CI124" s="406"/>
      <c r="CJ124" s="406"/>
      <c r="CK124" s="407"/>
      <c r="CL124" s="406"/>
      <c r="CM124" s="406"/>
      <c r="CN124" s="406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118</v>
      </c>
      <c r="B125" s="103">
        <v>110</v>
      </c>
      <c r="C125" s="87" t="s">
        <v>2018</v>
      </c>
      <c r="D125" s="88">
        <v>73</v>
      </c>
      <c r="E125" s="87" t="s">
        <v>2193</v>
      </c>
      <c r="F125" s="87" t="s">
        <v>2013</v>
      </c>
      <c r="G125" s="92">
        <v>1518.28</v>
      </c>
      <c r="H125" s="90">
        <v>0.02</v>
      </c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3">
        <v>218.36</v>
      </c>
      <c r="BI125" s="91">
        <v>14.38</v>
      </c>
      <c r="BJ125" s="91">
        <v>14.38</v>
      </c>
      <c r="BK125" s="93">
        <v>788.3</v>
      </c>
      <c r="BL125" s="91">
        <v>51.92</v>
      </c>
      <c r="BM125" s="91">
        <v>66.3</v>
      </c>
      <c r="BN125" s="93">
        <v>461.91</v>
      </c>
      <c r="BO125" s="91">
        <v>30.42</v>
      </c>
      <c r="BP125" s="91">
        <v>96.73</v>
      </c>
      <c r="BQ125" s="91">
        <v>49.71</v>
      </c>
      <c r="BR125" s="90">
        <v>3.27</v>
      </c>
      <c r="BS125" s="93">
        <v>100</v>
      </c>
      <c r="BT125" s="94"/>
      <c r="BU125" s="94"/>
      <c r="BV125" s="93">
        <v>100</v>
      </c>
      <c r="BW125" s="94"/>
      <c r="BX125" s="94"/>
      <c r="BY125" s="93">
        <v>100</v>
      </c>
      <c r="BZ125" s="94"/>
      <c r="CA125" s="94"/>
      <c r="CB125" s="93">
        <v>100</v>
      </c>
      <c r="CC125" s="94"/>
      <c r="CD125" s="94"/>
      <c r="CE125" s="988">
        <v>100</v>
      </c>
      <c r="CF125" s="406"/>
      <c r="CG125" s="406"/>
      <c r="CH125" s="407"/>
      <c r="CI125" s="406"/>
      <c r="CJ125" s="406"/>
      <c r="CK125" s="407"/>
      <c r="CL125" s="406"/>
      <c r="CM125" s="406"/>
      <c r="CN125" s="406"/>
      <c r="CO125" s="464"/>
      <c r="CP125" s="464"/>
      <c r="CQ125" s="405"/>
      <c r="CR125" s="460"/>
      <c r="CS125" s="460"/>
      <c r="CT125" s="405"/>
      <c r="CU125" s="460"/>
      <c r="CV125" s="460"/>
      <c r="CW125" s="405"/>
      <c r="CX125" s="464"/>
      <c r="CY125" s="464"/>
      <c r="CZ125" s="460"/>
      <c r="DA125" s="405"/>
      <c r="DB125" s="464"/>
      <c r="DC125" s="464"/>
      <c r="DD125" s="464"/>
      <c r="DE125" s="464"/>
      <c r="DF125" s="405"/>
    </row>
    <row r="126" spans="1:110" ht="16.899999999999999" customHeight="1" x14ac:dyDescent="0.2">
      <c r="A126" s="130" t="s">
        <v>119</v>
      </c>
      <c r="B126" s="104">
        <v>111</v>
      </c>
      <c r="C126" s="82" t="s">
        <v>2475</v>
      </c>
      <c r="D126" s="96">
        <v>45</v>
      </c>
      <c r="E126" s="82" t="s">
        <v>2193</v>
      </c>
      <c r="F126" s="82" t="s">
        <v>2476</v>
      </c>
      <c r="G126" s="100">
        <v>760.02</v>
      </c>
      <c r="H126" s="98">
        <v>0.01</v>
      </c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100">
        <v>121.38</v>
      </c>
      <c r="BI126" s="102">
        <v>15.97</v>
      </c>
      <c r="BJ126" s="102">
        <v>15.97</v>
      </c>
      <c r="BK126" s="100">
        <v>424.78</v>
      </c>
      <c r="BL126" s="102">
        <v>55.89</v>
      </c>
      <c r="BM126" s="102">
        <v>71.86</v>
      </c>
      <c r="BN126" s="100">
        <v>213.87</v>
      </c>
      <c r="BO126" s="102">
        <v>28.14</v>
      </c>
      <c r="BP126" s="100">
        <v>100</v>
      </c>
      <c r="BQ126" s="99"/>
      <c r="BR126" s="99"/>
      <c r="BS126" s="100">
        <v>100</v>
      </c>
      <c r="BT126" s="99"/>
      <c r="BU126" s="99"/>
      <c r="BV126" s="100">
        <v>100</v>
      </c>
      <c r="BW126" s="99"/>
      <c r="BX126" s="99"/>
      <c r="BY126" s="100">
        <v>100</v>
      </c>
      <c r="BZ126" s="99"/>
      <c r="CA126" s="99"/>
      <c r="CB126" s="100">
        <v>100</v>
      </c>
      <c r="CC126" s="99"/>
      <c r="CD126" s="99"/>
      <c r="CE126" s="989">
        <v>100</v>
      </c>
      <c r="CF126" s="406"/>
      <c r="CG126" s="406"/>
      <c r="CH126" s="407"/>
      <c r="CI126" s="406"/>
      <c r="CJ126" s="406"/>
      <c r="CK126" s="407"/>
      <c r="CL126" s="406"/>
      <c r="CM126" s="406"/>
      <c r="CN126" s="406"/>
      <c r="CO126" s="467"/>
      <c r="CP126" s="467"/>
      <c r="CQ126" s="407"/>
      <c r="CR126" s="406"/>
      <c r="CS126" s="406"/>
      <c r="CT126" s="407"/>
      <c r="CU126" s="406"/>
      <c r="CV126" s="406"/>
      <c r="CW126" s="407"/>
      <c r="CX126" s="467"/>
      <c r="CY126" s="467"/>
      <c r="CZ126" s="406"/>
      <c r="DA126" s="407"/>
      <c r="DB126" s="467"/>
      <c r="DC126" s="467"/>
      <c r="DD126" s="467"/>
      <c r="DE126" s="467"/>
      <c r="DF126" s="407"/>
    </row>
    <row r="127" spans="1:110" ht="16.899999999999999" customHeight="1" x14ac:dyDescent="0.2">
      <c r="A127" s="130" t="s">
        <v>120</v>
      </c>
      <c r="B127" s="104">
        <v>112</v>
      </c>
      <c r="C127" s="82" t="s">
        <v>2477</v>
      </c>
      <c r="D127" s="96">
        <v>45</v>
      </c>
      <c r="E127" s="82" t="s">
        <v>2193</v>
      </c>
      <c r="F127" s="82" t="s">
        <v>2476</v>
      </c>
      <c r="G127" s="100">
        <v>607.29</v>
      </c>
      <c r="H127" s="98">
        <v>0.01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102">
        <v>96.98</v>
      </c>
      <c r="BI127" s="102">
        <v>15.97</v>
      </c>
      <c r="BJ127" s="102">
        <v>15.97</v>
      </c>
      <c r="BK127" s="100">
        <v>339.41</v>
      </c>
      <c r="BL127" s="102">
        <v>55.89</v>
      </c>
      <c r="BM127" s="102">
        <v>71.86</v>
      </c>
      <c r="BN127" s="100">
        <v>170.89</v>
      </c>
      <c r="BO127" s="102">
        <v>28.14</v>
      </c>
      <c r="BP127" s="100">
        <v>100</v>
      </c>
      <c r="BQ127" s="99"/>
      <c r="BR127" s="99"/>
      <c r="BS127" s="100">
        <v>100</v>
      </c>
      <c r="BT127" s="99"/>
      <c r="BU127" s="99"/>
      <c r="BV127" s="100">
        <v>100</v>
      </c>
      <c r="BW127" s="99"/>
      <c r="BX127" s="99"/>
      <c r="BY127" s="100">
        <v>100</v>
      </c>
      <c r="BZ127" s="99"/>
      <c r="CA127" s="99"/>
      <c r="CB127" s="100">
        <v>100</v>
      </c>
      <c r="CC127" s="99"/>
      <c r="CD127" s="99"/>
      <c r="CE127" s="989">
        <v>100</v>
      </c>
      <c r="CF127" s="406"/>
      <c r="CG127" s="406"/>
      <c r="CH127" s="407"/>
      <c r="CI127" s="406"/>
      <c r="CJ127" s="406"/>
      <c r="CK127" s="407"/>
      <c r="CL127" s="406"/>
      <c r="CM127" s="406"/>
      <c r="CN127" s="406"/>
      <c r="CO127" s="467"/>
      <c r="CP127" s="467"/>
      <c r="CQ127" s="407"/>
      <c r="CR127" s="406"/>
      <c r="CS127" s="406"/>
      <c r="CT127" s="407"/>
      <c r="CU127" s="406"/>
      <c r="CV127" s="406"/>
      <c r="CW127" s="407"/>
      <c r="CX127" s="467"/>
      <c r="CY127" s="467"/>
      <c r="CZ127" s="406"/>
      <c r="DA127" s="407"/>
      <c r="DB127" s="467"/>
      <c r="DC127" s="467"/>
      <c r="DD127" s="467"/>
      <c r="DE127" s="467"/>
      <c r="DF127" s="407"/>
    </row>
    <row r="128" spans="1:110" ht="8.4499999999999993" customHeight="1" x14ac:dyDescent="0.2">
      <c r="A128" s="130" t="s">
        <v>2064</v>
      </c>
      <c r="B128" s="103">
        <v>113</v>
      </c>
      <c r="C128" s="87" t="s">
        <v>2019</v>
      </c>
      <c r="D128" s="88">
        <v>50</v>
      </c>
      <c r="E128" s="87" t="s">
        <v>2478</v>
      </c>
      <c r="F128" s="87" t="s">
        <v>2013</v>
      </c>
      <c r="G128" s="93">
        <v>150.97</v>
      </c>
      <c r="H128" s="90">
        <v>0</v>
      </c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1">
        <v>24.11</v>
      </c>
      <c r="BL128" s="91">
        <v>15.97</v>
      </c>
      <c r="BM128" s="91">
        <v>15.97</v>
      </c>
      <c r="BN128" s="91">
        <v>77.150000000000006</v>
      </c>
      <c r="BO128" s="91">
        <v>51.1</v>
      </c>
      <c r="BP128" s="91">
        <v>67.069999999999993</v>
      </c>
      <c r="BQ128" s="91">
        <v>49.71</v>
      </c>
      <c r="BR128" s="91">
        <v>32.93</v>
      </c>
      <c r="BS128" s="93">
        <v>100</v>
      </c>
      <c r="BT128" s="94"/>
      <c r="BU128" s="94"/>
      <c r="BV128" s="93">
        <v>100</v>
      </c>
      <c r="BW128" s="94"/>
      <c r="BX128" s="94"/>
      <c r="BY128" s="93">
        <v>100</v>
      </c>
      <c r="BZ128" s="94"/>
      <c r="CA128" s="94"/>
      <c r="CB128" s="93">
        <v>100</v>
      </c>
      <c r="CC128" s="94"/>
      <c r="CD128" s="94"/>
      <c r="CE128" s="988">
        <v>100</v>
      </c>
      <c r="CF128" s="406"/>
      <c r="CG128" s="406"/>
      <c r="CH128" s="407"/>
      <c r="CI128" s="406"/>
      <c r="CJ128" s="406"/>
      <c r="CK128" s="407"/>
      <c r="CL128" s="406"/>
      <c r="CM128" s="406"/>
      <c r="CN128" s="406"/>
      <c r="CO128" s="467"/>
      <c r="CP128" s="467"/>
      <c r="CQ128" s="407"/>
      <c r="CR128" s="406"/>
      <c r="CS128" s="406"/>
      <c r="CT128" s="407"/>
      <c r="CU128" s="406"/>
      <c r="CV128" s="406"/>
      <c r="CW128" s="407"/>
      <c r="CX128" s="467"/>
      <c r="CY128" s="467"/>
      <c r="CZ128" s="406"/>
      <c r="DA128" s="407"/>
      <c r="DB128" s="467"/>
      <c r="DC128" s="467"/>
      <c r="DD128" s="467"/>
      <c r="DE128" s="467"/>
      <c r="DF128" s="407"/>
    </row>
    <row r="129" spans="1:110" ht="8.4499999999999993" customHeight="1" x14ac:dyDescent="0.2">
      <c r="A129" s="130" t="s">
        <v>2065</v>
      </c>
      <c r="B129" s="104">
        <v>114</v>
      </c>
      <c r="C129" s="82" t="s">
        <v>2479</v>
      </c>
      <c r="D129" s="96">
        <v>50</v>
      </c>
      <c r="E129" s="82" t="s">
        <v>2478</v>
      </c>
      <c r="F129" s="82" t="s">
        <v>2013</v>
      </c>
      <c r="G129" s="102">
        <v>30.49</v>
      </c>
      <c r="H129" s="98">
        <v>0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8">
        <v>4.87</v>
      </c>
      <c r="BL129" s="102">
        <v>15.97</v>
      </c>
      <c r="BM129" s="102">
        <v>15.97</v>
      </c>
      <c r="BN129" s="102">
        <v>15.58</v>
      </c>
      <c r="BO129" s="102">
        <v>51.1</v>
      </c>
      <c r="BP129" s="102">
        <v>67.069999999999993</v>
      </c>
      <c r="BQ129" s="102">
        <v>10.039999999999999</v>
      </c>
      <c r="BR129" s="102">
        <v>32.93</v>
      </c>
      <c r="BS129" s="100">
        <v>100</v>
      </c>
      <c r="BT129" s="99"/>
      <c r="BU129" s="99"/>
      <c r="BV129" s="100">
        <v>100</v>
      </c>
      <c r="BW129" s="99"/>
      <c r="BX129" s="99"/>
      <c r="BY129" s="100">
        <v>100</v>
      </c>
      <c r="BZ129" s="99"/>
      <c r="CA129" s="99"/>
      <c r="CB129" s="100">
        <v>100</v>
      </c>
      <c r="CC129" s="99"/>
      <c r="CD129" s="99"/>
      <c r="CE129" s="989">
        <v>100</v>
      </c>
      <c r="CF129" s="406"/>
      <c r="CG129" s="406"/>
      <c r="CH129" s="407"/>
      <c r="CI129" s="406"/>
      <c r="CJ129" s="406"/>
      <c r="CK129" s="407"/>
      <c r="CL129" s="406"/>
      <c r="CM129" s="406"/>
      <c r="CN129" s="406"/>
      <c r="CO129" s="467"/>
      <c r="CP129" s="467"/>
      <c r="CQ129" s="407"/>
      <c r="CR129" s="406"/>
      <c r="CS129" s="406"/>
      <c r="CT129" s="407"/>
      <c r="CU129" s="406"/>
      <c r="CV129" s="406"/>
      <c r="CW129" s="407"/>
      <c r="CX129" s="467"/>
      <c r="CY129" s="467"/>
      <c r="CZ129" s="406"/>
      <c r="DA129" s="407"/>
      <c r="DB129" s="467"/>
      <c r="DC129" s="467"/>
      <c r="DD129" s="467"/>
      <c r="DE129" s="467"/>
      <c r="DF129" s="407"/>
    </row>
    <row r="130" spans="1:110" ht="16.899999999999999" customHeight="1" x14ac:dyDescent="0.2">
      <c r="A130" s="130" t="s">
        <v>2066</v>
      </c>
      <c r="B130" s="104">
        <v>115</v>
      </c>
      <c r="C130" s="82" t="s">
        <v>2480</v>
      </c>
      <c r="D130" s="96">
        <v>50</v>
      </c>
      <c r="E130" s="82" t="s">
        <v>2478</v>
      </c>
      <c r="F130" s="82" t="s">
        <v>2013</v>
      </c>
      <c r="G130" s="100">
        <v>120.48</v>
      </c>
      <c r="H130" s="98">
        <v>0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102">
        <v>19.239999999999998</v>
      </c>
      <c r="BL130" s="102">
        <v>15.97</v>
      </c>
      <c r="BM130" s="102">
        <v>15.97</v>
      </c>
      <c r="BN130" s="102">
        <v>61.57</v>
      </c>
      <c r="BO130" s="102">
        <v>51.1</v>
      </c>
      <c r="BP130" s="102">
        <v>67.069999999999993</v>
      </c>
      <c r="BQ130" s="102">
        <v>39.67</v>
      </c>
      <c r="BR130" s="102">
        <v>32.93</v>
      </c>
      <c r="BS130" s="100">
        <v>100</v>
      </c>
      <c r="BT130" s="99"/>
      <c r="BU130" s="99"/>
      <c r="BV130" s="100">
        <v>100</v>
      </c>
      <c r="BW130" s="99"/>
      <c r="BX130" s="99"/>
      <c r="BY130" s="100">
        <v>100</v>
      </c>
      <c r="BZ130" s="99"/>
      <c r="CA130" s="99"/>
      <c r="CB130" s="100">
        <v>100</v>
      </c>
      <c r="CC130" s="99"/>
      <c r="CD130" s="99"/>
      <c r="CE130" s="989">
        <v>100</v>
      </c>
      <c r="CF130" s="406"/>
      <c r="CG130" s="406"/>
      <c r="CH130" s="407"/>
      <c r="CI130" s="406"/>
      <c r="CJ130" s="406"/>
      <c r="CK130" s="407"/>
      <c r="CL130" s="406"/>
      <c r="CM130" s="406"/>
      <c r="CN130" s="406"/>
      <c r="CO130" s="467"/>
      <c r="CP130" s="467"/>
      <c r="CQ130" s="407"/>
      <c r="CR130" s="406"/>
      <c r="CS130" s="406"/>
      <c r="CT130" s="407"/>
      <c r="CU130" s="406"/>
      <c r="CV130" s="406"/>
      <c r="CW130" s="407"/>
      <c r="CX130" s="467"/>
      <c r="CY130" s="467"/>
      <c r="CZ130" s="406"/>
      <c r="DA130" s="407"/>
      <c r="DB130" s="467"/>
      <c r="DC130" s="467"/>
      <c r="DD130" s="467"/>
      <c r="DE130" s="467"/>
      <c r="DF130" s="407"/>
    </row>
    <row r="131" spans="1:110" ht="8.4499999999999993" customHeight="1" x14ac:dyDescent="0.2">
      <c r="A131" s="130" t="s">
        <v>121</v>
      </c>
      <c r="B131" s="103">
        <v>116</v>
      </c>
      <c r="C131" s="87" t="s">
        <v>343</v>
      </c>
      <c r="D131" s="103">
        <v>104</v>
      </c>
      <c r="E131" s="87" t="s">
        <v>2193</v>
      </c>
      <c r="F131" s="87" t="s">
        <v>2178</v>
      </c>
      <c r="G131" s="105">
        <v>146901.59</v>
      </c>
      <c r="H131" s="90">
        <v>1.67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89">
        <v>21382</v>
      </c>
      <c r="BI131" s="91">
        <v>14.56</v>
      </c>
      <c r="BJ131" s="91">
        <v>14.56</v>
      </c>
      <c r="BK131" s="89">
        <v>50613.51</v>
      </c>
      <c r="BL131" s="91">
        <v>34.450000000000003</v>
      </c>
      <c r="BM131" s="91">
        <v>49.01</v>
      </c>
      <c r="BN131" s="89">
        <v>29045.81</v>
      </c>
      <c r="BO131" s="91">
        <v>19.77</v>
      </c>
      <c r="BP131" s="91">
        <v>68.78</v>
      </c>
      <c r="BQ131" s="89">
        <v>18479.66</v>
      </c>
      <c r="BR131" s="91">
        <v>12.58</v>
      </c>
      <c r="BS131" s="91">
        <v>81.36</v>
      </c>
      <c r="BT131" s="89">
        <v>19681.7</v>
      </c>
      <c r="BU131" s="91">
        <v>13.4</v>
      </c>
      <c r="BV131" s="91">
        <v>94.76</v>
      </c>
      <c r="BW131" s="92">
        <v>7698.9</v>
      </c>
      <c r="BX131" s="90">
        <v>5.24</v>
      </c>
      <c r="BY131" s="93">
        <v>100</v>
      </c>
      <c r="BZ131" s="94"/>
      <c r="CA131" s="94"/>
      <c r="CB131" s="93">
        <v>100</v>
      </c>
      <c r="CC131" s="94"/>
      <c r="CD131" s="94"/>
      <c r="CE131" s="988">
        <v>100</v>
      </c>
      <c r="CF131" s="411"/>
      <c r="CG131" s="462"/>
      <c r="CH131" s="404"/>
      <c r="CI131" s="411"/>
      <c r="CJ131" s="462"/>
      <c r="CK131" s="405"/>
      <c r="CL131" s="460"/>
      <c r="CM131" s="460"/>
      <c r="CN131" s="460"/>
      <c r="CO131" s="467"/>
      <c r="CP131" s="467"/>
      <c r="CQ131" s="407"/>
      <c r="CR131" s="406"/>
      <c r="CS131" s="406"/>
      <c r="CT131" s="407"/>
      <c r="CU131" s="406"/>
      <c r="CV131" s="406"/>
      <c r="CW131" s="407"/>
      <c r="CX131" s="467"/>
      <c r="CY131" s="467"/>
      <c r="CZ131" s="406"/>
      <c r="DA131" s="407"/>
      <c r="DB131" s="467"/>
      <c r="DC131" s="467"/>
      <c r="DD131" s="467"/>
      <c r="DE131" s="467"/>
      <c r="DF131" s="407"/>
    </row>
    <row r="132" spans="1:110" ht="8.4499999999999993" customHeight="1" x14ac:dyDescent="0.2">
      <c r="A132" s="130" t="s">
        <v>2068</v>
      </c>
      <c r="B132" s="103">
        <v>117</v>
      </c>
      <c r="C132" s="87" t="s">
        <v>1558</v>
      </c>
      <c r="D132" s="103">
        <v>104</v>
      </c>
      <c r="E132" s="87" t="s">
        <v>2193</v>
      </c>
      <c r="F132" s="87" t="s">
        <v>2178</v>
      </c>
      <c r="G132" s="105">
        <v>127583.35</v>
      </c>
      <c r="H132" s="90">
        <v>1.45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89">
        <v>19080.189999999999</v>
      </c>
      <c r="BI132" s="91">
        <v>14.96</v>
      </c>
      <c r="BJ132" s="91">
        <v>14.96</v>
      </c>
      <c r="BK132" s="89">
        <v>44100.02</v>
      </c>
      <c r="BL132" s="91">
        <v>34.57</v>
      </c>
      <c r="BM132" s="91">
        <v>49.52</v>
      </c>
      <c r="BN132" s="89">
        <v>25069.96</v>
      </c>
      <c r="BO132" s="91">
        <v>19.649999999999999</v>
      </c>
      <c r="BP132" s="91">
        <v>69.17</v>
      </c>
      <c r="BQ132" s="89">
        <v>14445.16</v>
      </c>
      <c r="BR132" s="91">
        <v>11.32</v>
      </c>
      <c r="BS132" s="91">
        <v>80.489999999999995</v>
      </c>
      <c r="BT132" s="89">
        <v>17738.5</v>
      </c>
      <c r="BU132" s="91">
        <v>13.9</v>
      </c>
      <c r="BV132" s="91">
        <v>94.4</v>
      </c>
      <c r="BW132" s="92">
        <v>7149.52</v>
      </c>
      <c r="BX132" s="90">
        <v>5.6</v>
      </c>
      <c r="BY132" s="93">
        <v>100</v>
      </c>
      <c r="BZ132" s="94"/>
      <c r="CA132" s="94"/>
      <c r="CB132" s="93">
        <v>100</v>
      </c>
      <c r="CC132" s="94"/>
      <c r="CD132" s="94"/>
      <c r="CE132" s="988">
        <v>100</v>
      </c>
      <c r="CF132" s="460"/>
      <c r="CG132" s="460"/>
      <c r="CH132" s="405"/>
      <c r="CI132" s="460"/>
      <c r="CJ132" s="460"/>
      <c r="CK132" s="405"/>
      <c r="CL132" s="460"/>
      <c r="CM132" s="460"/>
      <c r="CN132" s="460"/>
      <c r="CO132" s="467"/>
      <c r="CP132" s="467"/>
      <c r="CQ132" s="407"/>
      <c r="CR132" s="406"/>
      <c r="CS132" s="406"/>
      <c r="CT132" s="407"/>
      <c r="CU132" s="406"/>
      <c r="CV132" s="406"/>
      <c r="CW132" s="407"/>
      <c r="CX132" s="467"/>
      <c r="CY132" s="467"/>
      <c r="CZ132" s="406"/>
      <c r="DA132" s="407"/>
      <c r="DB132" s="467"/>
      <c r="DC132" s="467"/>
      <c r="DD132" s="467"/>
      <c r="DE132" s="467"/>
      <c r="DF132" s="407"/>
    </row>
    <row r="133" spans="1:110" ht="8.4499999999999993" customHeight="1" x14ac:dyDescent="0.2">
      <c r="A133" s="130" t="s">
        <v>2069</v>
      </c>
      <c r="B133" s="104">
        <v>118</v>
      </c>
      <c r="C133" s="82" t="s">
        <v>2481</v>
      </c>
      <c r="D133" s="96">
        <v>45</v>
      </c>
      <c r="E133" s="82" t="s">
        <v>2193</v>
      </c>
      <c r="F133" s="82" t="s">
        <v>2476</v>
      </c>
      <c r="G133" s="97">
        <v>39579.050000000003</v>
      </c>
      <c r="H133" s="98">
        <v>0.45</v>
      </c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101">
        <v>9823.52</v>
      </c>
      <c r="BI133" s="102">
        <v>24.82</v>
      </c>
      <c r="BJ133" s="102">
        <v>24.82</v>
      </c>
      <c r="BK133" s="97">
        <v>18946.490000000002</v>
      </c>
      <c r="BL133" s="102">
        <v>47.87</v>
      </c>
      <c r="BM133" s="102">
        <v>72.69</v>
      </c>
      <c r="BN133" s="97">
        <v>10809.04</v>
      </c>
      <c r="BO133" s="102">
        <v>27.31</v>
      </c>
      <c r="BP133" s="100">
        <v>100</v>
      </c>
      <c r="BQ133" s="99"/>
      <c r="BR133" s="99"/>
      <c r="BS133" s="100">
        <v>100</v>
      </c>
      <c r="BT133" s="99"/>
      <c r="BU133" s="99"/>
      <c r="BV133" s="100">
        <v>100</v>
      </c>
      <c r="BW133" s="99"/>
      <c r="BX133" s="99"/>
      <c r="BY133" s="100">
        <v>100</v>
      </c>
      <c r="BZ133" s="99"/>
      <c r="CA133" s="99"/>
      <c r="CB133" s="100">
        <v>100</v>
      </c>
      <c r="CC133" s="99"/>
      <c r="CD133" s="99"/>
      <c r="CE133" s="989">
        <v>100</v>
      </c>
      <c r="CF133" s="406"/>
      <c r="CG133" s="406"/>
      <c r="CH133" s="407"/>
      <c r="CI133" s="406"/>
      <c r="CJ133" s="406"/>
      <c r="CK133" s="407"/>
      <c r="CL133" s="406"/>
      <c r="CM133" s="406"/>
      <c r="CN133" s="406"/>
      <c r="CO133" s="467"/>
      <c r="CP133" s="467"/>
      <c r="CQ133" s="407"/>
      <c r="CR133" s="406"/>
      <c r="CS133" s="406"/>
      <c r="CT133" s="407"/>
      <c r="CU133" s="406"/>
      <c r="CV133" s="406"/>
      <c r="CW133" s="407"/>
      <c r="CX133" s="467"/>
      <c r="CY133" s="467"/>
      <c r="CZ133" s="406"/>
      <c r="DA133" s="407"/>
      <c r="DB133" s="467"/>
      <c r="DC133" s="467"/>
      <c r="DD133" s="467"/>
      <c r="DE133" s="467"/>
      <c r="DF133" s="407"/>
    </row>
    <row r="134" spans="1:110" ht="16.899999999999999" customHeight="1" x14ac:dyDescent="0.2">
      <c r="A134" s="130" t="s">
        <v>2070</v>
      </c>
      <c r="B134" s="104">
        <v>119</v>
      </c>
      <c r="C134" s="82" t="s">
        <v>2482</v>
      </c>
      <c r="D134" s="96">
        <v>65</v>
      </c>
      <c r="E134" s="82" t="s">
        <v>2193</v>
      </c>
      <c r="F134" s="82" t="s">
        <v>2483</v>
      </c>
      <c r="G134" s="101">
        <v>9393.35</v>
      </c>
      <c r="H134" s="98">
        <v>0.11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101">
        <v>1187.32</v>
      </c>
      <c r="BI134" s="102">
        <v>12.64</v>
      </c>
      <c r="BJ134" s="102">
        <v>12.64</v>
      </c>
      <c r="BK134" s="101">
        <v>4153.74</v>
      </c>
      <c r="BL134" s="102">
        <v>44.22</v>
      </c>
      <c r="BM134" s="102">
        <v>56.86</v>
      </c>
      <c r="BN134" s="101">
        <v>2850.88</v>
      </c>
      <c r="BO134" s="102">
        <v>30.35</v>
      </c>
      <c r="BP134" s="102">
        <v>87.21</v>
      </c>
      <c r="BQ134" s="101">
        <v>1201.4100000000001</v>
      </c>
      <c r="BR134" s="102">
        <v>12.79</v>
      </c>
      <c r="BS134" s="100">
        <v>100</v>
      </c>
      <c r="BT134" s="99"/>
      <c r="BU134" s="99"/>
      <c r="BV134" s="100">
        <v>100</v>
      </c>
      <c r="BW134" s="99"/>
      <c r="BX134" s="99"/>
      <c r="BY134" s="100">
        <v>100</v>
      </c>
      <c r="BZ134" s="99"/>
      <c r="CA134" s="99"/>
      <c r="CB134" s="100">
        <v>100</v>
      </c>
      <c r="CC134" s="99"/>
      <c r="CD134" s="99"/>
      <c r="CE134" s="989">
        <v>100</v>
      </c>
      <c r="CF134" s="406"/>
      <c r="CG134" s="406"/>
      <c r="CH134" s="407"/>
      <c r="CI134" s="406"/>
      <c r="CJ134" s="406"/>
      <c r="CK134" s="407"/>
      <c r="CL134" s="406"/>
      <c r="CM134" s="406"/>
      <c r="CN134" s="406"/>
      <c r="CO134" s="467"/>
      <c r="CP134" s="467"/>
      <c r="CQ134" s="407"/>
      <c r="CR134" s="406"/>
      <c r="CS134" s="406"/>
      <c r="CT134" s="407"/>
      <c r="CU134" s="406"/>
      <c r="CV134" s="406"/>
      <c r="CW134" s="407"/>
      <c r="CX134" s="467"/>
      <c r="CY134" s="467"/>
      <c r="CZ134" s="406"/>
      <c r="DA134" s="407"/>
      <c r="DB134" s="467"/>
      <c r="DC134" s="467"/>
      <c r="DD134" s="467"/>
      <c r="DE134" s="467"/>
      <c r="DF134" s="407"/>
    </row>
    <row r="135" spans="1:110" ht="8.4499999999999993" customHeight="1" x14ac:dyDescent="0.2">
      <c r="A135" s="130" t="s">
        <v>2071</v>
      </c>
      <c r="B135" s="104">
        <v>120</v>
      </c>
      <c r="C135" s="82" t="s">
        <v>2484</v>
      </c>
      <c r="D135" s="104">
        <v>104</v>
      </c>
      <c r="E135" s="82" t="s">
        <v>2193</v>
      </c>
      <c r="F135" s="82" t="s">
        <v>2178</v>
      </c>
      <c r="G135" s="97">
        <v>33424.82</v>
      </c>
      <c r="H135" s="98">
        <v>0.38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100">
        <v>765.43</v>
      </c>
      <c r="BI135" s="98">
        <v>2.29</v>
      </c>
      <c r="BJ135" s="98">
        <v>2.29</v>
      </c>
      <c r="BK135" s="101">
        <v>2673.99</v>
      </c>
      <c r="BL135" s="98">
        <v>8</v>
      </c>
      <c r="BM135" s="102">
        <v>10.29</v>
      </c>
      <c r="BN135" s="100">
        <v>381.04</v>
      </c>
      <c r="BO135" s="98">
        <v>1.1399999999999999</v>
      </c>
      <c r="BP135" s="102">
        <v>11.43</v>
      </c>
      <c r="BQ135" s="101">
        <v>9743.34</v>
      </c>
      <c r="BR135" s="102">
        <v>29.15</v>
      </c>
      <c r="BS135" s="102">
        <v>40.58</v>
      </c>
      <c r="BT135" s="97">
        <v>15225.01</v>
      </c>
      <c r="BU135" s="102">
        <v>45.55</v>
      </c>
      <c r="BV135" s="102">
        <v>86.13</v>
      </c>
      <c r="BW135" s="101">
        <v>4636.0200000000004</v>
      </c>
      <c r="BX135" s="102">
        <v>13.87</v>
      </c>
      <c r="BY135" s="100">
        <v>100</v>
      </c>
      <c r="BZ135" s="99"/>
      <c r="CA135" s="99"/>
      <c r="CB135" s="100">
        <v>100</v>
      </c>
      <c r="CC135" s="99"/>
      <c r="CD135" s="99"/>
      <c r="CE135" s="989">
        <v>100</v>
      </c>
      <c r="CF135" s="406"/>
      <c r="CG135" s="406"/>
      <c r="CH135" s="407"/>
      <c r="CI135" s="406"/>
      <c r="CJ135" s="406"/>
      <c r="CK135" s="407"/>
      <c r="CL135" s="406"/>
      <c r="CM135" s="406"/>
      <c r="CN135" s="406"/>
      <c r="CO135" s="464"/>
      <c r="CP135" s="464"/>
      <c r="CQ135" s="405"/>
      <c r="CR135" s="460"/>
      <c r="CS135" s="460"/>
      <c r="CT135" s="405"/>
      <c r="CU135" s="460"/>
      <c r="CV135" s="460"/>
      <c r="CW135" s="405"/>
      <c r="CX135" s="464"/>
      <c r="CY135" s="464"/>
      <c r="CZ135" s="460"/>
      <c r="DA135" s="405"/>
      <c r="DB135" s="464"/>
      <c r="DC135" s="464"/>
      <c r="DD135" s="464"/>
      <c r="DE135" s="464"/>
      <c r="DF135" s="405"/>
    </row>
    <row r="136" spans="1:110" ht="8.4499999999999993" customHeight="1" x14ac:dyDescent="0.2">
      <c r="A136" s="130" t="s">
        <v>2072</v>
      </c>
      <c r="B136" s="104">
        <v>121</v>
      </c>
      <c r="C136" s="82" t="s">
        <v>1559</v>
      </c>
      <c r="D136" s="104">
        <v>104</v>
      </c>
      <c r="E136" s="82" t="s">
        <v>2193</v>
      </c>
      <c r="F136" s="82" t="s">
        <v>2178</v>
      </c>
      <c r="G136" s="97">
        <v>36963.18</v>
      </c>
      <c r="H136" s="98">
        <v>0.42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101">
        <v>7303.92</v>
      </c>
      <c r="BI136" s="102">
        <v>19.760000000000002</v>
      </c>
      <c r="BJ136" s="102">
        <v>19.760000000000002</v>
      </c>
      <c r="BK136" s="97">
        <v>15036.62</v>
      </c>
      <c r="BL136" s="102">
        <v>40.68</v>
      </c>
      <c r="BM136" s="102">
        <v>60.44</v>
      </c>
      <c r="BN136" s="101">
        <v>6095.23</v>
      </c>
      <c r="BO136" s="102">
        <v>16.489999999999998</v>
      </c>
      <c r="BP136" s="102">
        <v>76.930000000000007</v>
      </c>
      <c r="BQ136" s="101">
        <v>3500.41</v>
      </c>
      <c r="BR136" s="98">
        <v>9.4700000000000006</v>
      </c>
      <c r="BS136" s="102">
        <v>86.4</v>
      </c>
      <c r="BT136" s="101">
        <v>2513.5</v>
      </c>
      <c r="BU136" s="98">
        <v>6.8</v>
      </c>
      <c r="BV136" s="102">
        <v>93.2</v>
      </c>
      <c r="BW136" s="101">
        <v>2513.5</v>
      </c>
      <c r="BX136" s="98">
        <v>6.8</v>
      </c>
      <c r="BY136" s="100">
        <v>100</v>
      </c>
      <c r="BZ136" s="99"/>
      <c r="CA136" s="99"/>
      <c r="CB136" s="100">
        <v>100</v>
      </c>
      <c r="CC136" s="99"/>
      <c r="CD136" s="99"/>
      <c r="CE136" s="989">
        <v>100</v>
      </c>
      <c r="CF136" s="406"/>
      <c r="CG136" s="406"/>
      <c r="CH136" s="407"/>
      <c r="CI136" s="406"/>
      <c r="CJ136" s="406"/>
      <c r="CK136" s="407"/>
      <c r="CL136" s="406"/>
      <c r="CM136" s="406"/>
      <c r="CN136" s="406"/>
      <c r="CO136" s="467"/>
      <c r="CP136" s="467"/>
      <c r="CQ136" s="407"/>
      <c r="CR136" s="406"/>
      <c r="CS136" s="406"/>
      <c r="CT136" s="407"/>
      <c r="CU136" s="406"/>
      <c r="CV136" s="406"/>
      <c r="CW136" s="407"/>
      <c r="CX136" s="467"/>
      <c r="CY136" s="467"/>
      <c r="CZ136" s="406"/>
      <c r="DA136" s="407"/>
      <c r="DB136" s="467"/>
      <c r="DC136" s="467"/>
      <c r="DD136" s="467"/>
      <c r="DE136" s="467"/>
      <c r="DF136" s="407"/>
    </row>
    <row r="137" spans="1:110" ht="8.4499999999999993" customHeight="1" x14ac:dyDescent="0.2">
      <c r="A137" s="130" t="s">
        <v>2073</v>
      </c>
      <c r="B137" s="104">
        <v>122</v>
      </c>
      <c r="C137" s="82" t="s">
        <v>2485</v>
      </c>
      <c r="D137" s="96">
        <v>19</v>
      </c>
      <c r="E137" s="82" t="s">
        <v>2478</v>
      </c>
      <c r="F137" s="82" t="s">
        <v>2174</v>
      </c>
      <c r="G137" s="101">
        <v>7263.31</v>
      </c>
      <c r="H137" s="98">
        <v>0.08</v>
      </c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101">
        <v>2905.32</v>
      </c>
      <c r="BL137" s="102">
        <v>40</v>
      </c>
      <c r="BM137" s="102">
        <v>40</v>
      </c>
      <c r="BN137" s="101">
        <v>4357.99</v>
      </c>
      <c r="BO137" s="102">
        <v>60</v>
      </c>
      <c r="BP137" s="100">
        <v>100</v>
      </c>
      <c r="BQ137" s="99"/>
      <c r="BR137" s="99"/>
      <c r="BS137" s="100">
        <v>100</v>
      </c>
      <c r="BT137" s="99"/>
      <c r="BU137" s="99"/>
      <c r="BV137" s="100">
        <v>100</v>
      </c>
      <c r="BW137" s="99"/>
      <c r="BX137" s="99"/>
      <c r="BY137" s="100">
        <v>100</v>
      </c>
      <c r="BZ137" s="99"/>
      <c r="CA137" s="99"/>
      <c r="CB137" s="100">
        <v>100</v>
      </c>
      <c r="CC137" s="99"/>
      <c r="CD137" s="99"/>
      <c r="CE137" s="989">
        <v>100</v>
      </c>
      <c r="CF137" s="460"/>
      <c r="CG137" s="460"/>
      <c r="CH137" s="405"/>
      <c r="CI137" s="460"/>
      <c r="CJ137" s="460"/>
      <c r="CK137" s="405"/>
      <c r="CL137" s="460"/>
      <c r="CM137" s="460"/>
      <c r="CN137" s="460"/>
      <c r="CO137" s="467"/>
      <c r="CP137" s="467"/>
      <c r="CQ137" s="407"/>
      <c r="CR137" s="406"/>
      <c r="CS137" s="406"/>
      <c r="CT137" s="407"/>
      <c r="CU137" s="406"/>
      <c r="CV137" s="406"/>
      <c r="CW137" s="407"/>
      <c r="CX137" s="467"/>
      <c r="CY137" s="467"/>
      <c r="CZ137" s="406"/>
      <c r="DA137" s="407"/>
      <c r="DB137" s="467"/>
      <c r="DC137" s="467"/>
      <c r="DD137" s="467"/>
      <c r="DE137" s="467"/>
      <c r="DF137" s="407"/>
    </row>
    <row r="138" spans="1:110" ht="8.4499999999999993" customHeight="1" x14ac:dyDescent="0.2">
      <c r="A138" s="130" t="s">
        <v>2074</v>
      </c>
      <c r="B138" s="104">
        <v>123</v>
      </c>
      <c r="C138" s="82" t="s">
        <v>2486</v>
      </c>
      <c r="D138" s="96">
        <v>19</v>
      </c>
      <c r="E138" s="82" t="s">
        <v>2478</v>
      </c>
      <c r="F138" s="82" t="s">
        <v>2174</v>
      </c>
      <c r="G138" s="100">
        <v>959.64</v>
      </c>
      <c r="H138" s="98">
        <v>0.01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100">
        <v>383.86</v>
      </c>
      <c r="BL138" s="102">
        <v>40</v>
      </c>
      <c r="BM138" s="102">
        <v>40</v>
      </c>
      <c r="BN138" s="100">
        <v>575.78</v>
      </c>
      <c r="BO138" s="102">
        <v>60</v>
      </c>
      <c r="BP138" s="100">
        <v>100</v>
      </c>
      <c r="BQ138" s="99"/>
      <c r="BR138" s="99"/>
      <c r="BS138" s="100">
        <v>100</v>
      </c>
      <c r="BT138" s="99"/>
      <c r="BU138" s="99"/>
      <c r="BV138" s="100">
        <v>100</v>
      </c>
      <c r="BW138" s="99"/>
      <c r="BX138" s="99"/>
      <c r="BY138" s="100">
        <v>100</v>
      </c>
      <c r="BZ138" s="99"/>
      <c r="CA138" s="99"/>
      <c r="CB138" s="100">
        <v>100</v>
      </c>
      <c r="CC138" s="99"/>
      <c r="CD138" s="99"/>
      <c r="CE138" s="989">
        <v>100</v>
      </c>
      <c r="CF138" s="406"/>
      <c r="CG138" s="406"/>
      <c r="CH138" s="407"/>
      <c r="CI138" s="406"/>
      <c r="CJ138" s="406"/>
      <c r="CK138" s="407"/>
      <c r="CL138" s="406"/>
      <c r="CM138" s="406"/>
      <c r="CN138" s="406"/>
      <c r="CO138" s="467"/>
      <c r="CP138" s="467"/>
      <c r="CQ138" s="407"/>
      <c r="CR138" s="406"/>
      <c r="CS138" s="406"/>
      <c r="CT138" s="407"/>
      <c r="CU138" s="406"/>
      <c r="CV138" s="406"/>
      <c r="CW138" s="407"/>
      <c r="CX138" s="467"/>
      <c r="CY138" s="467"/>
      <c r="CZ138" s="406"/>
      <c r="DA138" s="407"/>
      <c r="DB138" s="467"/>
      <c r="DC138" s="467"/>
      <c r="DD138" s="467"/>
      <c r="DE138" s="467"/>
      <c r="DF138" s="407"/>
    </row>
    <row r="139" spans="1:110" ht="8.4499999999999993" customHeight="1" x14ac:dyDescent="0.2">
      <c r="A139" s="130" t="s">
        <v>2075</v>
      </c>
      <c r="B139" s="103">
        <v>124</v>
      </c>
      <c r="C139" s="87" t="s">
        <v>1560</v>
      </c>
      <c r="D139" s="103">
        <v>104</v>
      </c>
      <c r="E139" s="87" t="s">
        <v>2193</v>
      </c>
      <c r="F139" s="87" t="s">
        <v>2178</v>
      </c>
      <c r="G139" s="89">
        <v>11687.88</v>
      </c>
      <c r="H139" s="90">
        <v>0.13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2">
        <v>2301.81</v>
      </c>
      <c r="BI139" s="91">
        <v>19.690000000000001</v>
      </c>
      <c r="BJ139" s="91">
        <v>19.690000000000001</v>
      </c>
      <c r="BK139" s="92">
        <v>4787.49</v>
      </c>
      <c r="BL139" s="91">
        <v>40.96</v>
      </c>
      <c r="BM139" s="91">
        <v>60.66</v>
      </c>
      <c r="BN139" s="92">
        <v>1781.26</v>
      </c>
      <c r="BO139" s="91">
        <v>15.24</v>
      </c>
      <c r="BP139" s="91">
        <v>75.900000000000006</v>
      </c>
      <c r="BQ139" s="92">
        <v>1109.31</v>
      </c>
      <c r="BR139" s="90">
        <v>9.49</v>
      </c>
      <c r="BS139" s="91">
        <v>85.39</v>
      </c>
      <c r="BT139" s="92">
        <v>1158.6199999999999</v>
      </c>
      <c r="BU139" s="90">
        <v>9.91</v>
      </c>
      <c r="BV139" s="91">
        <v>95.3</v>
      </c>
      <c r="BW139" s="93">
        <v>549.38</v>
      </c>
      <c r="BX139" s="90">
        <v>4.7</v>
      </c>
      <c r="BY139" s="93">
        <v>100</v>
      </c>
      <c r="BZ139" s="94"/>
      <c r="CA139" s="94"/>
      <c r="CB139" s="93">
        <v>100</v>
      </c>
      <c r="CC139" s="94"/>
      <c r="CD139" s="94"/>
      <c r="CE139" s="988">
        <v>100</v>
      </c>
      <c r="CF139" s="406"/>
      <c r="CG139" s="406"/>
      <c r="CH139" s="407"/>
      <c r="CI139" s="406"/>
      <c r="CJ139" s="406"/>
      <c r="CK139" s="407"/>
      <c r="CL139" s="406"/>
      <c r="CM139" s="406"/>
      <c r="CN139" s="406"/>
      <c r="CO139" s="467"/>
      <c r="CP139" s="467"/>
      <c r="CQ139" s="407"/>
      <c r="CR139" s="406"/>
      <c r="CS139" s="406"/>
      <c r="CT139" s="407"/>
      <c r="CU139" s="406"/>
      <c r="CV139" s="406"/>
      <c r="CW139" s="407"/>
      <c r="CX139" s="467"/>
      <c r="CY139" s="467"/>
      <c r="CZ139" s="406"/>
      <c r="DA139" s="407"/>
      <c r="DB139" s="467"/>
      <c r="DC139" s="467"/>
      <c r="DD139" s="467"/>
      <c r="DE139" s="467"/>
      <c r="DF139" s="407"/>
    </row>
    <row r="140" spans="1:110" ht="8.4499999999999993" customHeight="1" x14ac:dyDescent="0.2">
      <c r="A140" s="130" t="s">
        <v>2076</v>
      </c>
      <c r="B140" s="104">
        <v>125</v>
      </c>
      <c r="C140" s="82" t="s">
        <v>2487</v>
      </c>
      <c r="D140" s="96">
        <v>45</v>
      </c>
      <c r="E140" s="82" t="s">
        <v>2193</v>
      </c>
      <c r="F140" s="82" t="s">
        <v>2476</v>
      </c>
      <c r="G140" s="101">
        <v>1431.16</v>
      </c>
      <c r="H140" s="98">
        <v>0.02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100">
        <v>327.02</v>
      </c>
      <c r="BI140" s="102">
        <v>22.85</v>
      </c>
      <c r="BJ140" s="102">
        <v>22.85</v>
      </c>
      <c r="BK140" s="100">
        <v>697.4</v>
      </c>
      <c r="BL140" s="102">
        <v>48.73</v>
      </c>
      <c r="BM140" s="102">
        <v>71.58</v>
      </c>
      <c r="BN140" s="100">
        <v>406.74</v>
      </c>
      <c r="BO140" s="102">
        <v>28.42</v>
      </c>
      <c r="BP140" s="100">
        <v>100</v>
      </c>
      <c r="BQ140" s="99"/>
      <c r="BR140" s="99"/>
      <c r="BS140" s="100">
        <v>100</v>
      </c>
      <c r="BT140" s="99"/>
      <c r="BU140" s="99"/>
      <c r="BV140" s="100">
        <v>100</v>
      </c>
      <c r="BW140" s="99"/>
      <c r="BX140" s="99"/>
      <c r="BY140" s="100">
        <v>100</v>
      </c>
      <c r="BZ140" s="99"/>
      <c r="CA140" s="99"/>
      <c r="CB140" s="100">
        <v>100</v>
      </c>
      <c r="CC140" s="99"/>
      <c r="CD140" s="99"/>
      <c r="CE140" s="989">
        <v>100</v>
      </c>
      <c r="CF140" s="406"/>
      <c r="CG140" s="406"/>
      <c r="CH140" s="407"/>
      <c r="CI140" s="406"/>
      <c r="CJ140" s="406"/>
      <c r="CK140" s="407"/>
      <c r="CL140" s="406"/>
      <c r="CM140" s="406"/>
      <c r="CN140" s="406"/>
      <c r="CO140" s="467"/>
      <c r="CP140" s="467"/>
      <c r="CQ140" s="407"/>
      <c r="CR140" s="406"/>
      <c r="CS140" s="406"/>
      <c r="CT140" s="407"/>
      <c r="CU140" s="406"/>
      <c r="CV140" s="406"/>
      <c r="CW140" s="407"/>
      <c r="CX140" s="467"/>
      <c r="CY140" s="467"/>
      <c r="CZ140" s="406"/>
      <c r="DA140" s="407"/>
      <c r="DB140" s="467"/>
      <c r="DC140" s="467"/>
      <c r="DD140" s="467"/>
      <c r="DE140" s="467"/>
      <c r="DF140" s="407"/>
    </row>
    <row r="141" spans="1:110" ht="16.899999999999999" customHeight="1" x14ac:dyDescent="0.2">
      <c r="A141" s="130" t="s">
        <v>2077</v>
      </c>
      <c r="B141" s="104">
        <v>126</v>
      </c>
      <c r="C141" s="82" t="s">
        <v>2488</v>
      </c>
      <c r="D141" s="96">
        <v>65</v>
      </c>
      <c r="E141" s="82" t="s">
        <v>2193</v>
      </c>
      <c r="F141" s="82" t="s">
        <v>2483</v>
      </c>
      <c r="G141" s="100">
        <v>746.82</v>
      </c>
      <c r="H141" s="98">
        <v>0.01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102">
        <v>92.76</v>
      </c>
      <c r="BI141" s="102">
        <v>12.42</v>
      </c>
      <c r="BJ141" s="102">
        <v>12.42</v>
      </c>
      <c r="BK141" s="100">
        <v>324.64</v>
      </c>
      <c r="BL141" s="102">
        <v>43.47</v>
      </c>
      <c r="BM141" s="102">
        <v>55.89</v>
      </c>
      <c r="BN141" s="100">
        <v>252.57</v>
      </c>
      <c r="BO141" s="102">
        <v>33.82</v>
      </c>
      <c r="BP141" s="102">
        <v>89.71</v>
      </c>
      <c r="BQ141" s="102">
        <v>76.849999999999994</v>
      </c>
      <c r="BR141" s="102">
        <v>10.29</v>
      </c>
      <c r="BS141" s="100">
        <v>100</v>
      </c>
      <c r="BT141" s="99"/>
      <c r="BU141" s="99"/>
      <c r="BV141" s="100">
        <v>100</v>
      </c>
      <c r="BW141" s="99"/>
      <c r="BX141" s="99"/>
      <c r="BY141" s="100">
        <v>100</v>
      </c>
      <c r="BZ141" s="99"/>
      <c r="CA141" s="99"/>
      <c r="CB141" s="100">
        <v>100</v>
      </c>
      <c r="CC141" s="99"/>
      <c r="CD141" s="99"/>
      <c r="CE141" s="989">
        <v>100</v>
      </c>
      <c r="CF141" s="406"/>
      <c r="CG141" s="406"/>
      <c r="CH141" s="407"/>
      <c r="CI141" s="406"/>
      <c r="CJ141" s="406"/>
      <c r="CK141" s="407"/>
      <c r="CL141" s="406"/>
      <c r="CM141" s="406"/>
      <c r="CN141" s="406"/>
      <c r="CO141" s="464"/>
      <c r="CP141" s="464"/>
      <c r="CQ141" s="405"/>
      <c r="CR141" s="460"/>
      <c r="CS141" s="460"/>
      <c r="CT141" s="405"/>
      <c r="CU141" s="460"/>
      <c r="CV141" s="460"/>
      <c r="CW141" s="405"/>
      <c r="CX141" s="464"/>
      <c r="CY141" s="464"/>
      <c r="CZ141" s="460"/>
      <c r="DA141" s="405"/>
      <c r="DB141" s="464"/>
      <c r="DC141" s="464"/>
      <c r="DD141" s="464"/>
      <c r="DE141" s="464"/>
      <c r="DF141" s="405"/>
    </row>
    <row r="142" spans="1:110" ht="8.4499999999999993" customHeight="1" x14ac:dyDescent="0.2">
      <c r="A142" s="130" t="s">
        <v>2078</v>
      </c>
      <c r="B142" s="104">
        <v>127</v>
      </c>
      <c r="C142" s="82" t="s">
        <v>2489</v>
      </c>
      <c r="D142" s="104">
        <v>104</v>
      </c>
      <c r="E142" s="82" t="s">
        <v>2193</v>
      </c>
      <c r="F142" s="82" t="s">
        <v>2178</v>
      </c>
      <c r="G142" s="101">
        <v>1560.16</v>
      </c>
      <c r="H142" s="98">
        <v>0.02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102">
        <v>24.18</v>
      </c>
      <c r="BI142" s="98">
        <v>1.55</v>
      </c>
      <c r="BJ142" s="98">
        <v>1.55</v>
      </c>
      <c r="BK142" s="102">
        <v>84.72</v>
      </c>
      <c r="BL142" s="98">
        <v>5.43</v>
      </c>
      <c r="BM142" s="98">
        <v>6.98</v>
      </c>
      <c r="BN142" s="102">
        <v>12.17</v>
      </c>
      <c r="BO142" s="98">
        <v>0.78</v>
      </c>
      <c r="BP142" s="98">
        <v>7.76</v>
      </c>
      <c r="BQ142" s="100">
        <v>568.99</v>
      </c>
      <c r="BR142" s="102">
        <v>36.47</v>
      </c>
      <c r="BS142" s="102">
        <v>44.23</v>
      </c>
      <c r="BT142" s="100">
        <v>739.67</v>
      </c>
      <c r="BU142" s="102">
        <v>47.41</v>
      </c>
      <c r="BV142" s="102">
        <v>91.64</v>
      </c>
      <c r="BW142" s="100">
        <v>130.43</v>
      </c>
      <c r="BX142" s="98">
        <v>8.36</v>
      </c>
      <c r="BY142" s="100">
        <v>100</v>
      </c>
      <c r="BZ142" s="99"/>
      <c r="CA142" s="99"/>
      <c r="CB142" s="100">
        <v>100</v>
      </c>
      <c r="CC142" s="99"/>
      <c r="CD142" s="99"/>
      <c r="CE142" s="989">
        <v>100</v>
      </c>
      <c r="CF142" s="406"/>
      <c r="CG142" s="406"/>
      <c r="CH142" s="407"/>
      <c r="CI142" s="406"/>
      <c r="CJ142" s="406"/>
      <c r="CK142" s="407"/>
      <c r="CL142" s="406"/>
      <c r="CM142" s="406"/>
      <c r="CN142" s="406"/>
      <c r="CO142" s="467"/>
      <c r="CP142" s="467"/>
      <c r="CQ142" s="407"/>
      <c r="CR142" s="406"/>
      <c r="CS142" s="406"/>
      <c r="CT142" s="407"/>
      <c r="CU142" s="406"/>
      <c r="CV142" s="406"/>
      <c r="CW142" s="407"/>
      <c r="CX142" s="467"/>
      <c r="CY142" s="467"/>
      <c r="CZ142" s="406"/>
      <c r="DA142" s="407"/>
      <c r="DB142" s="467"/>
      <c r="DC142" s="467"/>
      <c r="DD142" s="467"/>
      <c r="DE142" s="467"/>
      <c r="DF142" s="407"/>
    </row>
    <row r="143" spans="1:110" ht="16.899999999999999" customHeight="1" x14ac:dyDescent="0.2">
      <c r="A143" s="130" t="s">
        <v>2079</v>
      </c>
      <c r="B143" s="104">
        <v>128</v>
      </c>
      <c r="C143" s="82" t="s">
        <v>1561</v>
      </c>
      <c r="D143" s="104">
        <v>104</v>
      </c>
      <c r="E143" s="82" t="s">
        <v>2193</v>
      </c>
      <c r="F143" s="82" t="s">
        <v>2178</v>
      </c>
      <c r="G143" s="101">
        <v>7949.74</v>
      </c>
      <c r="H143" s="98">
        <v>0.09</v>
      </c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101">
        <v>1857.85</v>
      </c>
      <c r="BI143" s="102">
        <v>23.37</v>
      </c>
      <c r="BJ143" s="102">
        <v>23.37</v>
      </c>
      <c r="BK143" s="101">
        <v>3680.73</v>
      </c>
      <c r="BL143" s="102">
        <v>46.3</v>
      </c>
      <c r="BM143" s="102">
        <v>69.67</v>
      </c>
      <c r="BN143" s="101">
        <v>1109.78</v>
      </c>
      <c r="BO143" s="102">
        <v>13.96</v>
      </c>
      <c r="BP143" s="102">
        <v>83.63</v>
      </c>
      <c r="BQ143" s="100">
        <v>463.47</v>
      </c>
      <c r="BR143" s="98">
        <v>5.83</v>
      </c>
      <c r="BS143" s="102">
        <v>89.46</v>
      </c>
      <c r="BT143" s="100">
        <v>418.95</v>
      </c>
      <c r="BU143" s="98">
        <v>5.27</v>
      </c>
      <c r="BV143" s="102">
        <v>94.73</v>
      </c>
      <c r="BW143" s="100">
        <v>418.95</v>
      </c>
      <c r="BX143" s="98">
        <v>5.27</v>
      </c>
      <c r="BY143" s="100">
        <v>100</v>
      </c>
      <c r="BZ143" s="99"/>
      <c r="CA143" s="99"/>
      <c r="CB143" s="100">
        <v>100</v>
      </c>
      <c r="CC143" s="99"/>
      <c r="CD143" s="99"/>
      <c r="CE143" s="989">
        <v>100</v>
      </c>
      <c r="CF143" s="406"/>
      <c r="CG143" s="406"/>
      <c r="CH143" s="407"/>
      <c r="CI143" s="406"/>
      <c r="CJ143" s="406"/>
      <c r="CK143" s="407"/>
      <c r="CL143" s="406"/>
      <c r="CM143" s="406"/>
      <c r="CN143" s="406"/>
      <c r="CO143" s="467"/>
      <c r="CP143" s="467"/>
      <c r="CQ143" s="407"/>
      <c r="CR143" s="406"/>
      <c r="CS143" s="406"/>
      <c r="CT143" s="407"/>
      <c r="CU143" s="406"/>
      <c r="CV143" s="406"/>
      <c r="CW143" s="407"/>
      <c r="CX143" s="467"/>
      <c r="CY143" s="467"/>
      <c r="CZ143" s="406"/>
      <c r="DA143" s="407"/>
      <c r="DB143" s="467"/>
      <c r="DC143" s="467"/>
      <c r="DD143" s="467"/>
      <c r="DE143" s="467"/>
      <c r="DF143" s="407"/>
    </row>
    <row r="144" spans="1:110" ht="16.899999999999999" customHeight="1" x14ac:dyDescent="0.2">
      <c r="A144" s="130" t="s">
        <v>2080</v>
      </c>
      <c r="B144" s="103">
        <v>129</v>
      </c>
      <c r="C144" s="87" t="s">
        <v>1562</v>
      </c>
      <c r="D144" s="88">
        <v>62</v>
      </c>
      <c r="E144" s="87" t="s">
        <v>2478</v>
      </c>
      <c r="F144" s="87" t="s">
        <v>2181</v>
      </c>
      <c r="G144" s="92">
        <v>7630.36</v>
      </c>
      <c r="H144" s="90">
        <v>0.09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2">
        <v>1726</v>
      </c>
      <c r="BL144" s="91">
        <v>22.62</v>
      </c>
      <c r="BM144" s="91">
        <v>22.62</v>
      </c>
      <c r="BN144" s="92">
        <v>2194.59</v>
      </c>
      <c r="BO144" s="91">
        <v>28.76</v>
      </c>
      <c r="BP144" s="91">
        <v>51.38</v>
      </c>
      <c r="BQ144" s="92">
        <v>2925.19</v>
      </c>
      <c r="BR144" s="91">
        <v>38.340000000000003</v>
      </c>
      <c r="BS144" s="91">
        <v>89.72</v>
      </c>
      <c r="BT144" s="93">
        <v>784.58</v>
      </c>
      <c r="BU144" s="91">
        <v>10.28</v>
      </c>
      <c r="BV144" s="93">
        <v>100</v>
      </c>
      <c r="BW144" s="94"/>
      <c r="BX144" s="94"/>
      <c r="BY144" s="93">
        <v>100</v>
      </c>
      <c r="BZ144" s="94"/>
      <c r="CA144" s="94"/>
      <c r="CB144" s="93">
        <v>100</v>
      </c>
      <c r="CC144" s="94"/>
      <c r="CD144" s="94"/>
      <c r="CE144" s="988">
        <v>100</v>
      </c>
      <c r="CF144" s="406"/>
      <c r="CG144" s="406"/>
      <c r="CH144" s="407"/>
      <c r="CI144" s="406"/>
      <c r="CJ144" s="406"/>
      <c r="CK144" s="407"/>
      <c r="CL144" s="406"/>
      <c r="CM144" s="406"/>
      <c r="CN144" s="406"/>
      <c r="CO144" s="467"/>
      <c r="CP144" s="467"/>
      <c r="CQ144" s="407"/>
      <c r="CR144" s="406"/>
      <c r="CS144" s="406"/>
      <c r="CT144" s="407"/>
      <c r="CU144" s="406"/>
      <c r="CV144" s="406"/>
      <c r="CW144" s="407"/>
      <c r="CX144" s="467"/>
      <c r="CY144" s="467"/>
      <c r="CZ144" s="406"/>
      <c r="DA144" s="407"/>
      <c r="DB144" s="467"/>
      <c r="DC144" s="467"/>
      <c r="DD144" s="467"/>
      <c r="DE144" s="467"/>
      <c r="DF144" s="407"/>
    </row>
    <row r="145" spans="1:110" ht="8.4499999999999993" customHeight="1" x14ac:dyDescent="0.2">
      <c r="A145" s="130" t="s">
        <v>2081</v>
      </c>
      <c r="B145" s="104">
        <v>130</v>
      </c>
      <c r="C145" s="82" t="s">
        <v>2021</v>
      </c>
      <c r="D145" s="96">
        <v>62</v>
      </c>
      <c r="E145" s="82" t="s">
        <v>2478</v>
      </c>
      <c r="F145" s="82" t="s">
        <v>2181</v>
      </c>
      <c r="G145" s="102">
        <v>56.95</v>
      </c>
      <c r="H145" s="98">
        <v>0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8">
        <v>4.7300000000000004</v>
      </c>
      <c r="BL145" s="98">
        <v>8.3000000000000007</v>
      </c>
      <c r="BM145" s="98">
        <v>8.3000000000000007</v>
      </c>
      <c r="BN145" s="102">
        <v>17.329999999999998</v>
      </c>
      <c r="BO145" s="102">
        <v>30.43</v>
      </c>
      <c r="BP145" s="102">
        <v>38.729999999999997</v>
      </c>
      <c r="BQ145" s="102">
        <v>24.9</v>
      </c>
      <c r="BR145" s="102">
        <v>43.73</v>
      </c>
      <c r="BS145" s="102">
        <v>82.46</v>
      </c>
      <c r="BT145" s="98">
        <v>9.99</v>
      </c>
      <c r="BU145" s="102">
        <v>17.54</v>
      </c>
      <c r="BV145" s="100">
        <v>100</v>
      </c>
      <c r="BW145" s="99"/>
      <c r="BX145" s="99"/>
      <c r="BY145" s="100">
        <v>100</v>
      </c>
      <c r="BZ145" s="99"/>
      <c r="CA145" s="99"/>
      <c r="CB145" s="100">
        <v>100</v>
      </c>
      <c r="CC145" s="99"/>
      <c r="CD145" s="99"/>
      <c r="CE145" s="989">
        <v>100</v>
      </c>
      <c r="CF145" s="406"/>
      <c r="CG145" s="406"/>
      <c r="CH145" s="407"/>
      <c r="CI145" s="406"/>
      <c r="CJ145" s="406"/>
      <c r="CK145" s="407"/>
      <c r="CL145" s="406"/>
      <c r="CM145" s="406"/>
      <c r="CN145" s="406"/>
      <c r="CO145" s="464"/>
      <c r="CP145" s="464"/>
      <c r="CQ145" s="405"/>
      <c r="CR145" s="460"/>
      <c r="CS145" s="460"/>
      <c r="CT145" s="405"/>
      <c r="CU145" s="460"/>
      <c r="CV145" s="460"/>
      <c r="CW145" s="405"/>
      <c r="CX145" s="464"/>
      <c r="CY145" s="464"/>
      <c r="CZ145" s="460"/>
      <c r="DA145" s="405"/>
      <c r="DB145" s="464"/>
      <c r="DC145" s="464"/>
      <c r="DD145" s="464"/>
      <c r="DE145" s="464"/>
      <c r="DF145" s="405"/>
    </row>
    <row r="146" spans="1:110" ht="8.4499999999999993" customHeight="1" x14ac:dyDescent="0.2">
      <c r="A146" s="130" t="s">
        <v>2083</v>
      </c>
      <c r="B146" s="104">
        <v>131</v>
      </c>
      <c r="C146" s="82" t="s">
        <v>1953</v>
      </c>
      <c r="D146" s="96">
        <v>62</v>
      </c>
      <c r="E146" s="82" t="s">
        <v>2478</v>
      </c>
      <c r="F146" s="82" t="s">
        <v>2181</v>
      </c>
      <c r="G146" s="102">
        <v>81.96</v>
      </c>
      <c r="H146" s="98">
        <v>0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102">
        <v>31.24</v>
      </c>
      <c r="BL146" s="102">
        <v>38.119999999999997</v>
      </c>
      <c r="BM146" s="102">
        <v>38.119999999999997</v>
      </c>
      <c r="BN146" s="102">
        <v>23.19</v>
      </c>
      <c r="BO146" s="102">
        <v>28.29</v>
      </c>
      <c r="BP146" s="102">
        <v>66.41</v>
      </c>
      <c r="BQ146" s="102">
        <v>26.52</v>
      </c>
      <c r="BR146" s="102">
        <v>32.36</v>
      </c>
      <c r="BS146" s="102">
        <v>98.77</v>
      </c>
      <c r="BT146" s="98">
        <v>1.01</v>
      </c>
      <c r="BU146" s="98">
        <v>1.23</v>
      </c>
      <c r="BV146" s="100">
        <v>100</v>
      </c>
      <c r="BW146" s="99"/>
      <c r="BX146" s="99"/>
      <c r="BY146" s="100">
        <v>100</v>
      </c>
      <c r="BZ146" s="99"/>
      <c r="CA146" s="99"/>
      <c r="CB146" s="100">
        <v>100</v>
      </c>
      <c r="CC146" s="99"/>
      <c r="CD146" s="99"/>
      <c r="CE146" s="989">
        <v>100</v>
      </c>
      <c r="CF146" s="406"/>
      <c r="CG146" s="406"/>
      <c r="CH146" s="407"/>
      <c r="CI146" s="406"/>
      <c r="CJ146" s="406"/>
      <c r="CK146" s="407"/>
      <c r="CL146" s="406"/>
      <c r="CM146" s="406"/>
      <c r="CN146" s="406"/>
      <c r="CO146" s="467"/>
      <c r="CP146" s="467"/>
      <c r="CQ146" s="407"/>
      <c r="CR146" s="406"/>
      <c r="CS146" s="406"/>
      <c r="CT146" s="407"/>
      <c r="CU146" s="406"/>
      <c r="CV146" s="406"/>
      <c r="CW146" s="407"/>
      <c r="CX146" s="467"/>
      <c r="CY146" s="467"/>
      <c r="CZ146" s="406"/>
      <c r="DA146" s="407"/>
      <c r="DB146" s="467"/>
      <c r="DC146" s="467"/>
      <c r="DD146" s="467"/>
      <c r="DE146" s="467"/>
      <c r="DF146" s="407"/>
    </row>
    <row r="147" spans="1:110" ht="8.4499999999999993" customHeight="1" x14ac:dyDescent="0.2">
      <c r="A147" s="130" t="s">
        <v>2084</v>
      </c>
      <c r="B147" s="104">
        <v>132</v>
      </c>
      <c r="C147" s="82" t="s">
        <v>2020</v>
      </c>
      <c r="D147" s="96">
        <v>34</v>
      </c>
      <c r="E147" s="82" t="s">
        <v>2012</v>
      </c>
      <c r="F147" s="82" t="s">
        <v>2181</v>
      </c>
      <c r="G147" s="98">
        <v>6.83</v>
      </c>
      <c r="H147" s="98">
        <v>0</v>
      </c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8">
        <v>3.42</v>
      </c>
      <c r="BR147" s="102">
        <v>50</v>
      </c>
      <c r="BS147" s="102">
        <v>50</v>
      </c>
      <c r="BT147" s="98">
        <v>3.42</v>
      </c>
      <c r="BU147" s="102">
        <v>50</v>
      </c>
      <c r="BV147" s="100">
        <v>100</v>
      </c>
      <c r="BW147" s="99"/>
      <c r="BX147" s="99"/>
      <c r="BY147" s="100">
        <v>100</v>
      </c>
      <c r="BZ147" s="99"/>
      <c r="CA147" s="99"/>
      <c r="CB147" s="100">
        <v>100</v>
      </c>
      <c r="CC147" s="99"/>
      <c r="CD147" s="99"/>
      <c r="CE147" s="989">
        <v>100</v>
      </c>
      <c r="CF147" s="460"/>
      <c r="CG147" s="460"/>
      <c r="CH147" s="405"/>
      <c r="CI147" s="460"/>
      <c r="CJ147" s="460"/>
      <c r="CK147" s="405"/>
      <c r="CL147" s="460"/>
      <c r="CM147" s="460"/>
      <c r="CN147" s="460"/>
      <c r="CO147" s="464"/>
      <c r="CP147" s="464"/>
      <c r="CQ147" s="405"/>
      <c r="CR147" s="460"/>
      <c r="CS147" s="460"/>
      <c r="CT147" s="405"/>
      <c r="CU147" s="460"/>
      <c r="CV147" s="460"/>
      <c r="CW147" s="405"/>
      <c r="CX147" s="464"/>
      <c r="CY147" s="464"/>
      <c r="CZ147" s="460"/>
      <c r="DA147" s="405"/>
      <c r="DB147" s="464"/>
      <c r="DC147" s="464"/>
      <c r="DD147" s="464"/>
      <c r="DE147" s="464"/>
      <c r="DF147" s="405"/>
    </row>
    <row r="148" spans="1:110" ht="8.4499999999999993" customHeight="1" x14ac:dyDescent="0.2">
      <c r="A148" s="130" t="s">
        <v>2086</v>
      </c>
      <c r="B148" s="104">
        <v>133</v>
      </c>
      <c r="C148" s="82" t="s">
        <v>2490</v>
      </c>
      <c r="D148" s="96">
        <v>62</v>
      </c>
      <c r="E148" s="82" t="s">
        <v>2478</v>
      </c>
      <c r="F148" s="82" t="s">
        <v>2181</v>
      </c>
      <c r="G148" s="101">
        <v>7484.62</v>
      </c>
      <c r="H148" s="98">
        <v>0.09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101">
        <v>1690.03</v>
      </c>
      <c r="BL148" s="102">
        <v>22.58</v>
      </c>
      <c r="BM148" s="102">
        <v>22.58</v>
      </c>
      <c r="BN148" s="101">
        <v>2154.0700000000002</v>
      </c>
      <c r="BO148" s="102">
        <v>28.78</v>
      </c>
      <c r="BP148" s="102">
        <v>51.36</v>
      </c>
      <c r="BQ148" s="101">
        <v>2870.35</v>
      </c>
      <c r="BR148" s="102">
        <v>38.35</v>
      </c>
      <c r="BS148" s="102">
        <v>89.71</v>
      </c>
      <c r="BT148" s="100">
        <v>770.17</v>
      </c>
      <c r="BU148" s="102">
        <v>10.29</v>
      </c>
      <c r="BV148" s="100">
        <v>100</v>
      </c>
      <c r="BW148" s="99"/>
      <c r="BX148" s="99"/>
      <c r="BY148" s="100">
        <v>100</v>
      </c>
      <c r="BZ148" s="99"/>
      <c r="CA148" s="99"/>
      <c r="CB148" s="100">
        <v>100</v>
      </c>
      <c r="CC148" s="99"/>
      <c r="CD148" s="99"/>
      <c r="CE148" s="989">
        <v>100</v>
      </c>
      <c r="CF148" s="406"/>
      <c r="CG148" s="406"/>
      <c r="CH148" s="407"/>
      <c r="CI148" s="406"/>
      <c r="CJ148" s="406"/>
      <c r="CK148" s="407"/>
      <c r="CL148" s="406"/>
      <c r="CM148" s="406"/>
      <c r="CN148" s="406"/>
      <c r="CO148" s="467"/>
      <c r="CP148" s="467"/>
      <c r="CQ148" s="407"/>
      <c r="CR148" s="406"/>
      <c r="CS148" s="406"/>
      <c r="CT148" s="407"/>
      <c r="CU148" s="406"/>
      <c r="CV148" s="406"/>
      <c r="CW148" s="407"/>
      <c r="CX148" s="467"/>
      <c r="CY148" s="467"/>
      <c r="CZ148" s="406"/>
      <c r="DA148" s="407"/>
      <c r="DB148" s="467"/>
      <c r="DC148" s="467"/>
      <c r="DD148" s="467"/>
      <c r="DE148" s="467"/>
      <c r="DF148" s="407"/>
    </row>
    <row r="149" spans="1:110" ht="8.4499999999999993" customHeight="1" x14ac:dyDescent="0.2">
      <c r="A149" s="130" t="s">
        <v>637</v>
      </c>
      <c r="B149" s="103">
        <v>134</v>
      </c>
      <c r="C149" s="87" t="s">
        <v>344</v>
      </c>
      <c r="D149" s="103">
        <v>246</v>
      </c>
      <c r="E149" s="87" t="s">
        <v>2491</v>
      </c>
      <c r="F149" s="87" t="s">
        <v>2024</v>
      </c>
      <c r="G149" s="89">
        <v>60765.27</v>
      </c>
      <c r="H149" s="90">
        <v>0.69</v>
      </c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2">
        <v>4872.8500000000004</v>
      </c>
      <c r="AT149" s="90">
        <v>8.02</v>
      </c>
      <c r="AU149" s="90">
        <v>8.02</v>
      </c>
      <c r="AV149" s="92">
        <v>3952.13</v>
      </c>
      <c r="AW149" s="90">
        <v>6.51</v>
      </c>
      <c r="AX149" s="91">
        <v>14.53</v>
      </c>
      <c r="AY149" s="92">
        <v>4878.5</v>
      </c>
      <c r="AZ149" s="90">
        <v>8.0299999999999994</v>
      </c>
      <c r="BA149" s="91">
        <v>22.56</v>
      </c>
      <c r="BB149" s="92">
        <v>6109.22</v>
      </c>
      <c r="BC149" s="91">
        <v>10.06</v>
      </c>
      <c r="BD149" s="91">
        <v>32.61</v>
      </c>
      <c r="BE149" s="92">
        <v>3895.09</v>
      </c>
      <c r="BF149" s="90">
        <v>6.41</v>
      </c>
      <c r="BG149" s="91">
        <v>39.03</v>
      </c>
      <c r="BH149" s="92">
        <v>7280.73</v>
      </c>
      <c r="BI149" s="91">
        <v>11.98</v>
      </c>
      <c r="BJ149" s="91">
        <v>51.01</v>
      </c>
      <c r="BK149" s="92">
        <v>8880.69</v>
      </c>
      <c r="BL149" s="91">
        <v>14.62</v>
      </c>
      <c r="BM149" s="91">
        <v>65.63</v>
      </c>
      <c r="BN149" s="92">
        <v>6477.05</v>
      </c>
      <c r="BO149" s="91">
        <v>10.66</v>
      </c>
      <c r="BP149" s="91">
        <v>76.290000000000006</v>
      </c>
      <c r="BQ149" s="92">
        <v>1116.97</v>
      </c>
      <c r="BR149" s="90">
        <v>1.81</v>
      </c>
      <c r="BS149" s="91">
        <v>78.099999999999994</v>
      </c>
      <c r="BT149" s="92">
        <v>7792.36</v>
      </c>
      <c r="BU149" s="91">
        <v>12.83</v>
      </c>
      <c r="BV149" s="91">
        <v>90.93</v>
      </c>
      <c r="BW149" s="94"/>
      <c r="BX149" s="94"/>
      <c r="BY149" s="91">
        <v>90.93</v>
      </c>
      <c r="BZ149" s="92">
        <v>5509.66</v>
      </c>
      <c r="CA149" s="90">
        <v>9.07</v>
      </c>
      <c r="CB149" s="93">
        <v>100</v>
      </c>
      <c r="CC149" s="94"/>
      <c r="CD149" s="94"/>
      <c r="CE149" s="988">
        <v>100</v>
      </c>
      <c r="CF149" s="406"/>
      <c r="CG149" s="406"/>
      <c r="CH149" s="407"/>
      <c r="CI149" s="406"/>
      <c r="CJ149" s="406"/>
      <c r="CK149" s="407"/>
      <c r="CL149" s="406"/>
      <c r="CM149" s="406"/>
      <c r="CN149" s="406"/>
      <c r="CO149" s="467"/>
      <c r="CP149" s="467"/>
      <c r="CQ149" s="407"/>
      <c r="CR149" s="406"/>
      <c r="CS149" s="406"/>
      <c r="CT149" s="407"/>
      <c r="CU149" s="406"/>
      <c r="CV149" s="406"/>
      <c r="CW149" s="407"/>
      <c r="CX149" s="467"/>
      <c r="CY149" s="467"/>
      <c r="CZ149" s="406"/>
      <c r="DA149" s="407"/>
      <c r="DB149" s="467"/>
      <c r="DC149" s="467"/>
      <c r="DD149" s="467"/>
      <c r="DE149" s="467"/>
      <c r="DF149" s="407"/>
    </row>
    <row r="150" spans="1:110" ht="8.4499999999999993" customHeight="1" x14ac:dyDescent="0.2">
      <c r="A150" s="130" t="s">
        <v>1414</v>
      </c>
      <c r="B150" s="103">
        <v>135</v>
      </c>
      <c r="C150" s="87" t="s">
        <v>1563</v>
      </c>
      <c r="D150" s="88">
        <v>93</v>
      </c>
      <c r="E150" s="87" t="s">
        <v>2173</v>
      </c>
      <c r="F150" s="87" t="s">
        <v>2492</v>
      </c>
      <c r="G150" s="92">
        <v>5623.11</v>
      </c>
      <c r="H150" s="90">
        <v>0.06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2">
        <v>1511.83</v>
      </c>
      <c r="BI150" s="91">
        <v>26.89</v>
      </c>
      <c r="BJ150" s="91">
        <v>26.89</v>
      </c>
      <c r="BK150" s="94"/>
      <c r="BL150" s="94"/>
      <c r="BM150" s="91">
        <v>26.89</v>
      </c>
      <c r="BN150" s="94"/>
      <c r="BO150" s="94"/>
      <c r="BP150" s="91">
        <v>26.89</v>
      </c>
      <c r="BQ150" s="94"/>
      <c r="BR150" s="94"/>
      <c r="BS150" s="91">
        <v>26.89</v>
      </c>
      <c r="BT150" s="92">
        <v>4111.28</v>
      </c>
      <c r="BU150" s="91">
        <v>73.11</v>
      </c>
      <c r="BV150" s="93">
        <v>100</v>
      </c>
      <c r="BW150" s="94"/>
      <c r="BX150" s="94"/>
      <c r="BY150" s="93">
        <v>100</v>
      </c>
      <c r="BZ150" s="94"/>
      <c r="CA150" s="94"/>
      <c r="CB150" s="93">
        <v>100</v>
      </c>
      <c r="CC150" s="94"/>
      <c r="CD150" s="94"/>
      <c r="CE150" s="988">
        <v>100</v>
      </c>
      <c r="CF150" s="460"/>
      <c r="CG150" s="460"/>
      <c r="CH150" s="405"/>
      <c r="CI150" s="460"/>
      <c r="CJ150" s="460"/>
      <c r="CK150" s="405"/>
      <c r="CL150" s="460"/>
      <c r="CM150" s="460"/>
      <c r="CN150" s="460"/>
      <c r="CO150" s="467"/>
      <c r="CP150" s="467"/>
      <c r="CQ150" s="407"/>
      <c r="CR150" s="406"/>
      <c r="CS150" s="406"/>
      <c r="CT150" s="407"/>
      <c r="CU150" s="406"/>
      <c r="CV150" s="406"/>
      <c r="CW150" s="407"/>
      <c r="CX150" s="467"/>
      <c r="CY150" s="467"/>
      <c r="CZ150" s="406"/>
      <c r="DA150" s="407"/>
      <c r="DB150" s="467"/>
      <c r="DC150" s="467"/>
      <c r="DD150" s="467"/>
      <c r="DE150" s="467"/>
      <c r="DF150" s="407"/>
    </row>
    <row r="151" spans="1:110" ht="8.4499999999999993" customHeight="1" x14ac:dyDescent="0.2">
      <c r="A151" s="130" t="s">
        <v>1416</v>
      </c>
      <c r="B151" s="104">
        <v>136</v>
      </c>
      <c r="C151" s="82" t="s">
        <v>1564</v>
      </c>
      <c r="D151" s="96">
        <v>22</v>
      </c>
      <c r="E151" s="82" t="s">
        <v>2173</v>
      </c>
      <c r="F151" s="82" t="s">
        <v>2167</v>
      </c>
      <c r="G151" s="101">
        <v>1511.83</v>
      </c>
      <c r="H151" s="98">
        <v>0.02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101">
        <v>1511.83</v>
      </c>
      <c r="BI151" s="100">
        <v>100</v>
      </c>
      <c r="BJ151" s="100">
        <v>100</v>
      </c>
      <c r="BK151" s="99"/>
      <c r="BL151" s="99"/>
      <c r="BM151" s="100">
        <v>100</v>
      </c>
      <c r="BN151" s="99"/>
      <c r="BO151" s="99"/>
      <c r="BP151" s="100">
        <v>100</v>
      </c>
      <c r="BQ151" s="99"/>
      <c r="BR151" s="99"/>
      <c r="BS151" s="100">
        <v>100</v>
      </c>
      <c r="BT151" s="99"/>
      <c r="BU151" s="99"/>
      <c r="BV151" s="100">
        <v>100</v>
      </c>
      <c r="BW151" s="99"/>
      <c r="BX151" s="99"/>
      <c r="BY151" s="100">
        <v>100</v>
      </c>
      <c r="BZ151" s="99"/>
      <c r="CA151" s="99"/>
      <c r="CB151" s="100">
        <v>100</v>
      </c>
      <c r="CC151" s="99"/>
      <c r="CD151" s="99"/>
      <c r="CE151" s="989">
        <v>100</v>
      </c>
      <c r="CF151" s="406"/>
      <c r="CG151" s="406"/>
      <c r="CH151" s="407"/>
      <c r="CI151" s="406"/>
      <c r="CJ151" s="406"/>
      <c r="CK151" s="407"/>
      <c r="CL151" s="406"/>
      <c r="CM151" s="406"/>
      <c r="CN151" s="406"/>
      <c r="CO151" s="467"/>
      <c r="CP151" s="467"/>
      <c r="CQ151" s="407"/>
      <c r="CR151" s="406"/>
      <c r="CS151" s="406"/>
      <c r="CT151" s="407"/>
      <c r="CU151" s="406"/>
      <c r="CV151" s="406"/>
      <c r="CW151" s="407"/>
      <c r="CX151" s="467"/>
      <c r="CY151" s="467"/>
      <c r="CZ151" s="406"/>
      <c r="DA151" s="407"/>
      <c r="DB151" s="467"/>
      <c r="DC151" s="467"/>
      <c r="DD151" s="467"/>
      <c r="DE151" s="467"/>
      <c r="DF151" s="407"/>
    </row>
    <row r="152" spans="1:110" ht="8.4499999999999993" customHeight="1" x14ac:dyDescent="0.2">
      <c r="A152" s="130" t="s">
        <v>1418</v>
      </c>
      <c r="B152" s="104">
        <v>137</v>
      </c>
      <c r="C152" s="82" t="s">
        <v>1565</v>
      </c>
      <c r="D152" s="95">
        <v>6</v>
      </c>
      <c r="E152" s="82" t="s">
        <v>2033</v>
      </c>
      <c r="F152" s="82" t="s">
        <v>2492</v>
      </c>
      <c r="G152" s="101">
        <v>3472.48</v>
      </c>
      <c r="H152" s="98">
        <v>0.04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101">
        <v>3472.48</v>
      </c>
      <c r="BU152" s="100">
        <v>100</v>
      </c>
      <c r="BV152" s="100">
        <v>100</v>
      </c>
      <c r="BW152" s="99"/>
      <c r="BX152" s="99"/>
      <c r="BY152" s="100">
        <v>100</v>
      </c>
      <c r="BZ152" s="99"/>
      <c r="CA152" s="99"/>
      <c r="CB152" s="100">
        <v>100</v>
      </c>
      <c r="CC152" s="99"/>
      <c r="CD152" s="99"/>
      <c r="CE152" s="989">
        <v>100</v>
      </c>
      <c r="CF152" s="406"/>
      <c r="CG152" s="406"/>
      <c r="CH152" s="407"/>
      <c r="CI152" s="406"/>
      <c r="CJ152" s="406"/>
      <c r="CK152" s="407"/>
      <c r="CL152" s="406"/>
      <c r="CM152" s="406"/>
      <c r="CN152" s="406"/>
      <c r="CO152" s="467"/>
      <c r="CP152" s="467"/>
      <c r="CQ152" s="407"/>
      <c r="CR152" s="406"/>
      <c r="CS152" s="406"/>
      <c r="CT152" s="407"/>
      <c r="CU152" s="406"/>
      <c r="CV152" s="406"/>
      <c r="CW152" s="407"/>
      <c r="CX152" s="467"/>
      <c r="CY152" s="467"/>
      <c r="CZ152" s="406"/>
      <c r="DA152" s="407"/>
      <c r="DB152" s="467"/>
      <c r="DC152" s="467"/>
      <c r="DD152" s="467"/>
      <c r="DE152" s="467"/>
      <c r="DF152" s="407"/>
    </row>
    <row r="153" spans="1:110" ht="8.4499999999999993" customHeight="1" x14ac:dyDescent="0.2">
      <c r="A153" s="130" t="s">
        <v>1420</v>
      </c>
      <c r="B153" s="104">
        <v>138</v>
      </c>
      <c r="C153" s="82" t="s">
        <v>2493</v>
      </c>
      <c r="D153" s="95">
        <v>6</v>
      </c>
      <c r="E153" s="82" t="s">
        <v>2033</v>
      </c>
      <c r="F153" s="82" t="s">
        <v>2492</v>
      </c>
      <c r="G153" s="100">
        <v>638.79999999999995</v>
      </c>
      <c r="H153" s="98">
        <v>0.01</v>
      </c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100">
        <v>638.79999999999995</v>
      </c>
      <c r="BU153" s="100">
        <v>100</v>
      </c>
      <c r="BV153" s="100">
        <v>100</v>
      </c>
      <c r="BW153" s="99"/>
      <c r="BX153" s="99"/>
      <c r="BY153" s="100">
        <v>100</v>
      </c>
      <c r="BZ153" s="99"/>
      <c r="CA153" s="99"/>
      <c r="CB153" s="100">
        <v>100</v>
      </c>
      <c r="CC153" s="99"/>
      <c r="CD153" s="99"/>
      <c r="CE153" s="989">
        <v>100</v>
      </c>
      <c r="CF153" s="460"/>
      <c r="CG153" s="460"/>
      <c r="CH153" s="405"/>
      <c r="CI153" s="460"/>
      <c r="CJ153" s="460"/>
      <c r="CK153" s="405"/>
      <c r="CL153" s="460"/>
      <c r="CM153" s="460"/>
      <c r="CN153" s="460"/>
      <c r="CO153" s="467"/>
      <c r="CP153" s="467"/>
      <c r="CQ153" s="407"/>
      <c r="CR153" s="406"/>
      <c r="CS153" s="406"/>
      <c r="CT153" s="407"/>
      <c r="CU153" s="406"/>
      <c r="CV153" s="406"/>
      <c r="CW153" s="407"/>
      <c r="CX153" s="467"/>
      <c r="CY153" s="467"/>
      <c r="CZ153" s="406"/>
      <c r="DA153" s="407"/>
      <c r="DB153" s="467"/>
      <c r="DC153" s="467"/>
      <c r="DD153" s="467"/>
      <c r="DE153" s="467"/>
      <c r="DF153" s="407"/>
    </row>
    <row r="154" spans="1:110" ht="8.4499999999999993" customHeight="1" x14ac:dyDescent="0.2">
      <c r="A154" s="130" t="s">
        <v>1426</v>
      </c>
      <c r="B154" s="103">
        <v>139</v>
      </c>
      <c r="C154" s="87" t="s">
        <v>1566</v>
      </c>
      <c r="D154" s="88">
        <v>93</v>
      </c>
      <c r="E154" s="87" t="s">
        <v>2173</v>
      </c>
      <c r="F154" s="87" t="s">
        <v>2492</v>
      </c>
      <c r="G154" s="92">
        <v>4871.62</v>
      </c>
      <c r="H154" s="90">
        <v>0.06</v>
      </c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2">
        <v>1268.97</v>
      </c>
      <c r="BI154" s="91">
        <v>26.05</v>
      </c>
      <c r="BJ154" s="91">
        <v>26.05</v>
      </c>
      <c r="BK154" s="94"/>
      <c r="BL154" s="94"/>
      <c r="BM154" s="91">
        <v>26.05</v>
      </c>
      <c r="BN154" s="94"/>
      <c r="BO154" s="94"/>
      <c r="BP154" s="91">
        <v>26.05</v>
      </c>
      <c r="BQ154" s="94"/>
      <c r="BR154" s="94"/>
      <c r="BS154" s="91">
        <v>26.05</v>
      </c>
      <c r="BT154" s="92">
        <v>3602.65</v>
      </c>
      <c r="BU154" s="91">
        <v>73.95</v>
      </c>
      <c r="BV154" s="93">
        <v>100</v>
      </c>
      <c r="BW154" s="94"/>
      <c r="BX154" s="94"/>
      <c r="BY154" s="93">
        <v>100</v>
      </c>
      <c r="BZ154" s="94"/>
      <c r="CA154" s="94"/>
      <c r="CB154" s="93">
        <v>100</v>
      </c>
      <c r="CC154" s="94"/>
      <c r="CD154" s="94"/>
      <c r="CE154" s="988">
        <v>100</v>
      </c>
      <c r="CF154" s="406"/>
      <c r="CG154" s="406"/>
      <c r="CH154" s="407"/>
      <c r="CI154" s="406"/>
      <c r="CJ154" s="406"/>
      <c r="CK154" s="407"/>
      <c r="CL154" s="406"/>
      <c r="CM154" s="406"/>
      <c r="CN154" s="406"/>
      <c r="CO154" s="467"/>
      <c r="CP154" s="467"/>
      <c r="CQ154" s="407"/>
      <c r="CR154" s="406"/>
      <c r="CS154" s="406"/>
      <c r="CT154" s="407"/>
      <c r="CU154" s="406"/>
      <c r="CV154" s="406"/>
      <c r="CW154" s="407"/>
      <c r="CX154" s="467"/>
      <c r="CY154" s="467"/>
      <c r="CZ154" s="406"/>
      <c r="DA154" s="407"/>
      <c r="DB154" s="467"/>
      <c r="DC154" s="467"/>
      <c r="DD154" s="467"/>
      <c r="DE154" s="467"/>
      <c r="DF154" s="407"/>
    </row>
    <row r="155" spans="1:110" ht="8.4499999999999993" customHeight="1" x14ac:dyDescent="0.2">
      <c r="A155" s="130" t="s">
        <v>1428</v>
      </c>
      <c r="B155" s="104">
        <v>140</v>
      </c>
      <c r="C155" s="82" t="s">
        <v>2494</v>
      </c>
      <c r="D155" s="96">
        <v>22</v>
      </c>
      <c r="E155" s="82" t="s">
        <v>2173</v>
      </c>
      <c r="F155" s="82" t="s">
        <v>2167</v>
      </c>
      <c r="G155" s="101">
        <v>1268.97</v>
      </c>
      <c r="H155" s="98">
        <v>0.01</v>
      </c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101">
        <v>1268.97</v>
      </c>
      <c r="BI155" s="100">
        <v>100</v>
      </c>
      <c r="BJ155" s="100">
        <v>100</v>
      </c>
      <c r="BK155" s="99"/>
      <c r="BL155" s="99"/>
      <c r="BM155" s="100">
        <v>100</v>
      </c>
      <c r="BN155" s="99"/>
      <c r="BO155" s="99"/>
      <c r="BP155" s="100">
        <v>100</v>
      </c>
      <c r="BQ155" s="99"/>
      <c r="BR155" s="99"/>
      <c r="BS155" s="100">
        <v>100</v>
      </c>
      <c r="BT155" s="99"/>
      <c r="BU155" s="99"/>
      <c r="BV155" s="100">
        <v>100</v>
      </c>
      <c r="BW155" s="99"/>
      <c r="BX155" s="99"/>
      <c r="BY155" s="100">
        <v>100</v>
      </c>
      <c r="BZ155" s="99"/>
      <c r="CA155" s="99"/>
      <c r="CB155" s="100">
        <v>100</v>
      </c>
      <c r="CC155" s="99"/>
      <c r="CD155" s="99"/>
      <c r="CE155" s="989">
        <v>100</v>
      </c>
      <c r="CF155" s="405"/>
      <c r="CG155" s="462"/>
      <c r="CH155" s="405"/>
      <c r="CI155" s="460"/>
      <c r="CJ155" s="460"/>
      <c r="CK155" s="405"/>
      <c r="CL155" s="460"/>
      <c r="CM155" s="460"/>
      <c r="CN155" s="460"/>
      <c r="CO155" s="464"/>
      <c r="CP155" s="464"/>
      <c r="CQ155" s="405"/>
      <c r="CR155" s="460"/>
      <c r="CS155" s="460"/>
      <c r="CT155" s="405"/>
      <c r="CU155" s="460"/>
      <c r="CV155" s="460"/>
      <c r="CW155" s="405"/>
      <c r="CX155" s="464"/>
      <c r="CY155" s="464"/>
      <c r="CZ155" s="460"/>
      <c r="DA155" s="405"/>
      <c r="DB155" s="464"/>
      <c r="DC155" s="464"/>
      <c r="DD155" s="464"/>
      <c r="DE155" s="464"/>
      <c r="DF155" s="405"/>
    </row>
    <row r="156" spans="1:110" ht="8.4499999999999993" customHeight="1" x14ac:dyDescent="0.2">
      <c r="A156" s="130" t="s">
        <v>1429</v>
      </c>
      <c r="B156" s="104">
        <v>141</v>
      </c>
      <c r="C156" s="82" t="s">
        <v>2495</v>
      </c>
      <c r="D156" s="95">
        <v>6</v>
      </c>
      <c r="E156" s="82" t="s">
        <v>2033</v>
      </c>
      <c r="F156" s="82" t="s">
        <v>2492</v>
      </c>
      <c r="G156" s="101">
        <v>2634.73</v>
      </c>
      <c r="H156" s="98">
        <v>0.03</v>
      </c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101">
        <v>2634.73</v>
      </c>
      <c r="BU156" s="100">
        <v>100</v>
      </c>
      <c r="BV156" s="100">
        <v>100</v>
      </c>
      <c r="BW156" s="99"/>
      <c r="BX156" s="99"/>
      <c r="BY156" s="100">
        <v>100</v>
      </c>
      <c r="BZ156" s="99"/>
      <c r="CA156" s="99"/>
      <c r="CB156" s="100">
        <v>100</v>
      </c>
      <c r="CC156" s="99"/>
      <c r="CD156" s="99"/>
      <c r="CE156" s="989">
        <v>100</v>
      </c>
      <c r="CF156" s="460"/>
      <c r="CG156" s="460"/>
      <c r="CH156" s="405"/>
      <c r="CI156" s="460"/>
      <c r="CJ156" s="460"/>
      <c r="CK156" s="405"/>
      <c r="CL156" s="460"/>
      <c r="CM156" s="460"/>
      <c r="CN156" s="460"/>
      <c r="CO156" s="467"/>
      <c r="CP156" s="467"/>
      <c r="CQ156" s="407"/>
      <c r="CR156" s="406"/>
      <c r="CS156" s="406"/>
      <c r="CT156" s="407"/>
      <c r="CU156" s="406"/>
      <c r="CV156" s="406"/>
      <c r="CW156" s="407"/>
      <c r="CX156" s="467"/>
      <c r="CY156" s="467"/>
      <c r="CZ156" s="406"/>
      <c r="DA156" s="407"/>
      <c r="DB156" s="467"/>
      <c r="DC156" s="467"/>
      <c r="DD156" s="467"/>
      <c r="DE156" s="467"/>
      <c r="DF156" s="407"/>
    </row>
    <row r="157" spans="1:110" ht="8.4499999999999993" customHeight="1" x14ac:dyDescent="0.2">
      <c r="A157" s="130" t="s">
        <v>1430</v>
      </c>
      <c r="B157" s="104">
        <v>142</v>
      </c>
      <c r="C157" s="82" t="s">
        <v>1567</v>
      </c>
      <c r="D157" s="95">
        <v>6</v>
      </c>
      <c r="E157" s="82" t="s">
        <v>2033</v>
      </c>
      <c r="F157" s="82" t="s">
        <v>2492</v>
      </c>
      <c r="G157" s="100">
        <v>967.92</v>
      </c>
      <c r="H157" s="98">
        <v>0.01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100">
        <v>967.92</v>
      </c>
      <c r="BU157" s="100">
        <v>100</v>
      </c>
      <c r="BV157" s="100">
        <v>100</v>
      </c>
      <c r="BW157" s="99"/>
      <c r="BX157" s="99"/>
      <c r="BY157" s="100">
        <v>100</v>
      </c>
      <c r="BZ157" s="99"/>
      <c r="CA157" s="99"/>
      <c r="CB157" s="100">
        <v>100</v>
      </c>
      <c r="CC157" s="99"/>
      <c r="CD157" s="99"/>
      <c r="CE157" s="989">
        <v>100</v>
      </c>
      <c r="CF157" s="406"/>
      <c r="CG157" s="406"/>
      <c r="CH157" s="407"/>
      <c r="CI157" s="406"/>
      <c r="CJ157" s="406"/>
      <c r="CK157" s="407"/>
      <c r="CL157" s="406"/>
      <c r="CM157" s="406"/>
      <c r="CN157" s="406"/>
      <c r="CO157" s="467"/>
      <c r="CP157" s="467"/>
      <c r="CQ157" s="407"/>
      <c r="CR157" s="406"/>
      <c r="CS157" s="406"/>
      <c r="CT157" s="407"/>
      <c r="CU157" s="406"/>
      <c r="CV157" s="406"/>
      <c r="CW157" s="407"/>
      <c r="CX157" s="467"/>
      <c r="CY157" s="467"/>
      <c r="CZ157" s="406"/>
      <c r="DA157" s="407"/>
      <c r="DB157" s="467"/>
      <c r="DC157" s="467"/>
      <c r="DD157" s="467"/>
      <c r="DE157" s="467"/>
      <c r="DF157" s="407"/>
    </row>
    <row r="158" spans="1:110" ht="8.4499999999999993" customHeight="1" x14ac:dyDescent="0.2">
      <c r="A158" s="130" t="s">
        <v>1432</v>
      </c>
      <c r="B158" s="103">
        <v>143</v>
      </c>
      <c r="C158" s="87" t="s">
        <v>1568</v>
      </c>
      <c r="D158" s="86">
        <v>6</v>
      </c>
      <c r="E158" s="87" t="s">
        <v>2033</v>
      </c>
      <c r="F158" s="87" t="s">
        <v>2492</v>
      </c>
      <c r="G158" s="91">
        <v>78.430000000000007</v>
      </c>
      <c r="H158" s="90">
        <v>0</v>
      </c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1">
        <v>78.430000000000007</v>
      </c>
      <c r="BU158" s="93">
        <v>100</v>
      </c>
      <c r="BV158" s="93">
        <v>100</v>
      </c>
      <c r="BW158" s="94"/>
      <c r="BX158" s="94"/>
      <c r="BY158" s="93">
        <v>100</v>
      </c>
      <c r="BZ158" s="94"/>
      <c r="CA158" s="94"/>
      <c r="CB158" s="93">
        <v>100</v>
      </c>
      <c r="CC158" s="94"/>
      <c r="CD158" s="94"/>
      <c r="CE158" s="988">
        <v>100</v>
      </c>
      <c r="CF158" s="406"/>
      <c r="CG158" s="406"/>
      <c r="CH158" s="407"/>
      <c r="CI158" s="406"/>
      <c r="CJ158" s="406"/>
      <c r="CK158" s="407"/>
      <c r="CL158" s="406"/>
      <c r="CM158" s="406"/>
      <c r="CN158" s="406"/>
      <c r="CO158" s="467"/>
      <c r="CP158" s="467"/>
      <c r="CQ158" s="407"/>
      <c r="CR158" s="406"/>
      <c r="CS158" s="406"/>
      <c r="CT158" s="407"/>
      <c r="CU158" s="406"/>
      <c r="CV158" s="406"/>
      <c r="CW158" s="407"/>
      <c r="CX158" s="467"/>
      <c r="CY158" s="467"/>
      <c r="CZ158" s="406"/>
      <c r="DA158" s="407"/>
      <c r="DB158" s="467"/>
      <c r="DC158" s="467"/>
      <c r="DD158" s="467"/>
      <c r="DE158" s="467"/>
      <c r="DF158" s="407"/>
    </row>
    <row r="159" spans="1:110" ht="8.4499999999999993" customHeight="1" x14ac:dyDescent="0.2">
      <c r="A159" s="130" t="s">
        <v>1434</v>
      </c>
      <c r="B159" s="104">
        <v>144</v>
      </c>
      <c r="C159" s="82" t="s">
        <v>1569</v>
      </c>
      <c r="D159" s="95">
        <v>6</v>
      </c>
      <c r="E159" s="82" t="s">
        <v>2033</v>
      </c>
      <c r="F159" s="82" t="s">
        <v>2492</v>
      </c>
      <c r="G159" s="98">
        <v>1.63</v>
      </c>
      <c r="H159" s="98">
        <v>0</v>
      </c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8">
        <v>1.63</v>
      </c>
      <c r="BU159" s="100">
        <v>100</v>
      </c>
      <c r="BV159" s="100">
        <v>100</v>
      </c>
      <c r="BW159" s="99"/>
      <c r="BX159" s="99"/>
      <c r="BY159" s="100">
        <v>100</v>
      </c>
      <c r="BZ159" s="99"/>
      <c r="CA159" s="99"/>
      <c r="CB159" s="100">
        <v>100</v>
      </c>
      <c r="CC159" s="99"/>
      <c r="CD159" s="99"/>
      <c r="CE159" s="989">
        <v>100</v>
      </c>
      <c r="CF159" s="406"/>
      <c r="CG159" s="406"/>
      <c r="CH159" s="407"/>
      <c r="CI159" s="406"/>
      <c r="CJ159" s="406"/>
      <c r="CK159" s="407"/>
      <c r="CL159" s="406"/>
      <c r="CM159" s="406"/>
      <c r="CN159" s="406"/>
      <c r="CO159" s="467"/>
      <c r="CP159" s="467"/>
      <c r="CQ159" s="407"/>
      <c r="CR159" s="406"/>
      <c r="CS159" s="406"/>
      <c r="CT159" s="407"/>
      <c r="CU159" s="406"/>
      <c r="CV159" s="406"/>
      <c r="CW159" s="407"/>
      <c r="CX159" s="467"/>
      <c r="CY159" s="467"/>
      <c r="CZ159" s="406"/>
      <c r="DA159" s="407"/>
      <c r="DB159" s="467"/>
      <c r="DC159" s="467"/>
      <c r="DD159" s="467"/>
      <c r="DE159" s="467"/>
      <c r="DF159" s="407"/>
    </row>
    <row r="160" spans="1:110" ht="8.4499999999999993" customHeight="1" x14ac:dyDescent="0.2">
      <c r="A160" s="130" t="s">
        <v>1435</v>
      </c>
      <c r="B160" s="104">
        <v>145</v>
      </c>
      <c r="C160" s="82" t="s">
        <v>2496</v>
      </c>
      <c r="D160" s="95">
        <v>6</v>
      </c>
      <c r="E160" s="82" t="s">
        <v>2033</v>
      </c>
      <c r="F160" s="82" t="s">
        <v>2492</v>
      </c>
      <c r="G160" s="102">
        <v>76.8</v>
      </c>
      <c r="H160" s="98">
        <v>0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102">
        <v>76.8</v>
      </c>
      <c r="BU160" s="100">
        <v>100</v>
      </c>
      <c r="BV160" s="100">
        <v>100</v>
      </c>
      <c r="BW160" s="99"/>
      <c r="BX160" s="99"/>
      <c r="BY160" s="100">
        <v>100</v>
      </c>
      <c r="BZ160" s="99"/>
      <c r="CA160" s="99"/>
      <c r="CB160" s="100">
        <v>100</v>
      </c>
      <c r="CC160" s="99"/>
      <c r="CD160" s="99"/>
      <c r="CE160" s="989">
        <v>100</v>
      </c>
      <c r="CF160" s="406"/>
      <c r="CG160" s="406"/>
      <c r="CH160" s="407"/>
      <c r="CI160" s="406"/>
      <c r="CJ160" s="406"/>
      <c r="CK160" s="407"/>
      <c r="CL160" s="406"/>
      <c r="CM160" s="406"/>
      <c r="CN160" s="406"/>
      <c r="CO160" s="464"/>
      <c r="CP160" s="464"/>
      <c r="CQ160" s="405"/>
      <c r="CR160" s="460"/>
      <c r="CS160" s="460"/>
      <c r="CT160" s="405"/>
      <c r="CU160" s="460"/>
      <c r="CV160" s="460"/>
      <c r="CW160" s="405"/>
      <c r="CX160" s="464"/>
      <c r="CY160" s="464"/>
      <c r="CZ160" s="460"/>
      <c r="DA160" s="405"/>
      <c r="DB160" s="464"/>
      <c r="DC160" s="464"/>
      <c r="DD160" s="464"/>
      <c r="DE160" s="464"/>
      <c r="DF160" s="405"/>
    </row>
    <row r="161" spans="1:110" ht="8.4499999999999993" customHeight="1" x14ac:dyDescent="0.2">
      <c r="A161" s="130" t="s">
        <v>2087</v>
      </c>
      <c r="B161" s="103">
        <v>146</v>
      </c>
      <c r="C161" s="87" t="s">
        <v>1570</v>
      </c>
      <c r="D161" s="103">
        <v>246</v>
      </c>
      <c r="E161" s="87" t="s">
        <v>2491</v>
      </c>
      <c r="F161" s="87" t="s">
        <v>2024</v>
      </c>
      <c r="G161" s="89">
        <v>49075.14</v>
      </c>
      <c r="H161" s="90">
        <v>0.56000000000000005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2">
        <v>4872.8500000000004</v>
      </c>
      <c r="AT161" s="90">
        <v>9.93</v>
      </c>
      <c r="AU161" s="90">
        <v>9.93</v>
      </c>
      <c r="AV161" s="92">
        <v>3952.13</v>
      </c>
      <c r="AW161" s="90">
        <v>8.0500000000000007</v>
      </c>
      <c r="AX161" s="91">
        <v>17.98</v>
      </c>
      <c r="AY161" s="92">
        <v>4878.5</v>
      </c>
      <c r="AZ161" s="90">
        <v>9.94</v>
      </c>
      <c r="BA161" s="91">
        <v>27.92</v>
      </c>
      <c r="BB161" s="92">
        <v>6109.22</v>
      </c>
      <c r="BC161" s="91">
        <v>12.45</v>
      </c>
      <c r="BD161" s="91">
        <v>40.369999999999997</v>
      </c>
      <c r="BE161" s="92">
        <v>3895.09</v>
      </c>
      <c r="BF161" s="90">
        <v>7.94</v>
      </c>
      <c r="BG161" s="91">
        <v>48.31</v>
      </c>
      <c r="BH161" s="92">
        <v>4499.93</v>
      </c>
      <c r="BI161" s="90">
        <v>9.17</v>
      </c>
      <c r="BJ161" s="91">
        <v>57.48</v>
      </c>
      <c r="BK161" s="92">
        <v>8880.69</v>
      </c>
      <c r="BL161" s="91">
        <v>18.100000000000001</v>
      </c>
      <c r="BM161" s="91">
        <v>75.569999999999993</v>
      </c>
      <c r="BN161" s="92">
        <v>6477.05</v>
      </c>
      <c r="BO161" s="91">
        <v>13.2</v>
      </c>
      <c r="BP161" s="91">
        <v>88.77</v>
      </c>
      <c r="BQ161" s="94"/>
      <c r="BR161" s="94"/>
      <c r="BS161" s="91">
        <v>88.77</v>
      </c>
      <c r="BT161" s="94"/>
      <c r="BU161" s="94"/>
      <c r="BV161" s="91">
        <v>88.77</v>
      </c>
      <c r="BW161" s="94"/>
      <c r="BX161" s="94"/>
      <c r="BY161" s="91">
        <v>88.77</v>
      </c>
      <c r="BZ161" s="92">
        <v>5509.66</v>
      </c>
      <c r="CA161" s="91">
        <v>11.23</v>
      </c>
      <c r="CB161" s="93">
        <v>100</v>
      </c>
      <c r="CC161" s="94"/>
      <c r="CD161" s="94"/>
      <c r="CE161" s="988">
        <v>100</v>
      </c>
      <c r="CF161" s="406"/>
      <c r="CG161" s="406"/>
      <c r="CH161" s="407"/>
      <c r="CI161" s="406"/>
      <c r="CJ161" s="406"/>
      <c r="CK161" s="407"/>
      <c r="CL161" s="406"/>
      <c r="CM161" s="406"/>
      <c r="CN161" s="406"/>
      <c r="CO161" s="467"/>
      <c r="CP161" s="467"/>
      <c r="CQ161" s="407"/>
      <c r="CR161" s="406"/>
      <c r="CS161" s="406"/>
      <c r="CT161" s="407"/>
      <c r="CU161" s="406"/>
      <c r="CV161" s="406"/>
      <c r="CW161" s="407"/>
      <c r="CX161" s="467"/>
      <c r="CY161" s="467"/>
      <c r="CZ161" s="406"/>
      <c r="DA161" s="407"/>
      <c r="DB161" s="467"/>
      <c r="DC161" s="467"/>
      <c r="DD161" s="467"/>
      <c r="DE161" s="467"/>
      <c r="DF161" s="407"/>
    </row>
    <row r="162" spans="1:110" ht="8.4499999999999993" customHeight="1" x14ac:dyDescent="0.2">
      <c r="A162" s="130" t="s">
        <v>2088</v>
      </c>
      <c r="B162" s="104">
        <v>147</v>
      </c>
      <c r="C162" s="82" t="s">
        <v>1571</v>
      </c>
      <c r="D162" s="96">
        <v>51</v>
      </c>
      <c r="E162" s="82" t="s">
        <v>2193</v>
      </c>
      <c r="F162" s="82" t="s">
        <v>2008</v>
      </c>
      <c r="G162" s="97">
        <v>15879.12</v>
      </c>
      <c r="H162" s="98">
        <v>0.18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101">
        <v>3015.44</v>
      </c>
      <c r="BI162" s="102">
        <v>18.989999999999998</v>
      </c>
      <c r="BJ162" s="102">
        <v>18.989999999999998</v>
      </c>
      <c r="BK162" s="101">
        <v>7164.66</v>
      </c>
      <c r="BL162" s="102">
        <v>45.12</v>
      </c>
      <c r="BM162" s="102">
        <v>64.11</v>
      </c>
      <c r="BN162" s="101">
        <v>5699.02</v>
      </c>
      <c r="BO162" s="102">
        <v>35.89</v>
      </c>
      <c r="BP162" s="100">
        <v>100</v>
      </c>
      <c r="BQ162" s="99"/>
      <c r="BR162" s="99"/>
      <c r="BS162" s="100">
        <v>100</v>
      </c>
      <c r="BT162" s="99"/>
      <c r="BU162" s="99"/>
      <c r="BV162" s="100">
        <v>100</v>
      </c>
      <c r="BW162" s="99"/>
      <c r="BX162" s="99"/>
      <c r="BY162" s="100">
        <v>100</v>
      </c>
      <c r="BZ162" s="99"/>
      <c r="CA162" s="99"/>
      <c r="CB162" s="100">
        <v>100</v>
      </c>
      <c r="CC162" s="99"/>
      <c r="CD162" s="99"/>
      <c r="CE162" s="989">
        <v>100</v>
      </c>
      <c r="CF162" s="406"/>
      <c r="CG162" s="406"/>
      <c r="CH162" s="407"/>
      <c r="CI162" s="406"/>
      <c r="CJ162" s="406"/>
      <c r="CK162" s="407"/>
      <c r="CL162" s="406"/>
      <c r="CM162" s="406"/>
      <c r="CN162" s="406"/>
      <c r="CO162" s="467"/>
      <c r="CP162" s="467"/>
      <c r="CQ162" s="407"/>
      <c r="CR162" s="406"/>
      <c r="CS162" s="406"/>
      <c r="CT162" s="407"/>
      <c r="CU162" s="406"/>
      <c r="CV162" s="406"/>
      <c r="CW162" s="407"/>
      <c r="CX162" s="467"/>
      <c r="CY162" s="467"/>
      <c r="CZ162" s="406"/>
      <c r="DA162" s="407"/>
      <c r="DB162" s="467"/>
      <c r="DC162" s="467"/>
      <c r="DD162" s="467"/>
      <c r="DE162" s="467"/>
      <c r="DF162" s="407"/>
    </row>
    <row r="163" spans="1:110" ht="8.4499999999999993" customHeight="1" x14ac:dyDescent="0.2">
      <c r="A163" s="130" t="s">
        <v>2089</v>
      </c>
      <c r="B163" s="104">
        <v>148</v>
      </c>
      <c r="C163" s="82" t="s">
        <v>2497</v>
      </c>
      <c r="D163" s="96">
        <v>22</v>
      </c>
      <c r="E163" s="82" t="s">
        <v>2034</v>
      </c>
      <c r="F163" s="82" t="s">
        <v>2024</v>
      </c>
      <c r="G163" s="101">
        <v>5509.66</v>
      </c>
      <c r="H163" s="98">
        <v>0.06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101">
        <v>5509.66</v>
      </c>
      <c r="CA163" s="100">
        <v>100</v>
      </c>
      <c r="CB163" s="100">
        <v>100</v>
      </c>
      <c r="CC163" s="99"/>
      <c r="CD163" s="99"/>
      <c r="CE163" s="989">
        <v>100</v>
      </c>
      <c r="CF163" s="406"/>
      <c r="CG163" s="406"/>
      <c r="CH163" s="407"/>
      <c r="CI163" s="406"/>
      <c r="CJ163" s="406"/>
      <c r="CK163" s="407"/>
      <c r="CL163" s="406"/>
      <c r="CM163" s="406"/>
      <c r="CN163" s="406"/>
      <c r="CO163" s="464"/>
      <c r="CP163" s="464"/>
      <c r="CQ163" s="405"/>
      <c r="CR163" s="460"/>
      <c r="CS163" s="460"/>
      <c r="CT163" s="405"/>
      <c r="CU163" s="460"/>
      <c r="CV163" s="460"/>
      <c r="CW163" s="405"/>
      <c r="CX163" s="464"/>
      <c r="CY163" s="464"/>
      <c r="CZ163" s="460"/>
      <c r="DA163" s="405"/>
      <c r="DB163" s="464"/>
      <c r="DC163" s="464"/>
      <c r="DD163" s="464"/>
      <c r="DE163" s="464"/>
      <c r="DF163" s="405"/>
    </row>
    <row r="164" spans="1:110" ht="8.4499999999999993" customHeight="1" x14ac:dyDescent="0.2">
      <c r="A164" s="130" t="s">
        <v>2090</v>
      </c>
      <c r="B164" s="104">
        <v>149</v>
      </c>
      <c r="C164" s="82" t="s">
        <v>2498</v>
      </c>
      <c r="D164" s="96">
        <v>51</v>
      </c>
      <c r="E164" s="82" t="s">
        <v>2193</v>
      </c>
      <c r="F164" s="82" t="s">
        <v>2008</v>
      </c>
      <c r="G164" s="101">
        <v>2984.4</v>
      </c>
      <c r="H164" s="98">
        <v>0.03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100">
        <v>490.34</v>
      </c>
      <c r="BI164" s="102">
        <v>16.43</v>
      </c>
      <c r="BJ164" s="102">
        <v>16.43</v>
      </c>
      <c r="BK164" s="101">
        <v>1716.03</v>
      </c>
      <c r="BL164" s="102">
        <v>57.5</v>
      </c>
      <c r="BM164" s="102">
        <v>73.930000000000007</v>
      </c>
      <c r="BN164" s="100">
        <v>778.03</v>
      </c>
      <c r="BO164" s="102">
        <v>26.07</v>
      </c>
      <c r="BP164" s="100">
        <v>100</v>
      </c>
      <c r="BQ164" s="99"/>
      <c r="BR164" s="99"/>
      <c r="BS164" s="100">
        <v>100</v>
      </c>
      <c r="BT164" s="99"/>
      <c r="BU164" s="99"/>
      <c r="BV164" s="100">
        <v>100</v>
      </c>
      <c r="BW164" s="99"/>
      <c r="BX164" s="99"/>
      <c r="BY164" s="100">
        <v>100</v>
      </c>
      <c r="BZ164" s="99"/>
      <c r="CA164" s="99"/>
      <c r="CB164" s="100">
        <v>100</v>
      </c>
      <c r="CC164" s="99"/>
      <c r="CD164" s="99"/>
      <c r="CE164" s="989">
        <v>100</v>
      </c>
      <c r="CF164" s="406"/>
      <c r="CG164" s="406"/>
      <c r="CH164" s="407"/>
      <c r="CI164" s="406"/>
      <c r="CJ164" s="406"/>
      <c r="CK164" s="407"/>
      <c r="CL164" s="406"/>
      <c r="CM164" s="406"/>
      <c r="CN164" s="406"/>
      <c r="CO164" s="464"/>
      <c r="CP164" s="464"/>
      <c r="CQ164" s="405"/>
      <c r="CR164" s="460"/>
      <c r="CS164" s="460"/>
      <c r="CT164" s="405"/>
      <c r="CU164" s="460"/>
      <c r="CV164" s="460"/>
      <c r="CW164" s="405"/>
      <c r="CX164" s="464"/>
      <c r="CY164" s="464"/>
      <c r="CZ164" s="460"/>
      <c r="DA164" s="405"/>
      <c r="DB164" s="464"/>
      <c r="DC164" s="464"/>
      <c r="DD164" s="464"/>
      <c r="DE164" s="464"/>
      <c r="DF164" s="405"/>
    </row>
    <row r="165" spans="1:110" ht="8.4499999999999993" customHeight="1" x14ac:dyDescent="0.2">
      <c r="A165" s="130" t="s">
        <v>2091</v>
      </c>
      <c r="B165" s="104">
        <v>150</v>
      </c>
      <c r="C165" s="82" t="s">
        <v>1572</v>
      </c>
      <c r="D165" s="104">
        <v>106</v>
      </c>
      <c r="E165" s="82" t="s">
        <v>2491</v>
      </c>
      <c r="F165" s="82" t="s">
        <v>2175</v>
      </c>
      <c r="G165" s="97">
        <v>18828.650000000001</v>
      </c>
      <c r="H165" s="98">
        <v>0.21</v>
      </c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101">
        <v>4872.8500000000004</v>
      </c>
      <c r="AT165" s="102">
        <v>25.88</v>
      </c>
      <c r="AU165" s="102">
        <v>25.88</v>
      </c>
      <c r="AV165" s="101">
        <v>3952.13</v>
      </c>
      <c r="AW165" s="102">
        <v>20.99</v>
      </c>
      <c r="AX165" s="102">
        <v>46.87</v>
      </c>
      <c r="AY165" s="101">
        <v>4878.5</v>
      </c>
      <c r="AZ165" s="102">
        <v>25.91</v>
      </c>
      <c r="BA165" s="102">
        <v>72.78</v>
      </c>
      <c r="BB165" s="101">
        <v>2878.9</v>
      </c>
      <c r="BC165" s="102">
        <v>15.29</v>
      </c>
      <c r="BD165" s="102">
        <v>88.07</v>
      </c>
      <c r="BE165" s="101">
        <v>1252.1099999999999</v>
      </c>
      <c r="BF165" s="98">
        <v>6.65</v>
      </c>
      <c r="BG165" s="102">
        <v>94.72</v>
      </c>
      <c r="BH165" s="100">
        <v>994.15</v>
      </c>
      <c r="BI165" s="98">
        <v>5.28</v>
      </c>
      <c r="BJ165" s="100">
        <v>100</v>
      </c>
      <c r="BK165" s="99"/>
      <c r="BL165" s="99"/>
      <c r="BM165" s="100">
        <v>100</v>
      </c>
      <c r="BN165" s="99"/>
      <c r="BO165" s="99"/>
      <c r="BP165" s="100">
        <v>100</v>
      </c>
      <c r="BQ165" s="99"/>
      <c r="BR165" s="99"/>
      <c r="BS165" s="100">
        <v>100</v>
      </c>
      <c r="BT165" s="99"/>
      <c r="BU165" s="99"/>
      <c r="BV165" s="100">
        <v>100</v>
      </c>
      <c r="BW165" s="99"/>
      <c r="BX165" s="99"/>
      <c r="BY165" s="100">
        <v>100</v>
      </c>
      <c r="BZ165" s="99"/>
      <c r="CA165" s="99"/>
      <c r="CB165" s="100">
        <v>100</v>
      </c>
      <c r="CC165" s="99"/>
      <c r="CD165" s="99"/>
      <c r="CE165" s="989">
        <v>100</v>
      </c>
      <c r="CF165" s="406"/>
      <c r="CG165" s="406"/>
      <c r="CH165" s="407"/>
      <c r="CI165" s="406"/>
      <c r="CJ165" s="406"/>
      <c r="CK165" s="407"/>
      <c r="CL165" s="406"/>
      <c r="CM165" s="406"/>
      <c r="CN165" s="406"/>
      <c r="CO165" s="467"/>
      <c r="CP165" s="467"/>
      <c r="CQ165" s="407"/>
      <c r="CR165" s="406"/>
      <c r="CS165" s="406"/>
      <c r="CT165" s="407"/>
      <c r="CU165" s="406"/>
      <c r="CV165" s="406"/>
      <c r="CW165" s="407"/>
      <c r="CX165" s="467"/>
      <c r="CY165" s="467"/>
      <c r="CZ165" s="406"/>
      <c r="DA165" s="407"/>
      <c r="DB165" s="467"/>
      <c r="DC165" s="467"/>
      <c r="DD165" s="467"/>
      <c r="DE165" s="467"/>
      <c r="DF165" s="407"/>
    </row>
    <row r="166" spans="1:110" ht="8.4499999999999993" customHeight="1" x14ac:dyDescent="0.2">
      <c r="A166" s="130" t="s">
        <v>2092</v>
      </c>
      <c r="B166" s="104">
        <v>151</v>
      </c>
      <c r="C166" s="82" t="s">
        <v>1573</v>
      </c>
      <c r="D166" s="96">
        <v>20</v>
      </c>
      <c r="E166" s="82" t="s">
        <v>2499</v>
      </c>
      <c r="F166" s="82" t="s">
        <v>2500</v>
      </c>
      <c r="G166" s="101">
        <v>5873.31</v>
      </c>
      <c r="H166" s="98">
        <v>7.0000000000000007E-2</v>
      </c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101">
        <v>3230.32</v>
      </c>
      <c r="BC166" s="102">
        <v>55</v>
      </c>
      <c r="BD166" s="102">
        <v>55</v>
      </c>
      <c r="BE166" s="101">
        <v>2642.99</v>
      </c>
      <c r="BF166" s="102">
        <v>45</v>
      </c>
      <c r="BG166" s="100">
        <v>100</v>
      </c>
      <c r="BH166" s="99"/>
      <c r="BI166" s="99"/>
      <c r="BJ166" s="100">
        <v>100</v>
      </c>
      <c r="BK166" s="99"/>
      <c r="BL166" s="99"/>
      <c r="BM166" s="100">
        <v>100</v>
      </c>
      <c r="BN166" s="99"/>
      <c r="BO166" s="99"/>
      <c r="BP166" s="100">
        <v>100</v>
      </c>
      <c r="BQ166" s="99"/>
      <c r="BR166" s="99"/>
      <c r="BS166" s="100">
        <v>100</v>
      </c>
      <c r="BT166" s="99"/>
      <c r="BU166" s="99"/>
      <c r="BV166" s="100">
        <v>100</v>
      </c>
      <c r="BW166" s="99"/>
      <c r="BX166" s="99"/>
      <c r="BY166" s="100">
        <v>100</v>
      </c>
      <c r="BZ166" s="99"/>
      <c r="CA166" s="99"/>
      <c r="CB166" s="100">
        <v>100</v>
      </c>
      <c r="CC166" s="99"/>
      <c r="CD166" s="99"/>
      <c r="CE166" s="989">
        <v>100</v>
      </c>
      <c r="CF166" s="405"/>
      <c r="CG166" s="462"/>
      <c r="CH166" s="405"/>
      <c r="CI166" s="460"/>
      <c r="CJ166" s="460"/>
      <c r="CK166" s="405"/>
      <c r="CL166" s="460"/>
      <c r="CM166" s="460"/>
      <c r="CN166" s="460"/>
      <c r="CO166" s="467"/>
      <c r="CP166" s="467"/>
      <c r="CQ166" s="407"/>
      <c r="CR166" s="406"/>
      <c r="CS166" s="406"/>
      <c r="CT166" s="407"/>
      <c r="CU166" s="406"/>
      <c r="CV166" s="406"/>
      <c r="CW166" s="407"/>
      <c r="CX166" s="467"/>
      <c r="CY166" s="467"/>
      <c r="CZ166" s="406"/>
      <c r="DA166" s="407"/>
      <c r="DB166" s="467"/>
      <c r="DC166" s="467"/>
      <c r="DD166" s="467"/>
      <c r="DE166" s="467"/>
      <c r="DF166" s="407"/>
    </row>
    <row r="167" spans="1:110" ht="8.4499999999999993" customHeight="1" x14ac:dyDescent="0.2">
      <c r="A167" s="130" t="s">
        <v>2253</v>
      </c>
      <c r="B167" s="103">
        <v>152</v>
      </c>
      <c r="C167" s="87" t="s">
        <v>2501</v>
      </c>
      <c r="D167" s="88">
        <v>22</v>
      </c>
      <c r="E167" s="87" t="s">
        <v>2012</v>
      </c>
      <c r="F167" s="87" t="s">
        <v>2013</v>
      </c>
      <c r="G167" s="92">
        <v>1116.97</v>
      </c>
      <c r="H167" s="90">
        <v>0.01</v>
      </c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2">
        <v>1116.97</v>
      </c>
      <c r="BR167" s="93">
        <v>100</v>
      </c>
      <c r="BS167" s="93">
        <v>100</v>
      </c>
      <c r="BT167" s="94"/>
      <c r="BU167" s="94"/>
      <c r="BV167" s="93">
        <v>100</v>
      </c>
      <c r="BW167" s="94"/>
      <c r="BX167" s="94"/>
      <c r="BY167" s="93">
        <v>100</v>
      </c>
      <c r="BZ167" s="94"/>
      <c r="CA167" s="94"/>
      <c r="CB167" s="93">
        <v>100</v>
      </c>
      <c r="CC167" s="94"/>
      <c r="CD167" s="94"/>
      <c r="CE167" s="988">
        <v>100</v>
      </c>
      <c r="CF167" s="406"/>
      <c r="CG167" s="406"/>
      <c r="CH167" s="407"/>
      <c r="CI167" s="406"/>
      <c r="CJ167" s="406"/>
      <c r="CK167" s="407"/>
      <c r="CL167" s="406"/>
      <c r="CM167" s="406"/>
      <c r="CN167" s="406"/>
      <c r="CO167" s="467"/>
      <c r="CP167" s="467"/>
      <c r="CQ167" s="407"/>
      <c r="CR167" s="406"/>
      <c r="CS167" s="406"/>
      <c r="CT167" s="407"/>
      <c r="CU167" s="406"/>
      <c r="CV167" s="406"/>
      <c r="CW167" s="407"/>
      <c r="CX167" s="467"/>
      <c r="CY167" s="467"/>
      <c r="CZ167" s="406"/>
      <c r="DA167" s="407"/>
      <c r="DB167" s="467"/>
      <c r="DC167" s="467"/>
      <c r="DD167" s="467"/>
      <c r="DE167" s="467"/>
      <c r="DF167" s="407"/>
    </row>
    <row r="168" spans="1:110" ht="8.4499999999999993" customHeight="1" x14ac:dyDescent="0.2">
      <c r="A168" s="130" t="s">
        <v>2255</v>
      </c>
      <c r="B168" s="104">
        <v>153</v>
      </c>
      <c r="C168" s="82" t="s">
        <v>2502</v>
      </c>
      <c r="D168" s="96">
        <v>22</v>
      </c>
      <c r="E168" s="82" t="s">
        <v>2012</v>
      </c>
      <c r="F168" s="82" t="s">
        <v>2013</v>
      </c>
      <c r="G168" s="101">
        <v>1116.97</v>
      </c>
      <c r="H168" s="98">
        <v>0.01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101">
        <v>1116.97</v>
      </c>
      <c r="BR168" s="100">
        <v>100</v>
      </c>
      <c r="BS168" s="100">
        <v>100</v>
      </c>
      <c r="BT168" s="99"/>
      <c r="BU168" s="99"/>
      <c r="BV168" s="100">
        <v>100</v>
      </c>
      <c r="BW168" s="99"/>
      <c r="BX168" s="99"/>
      <c r="BY168" s="100">
        <v>100</v>
      </c>
      <c r="BZ168" s="99"/>
      <c r="CA168" s="99"/>
      <c r="CB168" s="100">
        <v>100</v>
      </c>
      <c r="CC168" s="99"/>
      <c r="CD168" s="99"/>
      <c r="CE168" s="989">
        <v>100</v>
      </c>
      <c r="CF168" s="406"/>
      <c r="CG168" s="406"/>
      <c r="CH168" s="407"/>
      <c r="CI168" s="406"/>
      <c r="CJ168" s="406"/>
      <c r="CK168" s="407"/>
      <c r="CL168" s="406"/>
      <c r="CM168" s="406"/>
      <c r="CN168" s="406"/>
      <c r="CO168" s="467"/>
      <c r="CP168" s="467"/>
      <c r="CQ168" s="407"/>
      <c r="CR168" s="406"/>
      <c r="CS168" s="406"/>
      <c r="CT168" s="407"/>
      <c r="CU168" s="406"/>
      <c r="CV168" s="406"/>
      <c r="CW168" s="407"/>
      <c r="CX168" s="467"/>
      <c r="CY168" s="467"/>
      <c r="CZ168" s="406"/>
      <c r="DA168" s="407"/>
      <c r="DB168" s="467"/>
      <c r="DC168" s="467"/>
      <c r="DD168" s="467"/>
      <c r="DE168" s="467"/>
      <c r="DF168" s="407"/>
    </row>
    <row r="169" spans="1:110" ht="8.4499999999999993" customHeight="1" x14ac:dyDescent="0.2">
      <c r="A169" s="130" t="s">
        <v>638</v>
      </c>
      <c r="B169" s="103">
        <v>154</v>
      </c>
      <c r="C169" s="87" t="s">
        <v>264</v>
      </c>
      <c r="D169" s="88">
        <v>31</v>
      </c>
      <c r="E169" s="87" t="s">
        <v>2181</v>
      </c>
      <c r="F169" s="87" t="s">
        <v>2026</v>
      </c>
      <c r="G169" s="89">
        <v>44137.38</v>
      </c>
      <c r="H169" s="90">
        <v>0.5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89">
        <v>12959.85</v>
      </c>
      <c r="BU169" s="91">
        <v>29.36</v>
      </c>
      <c r="BV169" s="91">
        <v>29.36</v>
      </c>
      <c r="BW169" s="89">
        <v>31177.53</v>
      </c>
      <c r="BX169" s="91">
        <v>70.64</v>
      </c>
      <c r="BY169" s="93">
        <v>100</v>
      </c>
      <c r="BZ169" s="94"/>
      <c r="CA169" s="94"/>
      <c r="CB169" s="93">
        <v>100</v>
      </c>
      <c r="CC169" s="94"/>
      <c r="CD169" s="94"/>
      <c r="CE169" s="988">
        <v>100</v>
      </c>
      <c r="CF169" s="406"/>
      <c r="CG169" s="406"/>
      <c r="CH169" s="407"/>
      <c r="CI169" s="406"/>
      <c r="CJ169" s="406"/>
      <c r="CK169" s="407"/>
      <c r="CL169" s="406"/>
      <c r="CM169" s="406"/>
      <c r="CN169" s="406"/>
      <c r="CO169" s="467"/>
      <c r="CP169" s="467"/>
      <c r="CQ169" s="407"/>
      <c r="CR169" s="406"/>
      <c r="CS169" s="406"/>
      <c r="CT169" s="407"/>
      <c r="CU169" s="406"/>
      <c r="CV169" s="406"/>
      <c r="CW169" s="407"/>
      <c r="CX169" s="467"/>
      <c r="CY169" s="467"/>
      <c r="CZ169" s="406"/>
      <c r="DA169" s="407"/>
      <c r="DB169" s="467"/>
      <c r="DC169" s="467"/>
      <c r="DD169" s="467"/>
      <c r="DE169" s="467"/>
      <c r="DF169" s="407"/>
    </row>
    <row r="170" spans="1:110" ht="8.4499999999999993" customHeight="1" x14ac:dyDescent="0.2">
      <c r="A170" s="130" t="s">
        <v>2093</v>
      </c>
      <c r="B170" s="104">
        <v>155</v>
      </c>
      <c r="C170" s="82" t="s">
        <v>2503</v>
      </c>
      <c r="D170" s="96">
        <v>28</v>
      </c>
      <c r="E170" s="82" t="s">
        <v>2184</v>
      </c>
      <c r="F170" s="82" t="s">
        <v>2026</v>
      </c>
      <c r="G170" s="97">
        <v>32671.78</v>
      </c>
      <c r="H170" s="98">
        <v>0.37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101">
        <v>6116.16</v>
      </c>
      <c r="BU170" s="102">
        <v>18.72</v>
      </c>
      <c r="BV170" s="102">
        <v>18.72</v>
      </c>
      <c r="BW170" s="97">
        <v>26555.62</v>
      </c>
      <c r="BX170" s="102">
        <v>81.28</v>
      </c>
      <c r="BY170" s="100">
        <v>100</v>
      </c>
      <c r="BZ170" s="99"/>
      <c r="CA170" s="99"/>
      <c r="CB170" s="100">
        <v>100</v>
      </c>
      <c r="CC170" s="99"/>
      <c r="CD170" s="99"/>
      <c r="CE170" s="989">
        <v>100</v>
      </c>
      <c r="CF170" s="407"/>
      <c r="CG170" s="409"/>
      <c r="CH170" s="407"/>
      <c r="CI170" s="406"/>
      <c r="CJ170" s="406"/>
      <c r="CK170" s="407"/>
      <c r="CL170" s="406"/>
      <c r="CM170" s="406"/>
      <c r="CN170" s="406"/>
      <c r="CO170" s="467"/>
      <c r="CP170" s="467"/>
      <c r="CQ170" s="407"/>
      <c r="CR170" s="406"/>
      <c r="CS170" s="406"/>
      <c r="CT170" s="407"/>
      <c r="CU170" s="406"/>
      <c r="CV170" s="406"/>
      <c r="CW170" s="407"/>
      <c r="CX170" s="467"/>
      <c r="CY170" s="467"/>
      <c r="CZ170" s="406"/>
      <c r="DA170" s="407"/>
      <c r="DB170" s="467"/>
      <c r="DC170" s="467"/>
      <c r="DD170" s="467"/>
      <c r="DE170" s="467"/>
      <c r="DF170" s="407"/>
    </row>
    <row r="171" spans="1:110" ht="8.4499999999999993" customHeight="1" x14ac:dyDescent="0.2">
      <c r="A171" s="130" t="s">
        <v>2094</v>
      </c>
      <c r="B171" s="104">
        <v>156</v>
      </c>
      <c r="C171" s="82" t="s">
        <v>2504</v>
      </c>
      <c r="D171" s="96">
        <v>28</v>
      </c>
      <c r="E171" s="82" t="s">
        <v>2184</v>
      </c>
      <c r="F171" s="82" t="s">
        <v>2026</v>
      </c>
      <c r="G171" s="101">
        <v>5686.4</v>
      </c>
      <c r="H171" s="98">
        <v>0.06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101">
        <v>1064.49</v>
      </c>
      <c r="BU171" s="102">
        <v>18.72</v>
      </c>
      <c r="BV171" s="102">
        <v>18.72</v>
      </c>
      <c r="BW171" s="101">
        <v>4621.91</v>
      </c>
      <c r="BX171" s="102">
        <v>81.28</v>
      </c>
      <c r="BY171" s="100">
        <v>100</v>
      </c>
      <c r="BZ171" s="99"/>
      <c r="CA171" s="99"/>
      <c r="CB171" s="100">
        <v>100</v>
      </c>
      <c r="CC171" s="99"/>
      <c r="CD171" s="99"/>
      <c r="CE171" s="989">
        <v>100</v>
      </c>
      <c r="CF171" s="406"/>
      <c r="CG171" s="406"/>
      <c r="CH171" s="407"/>
      <c r="CI171" s="406"/>
      <c r="CJ171" s="406"/>
      <c r="CK171" s="407"/>
      <c r="CL171" s="406"/>
      <c r="CM171" s="406"/>
      <c r="CN171" s="406"/>
      <c r="CO171" s="467"/>
      <c r="CP171" s="467"/>
      <c r="CQ171" s="407"/>
      <c r="CR171" s="406"/>
      <c r="CS171" s="406"/>
      <c r="CT171" s="407"/>
      <c r="CU171" s="406"/>
      <c r="CV171" s="406"/>
      <c r="CW171" s="407"/>
      <c r="CX171" s="467"/>
      <c r="CY171" s="467"/>
      <c r="CZ171" s="406"/>
      <c r="DA171" s="407"/>
      <c r="DB171" s="467"/>
      <c r="DC171" s="467"/>
      <c r="DD171" s="467"/>
      <c r="DE171" s="467"/>
      <c r="DF171" s="407"/>
    </row>
    <row r="172" spans="1:110" ht="8.4499999999999993" customHeight="1" x14ac:dyDescent="0.2">
      <c r="A172" s="130" t="s">
        <v>2095</v>
      </c>
      <c r="B172" s="104">
        <v>157</v>
      </c>
      <c r="C172" s="82" t="s">
        <v>2505</v>
      </c>
      <c r="D172" s="96">
        <v>10</v>
      </c>
      <c r="E172" s="82" t="s">
        <v>2181</v>
      </c>
      <c r="F172" s="82" t="s">
        <v>2010</v>
      </c>
      <c r="G172" s="101">
        <v>5779.2</v>
      </c>
      <c r="H172" s="98">
        <v>7.0000000000000007E-2</v>
      </c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101">
        <v>5779.2</v>
      </c>
      <c r="BU172" s="100">
        <v>100</v>
      </c>
      <c r="BV172" s="100">
        <v>100</v>
      </c>
      <c r="BW172" s="99"/>
      <c r="BX172" s="99"/>
      <c r="BY172" s="100">
        <v>100</v>
      </c>
      <c r="BZ172" s="99"/>
      <c r="CA172" s="99"/>
      <c r="CB172" s="100">
        <v>100</v>
      </c>
      <c r="CC172" s="99"/>
      <c r="CD172" s="99"/>
      <c r="CE172" s="989">
        <v>100</v>
      </c>
      <c r="CF172" s="460"/>
      <c r="CG172" s="460"/>
      <c r="CH172" s="405"/>
      <c r="CI172" s="460"/>
      <c r="CJ172" s="460"/>
      <c r="CK172" s="405"/>
      <c r="CL172" s="460"/>
      <c r="CM172" s="460"/>
      <c r="CN172" s="460"/>
      <c r="CO172" s="467"/>
      <c r="CP172" s="467"/>
      <c r="CQ172" s="407"/>
      <c r="CR172" s="406"/>
      <c r="CS172" s="406"/>
      <c r="CT172" s="407"/>
      <c r="CU172" s="406"/>
      <c r="CV172" s="406"/>
      <c r="CW172" s="407"/>
      <c r="CX172" s="467"/>
      <c r="CY172" s="467"/>
      <c r="CZ172" s="406"/>
      <c r="DA172" s="407"/>
      <c r="DB172" s="467"/>
      <c r="DC172" s="467"/>
      <c r="DD172" s="467"/>
      <c r="DE172" s="467"/>
      <c r="DF172" s="407"/>
    </row>
    <row r="173" spans="1:110" ht="8.4499999999999993" customHeight="1" x14ac:dyDescent="0.2">
      <c r="A173" s="130" t="s">
        <v>640</v>
      </c>
      <c r="B173" s="103">
        <v>158</v>
      </c>
      <c r="C173" s="87" t="s">
        <v>265</v>
      </c>
      <c r="D173" s="103">
        <v>138</v>
      </c>
      <c r="E173" s="87" t="s">
        <v>2193</v>
      </c>
      <c r="F173" s="87" t="s">
        <v>2024</v>
      </c>
      <c r="G173" s="89">
        <v>25373.07</v>
      </c>
      <c r="H173" s="90">
        <v>0.28999999999999998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2">
        <v>2241.5300000000002</v>
      </c>
      <c r="BI173" s="90">
        <v>8.84</v>
      </c>
      <c r="BJ173" s="90">
        <v>8.84</v>
      </c>
      <c r="BK173" s="92">
        <v>9093.08</v>
      </c>
      <c r="BL173" s="91">
        <v>35.869999999999997</v>
      </c>
      <c r="BM173" s="91">
        <v>44.72</v>
      </c>
      <c r="BN173" s="92">
        <v>5141.9799999999996</v>
      </c>
      <c r="BO173" s="91">
        <v>20.29</v>
      </c>
      <c r="BP173" s="91">
        <v>65</v>
      </c>
      <c r="BQ173" s="93">
        <v>797.15</v>
      </c>
      <c r="BR173" s="90">
        <v>3.14</v>
      </c>
      <c r="BS173" s="91">
        <v>68.14</v>
      </c>
      <c r="BT173" s="94"/>
      <c r="BU173" s="94"/>
      <c r="BV173" s="91">
        <v>68.14</v>
      </c>
      <c r="BW173" s="92">
        <v>5061.87</v>
      </c>
      <c r="BX173" s="91">
        <v>19.87</v>
      </c>
      <c r="BY173" s="91">
        <v>88.02</v>
      </c>
      <c r="BZ173" s="92">
        <v>3037.45</v>
      </c>
      <c r="CA173" s="91">
        <v>11.98</v>
      </c>
      <c r="CB173" s="93">
        <v>100</v>
      </c>
      <c r="CC173" s="94"/>
      <c r="CD173" s="94"/>
      <c r="CE173" s="988">
        <v>100</v>
      </c>
      <c r="CF173" s="406"/>
      <c r="CG173" s="406"/>
      <c r="CH173" s="407"/>
      <c r="CI173" s="406"/>
      <c r="CJ173" s="406"/>
      <c r="CK173" s="407"/>
      <c r="CL173" s="406"/>
      <c r="CM173" s="406"/>
      <c r="CN173" s="406"/>
      <c r="CO173" s="464"/>
      <c r="CP173" s="464"/>
      <c r="CQ173" s="405"/>
      <c r="CR173" s="460"/>
      <c r="CS173" s="460"/>
      <c r="CT173" s="405"/>
      <c r="CU173" s="460"/>
      <c r="CV173" s="460"/>
      <c r="CW173" s="405"/>
      <c r="CX173" s="464"/>
      <c r="CY173" s="464"/>
      <c r="CZ173" s="460"/>
      <c r="DA173" s="405"/>
      <c r="DB173" s="464"/>
      <c r="DC173" s="464"/>
      <c r="DD173" s="464"/>
      <c r="DE173" s="464"/>
      <c r="DF173" s="405"/>
    </row>
    <row r="174" spans="1:110" ht="8.4499999999999993" customHeight="1" x14ac:dyDescent="0.2">
      <c r="A174" s="130" t="s">
        <v>641</v>
      </c>
      <c r="B174" s="104">
        <v>159</v>
      </c>
      <c r="C174" s="82" t="s">
        <v>2506</v>
      </c>
      <c r="D174" s="96">
        <v>20</v>
      </c>
      <c r="E174" s="82" t="s">
        <v>2507</v>
      </c>
      <c r="F174" s="82" t="s">
        <v>2508</v>
      </c>
      <c r="G174" s="100">
        <v>186.56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100">
        <v>186.56</v>
      </c>
      <c r="BX174" s="100">
        <v>100</v>
      </c>
      <c r="BY174" s="100">
        <v>100</v>
      </c>
      <c r="BZ174" s="99"/>
      <c r="CA174" s="99"/>
      <c r="CB174" s="100">
        <v>100</v>
      </c>
      <c r="CC174" s="99"/>
      <c r="CD174" s="99"/>
      <c r="CE174" s="989">
        <v>100</v>
      </c>
      <c r="CF174" s="406"/>
      <c r="CG174" s="406"/>
      <c r="CH174" s="407"/>
      <c r="CI174" s="406"/>
      <c r="CJ174" s="406"/>
      <c r="CK174" s="407"/>
      <c r="CL174" s="406"/>
      <c r="CM174" s="406"/>
      <c r="CN174" s="406"/>
      <c r="CO174" s="467"/>
      <c r="CP174" s="467"/>
      <c r="CQ174" s="407"/>
      <c r="CR174" s="406"/>
      <c r="CS174" s="406"/>
      <c r="CT174" s="407"/>
      <c r="CU174" s="406"/>
      <c r="CV174" s="406"/>
      <c r="CW174" s="407"/>
      <c r="CX174" s="467"/>
      <c r="CY174" s="467"/>
      <c r="CZ174" s="406"/>
      <c r="DA174" s="407"/>
      <c r="DB174" s="467"/>
      <c r="DC174" s="467"/>
      <c r="DD174" s="467"/>
      <c r="DE174" s="467"/>
      <c r="DF174" s="407"/>
    </row>
    <row r="175" spans="1:110" ht="8.4499999999999993" customHeight="1" x14ac:dyDescent="0.2">
      <c r="A175" s="130" t="s">
        <v>642</v>
      </c>
      <c r="B175" s="104">
        <v>160</v>
      </c>
      <c r="C175" s="82" t="s">
        <v>2509</v>
      </c>
      <c r="D175" s="96">
        <v>20</v>
      </c>
      <c r="E175" s="82" t="s">
        <v>2507</v>
      </c>
      <c r="F175" s="82" t="s">
        <v>2508</v>
      </c>
      <c r="G175" s="100">
        <v>561.65</v>
      </c>
      <c r="H175" s="98">
        <v>0.01</v>
      </c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100">
        <v>561.65</v>
      </c>
      <c r="BX175" s="100">
        <v>100</v>
      </c>
      <c r="BY175" s="100">
        <v>100</v>
      </c>
      <c r="BZ175" s="99"/>
      <c r="CA175" s="99"/>
      <c r="CB175" s="100">
        <v>100</v>
      </c>
      <c r="CC175" s="99"/>
      <c r="CD175" s="99"/>
      <c r="CE175" s="989">
        <v>100</v>
      </c>
      <c r="CF175" s="406"/>
      <c r="CG175" s="406"/>
      <c r="CH175" s="407"/>
      <c r="CI175" s="406"/>
      <c r="CJ175" s="406"/>
      <c r="CK175" s="407"/>
      <c r="CL175" s="406"/>
      <c r="CM175" s="406"/>
      <c r="CN175" s="406"/>
      <c r="CO175" s="467"/>
      <c r="CP175" s="467"/>
      <c r="CQ175" s="407"/>
      <c r="CR175" s="406"/>
      <c r="CS175" s="406"/>
      <c r="CT175" s="407"/>
      <c r="CU175" s="406"/>
      <c r="CV175" s="406"/>
      <c r="CW175" s="407"/>
      <c r="CX175" s="467"/>
      <c r="CY175" s="467"/>
      <c r="CZ175" s="406"/>
      <c r="DA175" s="407"/>
      <c r="DB175" s="467"/>
      <c r="DC175" s="467"/>
      <c r="DD175" s="467"/>
      <c r="DE175" s="467"/>
      <c r="DF175" s="407"/>
    </row>
    <row r="176" spans="1:110" ht="8.4499999999999993" customHeight="1" x14ac:dyDescent="0.2">
      <c r="A176" s="130" t="s">
        <v>1963</v>
      </c>
      <c r="B176" s="104">
        <v>161</v>
      </c>
      <c r="C176" s="82" t="s">
        <v>2510</v>
      </c>
      <c r="D176" s="96">
        <v>20</v>
      </c>
      <c r="E176" s="82" t="s">
        <v>2507</v>
      </c>
      <c r="F176" s="82" t="s">
        <v>2508</v>
      </c>
      <c r="G176" s="100">
        <v>262.41000000000003</v>
      </c>
      <c r="H176" s="98">
        <v>0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100">
        <v>262.41000000000003</v>
      </c>
      <c r="BX176" s="100">
        <v>100</v>
      </c>
      <c r="BY176" s="100">
        <v>100</v>
      </c>
      <c r="BZ176" s="99"/>
      <c r="CA176" s="99"/>
      <c r="CB176" s="100">
        <v>100</v>
      </c>
      <c r="CC176" s="99"/>
      <c r="CD176" s="99"/>
      <c r="CE176" s="989">
        <v>100</v>
      </c>
      <c r="CF176" s="406"/>
      <c r="CG176" s="406"/>
      <c r="CH176" s="407"/>
      <c r="CI176" s="406"/>
      <c r="CJ176" s="406"/>
      <c r="CK176" s="407"/>
      <c r="CL176" s="406"/>
      <c r="CM176" s="406"/>
      <c r="CN176" s="406"/>
      <c r="CO176" s="467"/>
      <c r="CP176" s="467"/>
      <c r="CQ176" s="407"/>
      <c r="CR176" s="406"/>
      <c r="CS176" s="406"/>
      <c r="CT176" s="407"/>
      <c r="CU176" s="406"/>
      <c r="CV176" s="406"/>
      <c r="CW176" s="407"/>
      <c r="CX176" s="467"/>
      <c r="CY176" s="467"/>
      <c r="CZ176" s="406"/>
      <c r="DA176" s="407"/>
      <c r="DB176" s="467"/>
      <c r="DC176" s="467"/>
      <c r="DD176" s="467"/>
      <c r="DE176" s="467"/>
      <c r="DF176" s="407"/>
    </row>
    <row r="177" spans="1:110" ht="8.4499999999999993" customHeight="1" x14ac:dyDescent="0.2">
      <c r="A177" s="130" t="s">
        <v>2098</v>
      </c>
      <c r="B177" s="104">
        <v>162</v>
      </c>
      <c r="C177" s="82" t="s">
        <v>2511</v>
      </c>
      <c r="D177" s="96">
        <v>20</v>
      </c>
      <c r="E177" s="82" t="s">
        <v>2507</v>
      </c>
      <c r="F177" s="82" t="s">
        <v>2508</v>
      </c>
      <c r="G177" s="100">
        <v>736.59</v>
      </c>
      <c r="H177" s="98">
        <v>0.01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100">
        <v>736.59</v>
      </c>
      <c r="BX177" s="100">
        <v>100</v>
      </c>
      <c r="BY177" s="100">
        <v>100</v>
      </c>
      <c r="BZ177" s="99"/>
      <c r="CA177" s="99"/>
      <c r="CB177" s="100">
        <v>100</v>
      </c>
      <c r="CC177" s="99"/>
      <c r="CD177" s="99"/>
      <c r="CE177" s="989">
        <v>100</v>
      </c>
      <c r="CF177" s="406"/>
      <c r="CG177" s="406"/>
      <c r="CH177" s="407"/>
      <c r="CI177" s="406"/>
      <c r="CJ177" s="406"/>
      <c r="CK177" s="407"/>
      <c r="CL177" s="406"/>
      <c r="CM177" s="406"/>
      <c r="CN177" s="406"/>
      <c r="CO177" s="467"/>
      <c r="CP177" s="467"/>
      <c r="CQ177" s="407"/>
      <c r="CR177" s="406"/>
      <c r="CS177" s="406"/>
      <c r="CT177" s="407"/>
      <c r="CU177" s="406"/>
      <c r="CV177" s="406"/>
      <c r="CW177" s="407"/>
      <c r="CX177" s="467"/>
      <c r="CY177" s="467"/>
      <c r="CZ177" s="406"/>
      <c r="DA177" s="407"/>
      <c r="DB177" s="467"/>
      <c r="DC177" s="467"/>
      <c r="DD177" s="467"/>
      <c r="DE177" s="467"/>
      <c r="DF177" s="407"/>
    </row>
    <row r="178" spans="1:110" ht="8.4499999999999993" customHeight="1" x14ac:dyDescent="0.2">
      <c r="A178" s="130" t="s">
        <v>2099</v>
      </c>
      <c r="B178" s="104">
        <v>163</v>
      </c>
      <c r="C178" s="82" t="s">
        <v>2512</v>
      </c>
      <c r="D178" s="96">
        <v>20</v>
      </c>
      <c r="E178" s="82" t="s">
        <v>2507</v>
      </c>
      <c r="F178" s="82" t="s">
        <v>2508</v>
      </c>
      <c r="G178" s="101">
        <v>3314.66</v>
      </c>
      <c r="H178" s="98">
        <v>0.04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101">
        <v>3314.66</v>
      </c>
      <c r="BX178" s="100">
        <v>100</v>
      </c>
      <c r="BY178" s="100">
        <v>100</v>
      </c>
      <c r="BZ178" s="99"/>
      <c r="CA178" s="99"/>
      <c r="CB178" s="100">
        <v>100</v>
      </c>
      <c r="CC178" s="99"/>
      <c r="CD178" s="99"/>
      <c r="CE178" s="989">
        <v>100</v>
      </c>
      <c r="CF178" s="406"/>
      <c r="CG178" s="406"/>
      <c r="CH178" s="407"/>
      <c r="CI178" s="406"/>
      <c r="CJ178" s="406"/>
      <c r="CK178" s="407"/>
      <c r="CL178" s="406"/>
      <c r="CM178" s="406"/>
      <c r="CN178" s="406"/>
      <c r="CO178" s="467"/>
      <c r="CP178" s="467"/>
      <c r="CQ178" s="407"/>
      <c r="CR178" s="406"/>
      <c r="CS178" s="406"/>
      <c r="CT178" s="407"/>
      <c r="CU178" s="406"/>
      <c r="CV178" s="406"/>
      <c r="CW178" s="407"/>
      <c r="CX178" s="467"/>
      <c r="CY178" s="467"/>
      <c r="CZ178" s="406"/>
      <c r="DA178" s="407"/>
      <c r="DB178" s="467"/>
      <c r="DC178" s="467"/>
      <c r="DD178" s="467"/>
      <c r="DE178" s="467"/>
      <c r="DF178" s="407"/>
    </row>
    <row r="179" spans="1:110" ht="8.4499999999999993" customHeight="1" x14ac:dyDescent="0.2">
      <c r="A179" s="130" t="s">
        <v>2100</v>
      </c>
      <c r="B179" s="104">
        <v>164</v>
      </c>
      <c r="C179" s="82" t="s">
        <v>2513</v>
      </c>
      <c r="D179" s="96">
        <v>22</v>
      </c>
      <c r="E179" s="82" t="s">
        <v>2034</v>
      </c>
      <c r="F179" s="82" t="s">
        <v>2024</v>
      </c>
      <c r="G179" s="101">
        <v>3037.45</v>
      </c>
      <c r="H179" s="98">
        <v>0.03</v>
      </c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101">
        <v>3037.45</v>
      </c>
      <c r="CA179" s="100">
        <v>100</v>
      </c>
      <c r="CB179" s="100">
        <v>100</v>
      </c>
      <c r="CC179" s="99"/>
      <c r="CD179" s="99"/>
      <c r="CE179" s="989">
        <v>100</v>
      </c>
      <c r="CF179" s="460"/>
      <c r="CG179" s="460"/>
      <c r="CH179" s="404"/>
      <c r="CI179" s="403"/>
      <c r="CJ179" s="462"/>
      <c r="CK179" s="405"/>
      <c r="CL179" s="460"/>
      <c r="CM179" s="460"/>
      <c r="CN179" s="460"/>
      <c r="CO179" s="467"/>
      <c r="CP179" s="467"/>
      <c r="CQ179" s="407"/>
      <c r="CR179" s="406"/>
      <c r="CS179" s="406"/>
      <c r="CT179" s="407"/>
      <c r="CU179" s="406"/>
      <c r="CV179" s="406"/>
      <c r="CW179" s="407"/>
      <c r="CX179" s="467"/>
      <c r="CY179" s="467"/>
      <c r="CZ179" s="406"/>
      <c r="DA179" s="407"/>
      <c r="DB179" s="467"/>
      <c r="DC179" s="467"/>
      <c r="DD179" s="467"/>
      <c r="DE179" s="467"/>
      <c r="DF179" s="407"/>
    </row>
    <row r="180" spans="1:110" ht="16.899999999999999" customHeight="1" x14ac:dyDescent="0.2">
      <c r="A180" s="130" t="s">
        <v>2101</v>
      </c>
      <c r="B180" s="104">
        <v>165</v>
      </c>
      <c r="C180" s="82" t="s">
        <v>2514</v>
      </c>
      <c r="D180" s="96">
        <v>45</v>
      </c>
      <c r="E180" s="82" t="s">
        <v>2193</v>
      </c>
      <c r="F180" s="82" t="s">
        <v>2476</v>
      </c>
      <c r="G180" s="101">
        <v>7982.36</v>
      </c>
      <c r="H180" s="98">
        <v>0.09</v>
      </c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101">
        <v>1220.5</v>
      </c>
      <c r="BI180" s="102">
        <v>15.29</v>
      </c>
      <c r="BJ180" s="102">
        <v>15.29</v>
      </c>
      <c r="BK180" s="101">
        <v>4733.54</v>
      </c>
      <c r="BL180" s="102">
        <v>59.3</v>
      </c>
      <c r="BM180" s="102">
        <v>74.59</v>
      </c>
      <c r="BN180" s="101">
        <v>2028.32</v>
      </c>
      <c r="BO180" s="102">
        <v>25.41</v>
      </c>
      <c r="BP180" s="100">
        <v>100</v>
      </c>
      <c r="BQ180" s="99"/>
      <c r="BR180" s="99"/>
      <c r="BS180" s="100">
        <v>100</v>
      </c>
      <c r="BT180" s="99"/>
      <c r="BU180" s="99"/>
      <c r="BV180" s="100">
        <v>100</v>
      </c>
      <c r="BW180" s="99"/>
      <c r="BX180" s="99"/>
      <c r="BY180" s="100">
        <v>100</v>
      </c>
      <c r="BZ180" s="99"/>
      <c r="CA180" s="99"/>
      <c r="CB180" s="100">
        <v>100</v>
      </c>
      <c r="CC180" s="99"/>
      <c r="CD180" s="99"/>
      <c r="CE180" s="989">
        <v>100</v>
      </c>
      <c r="CF180" s="460"/>
      <c r="CG180" s="460"/>
      <c r="CH180" s="405"/>
      <c r="CI180" s="460"/>
      <c r="CJ180" s="460"/>
      <c r="CK180" s="405"/>
      <c r="CL180" s="460"/>
      <c r="CM180" s="460"/>
      <c r="CN180" s="460"/>
      <c r="CO180" s="467"/>
      <c r="CP180" s="467"/>
      <c r="CQ180" s="407"/>
      <c r="CR180" s="406"/>
      <c r="CS180" s="406"/>
      <c r="CT180" s="407"/>
      <c r="CU180" s="406"/>
      <c r="CV180" s="406"/>
      <c r="CW180" s="407"/>
      <c r="CX180" s="467"/>
      <c r="CY180" s="467"/>
      <c r="CZ180" s="406"/>
      <c r="DA180" s="407"/>
      <c r="DB180" s="467"/>
      <c r="DC180" s="467"/>
      <c r="DD180" s="467"/>
      <c r="DE180" s="467"/>
      <c r="DF180" s="407"/>
    </row>
    <row r="181" spans="1:110" ht="8.4499999999999993" customHeight="1" x14ac:dyDescent="0.2">
      <c r="A181" s="130" t="s">
        <v>2259</v>
      </c>
      <c r="B181" s="104">
        <v>166</v>
      </c>
      <c r="C181" s="82" t="s">
        <v>2515</v>
      </c>
      <c r="D181" s="96">
        <v>45</v>
      </c>
      <c r="E181" s="82" t="s">
        <v>2193</v>
      </c>
      <c r="F181" s="82" t="s">
        <v>2476</v>
      </c>
      <c r="G181" s="101">
        <v>6677.77</v>
      </c>
      <c r="H181" s="98">
        <v>0.08</v>
      </c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101">
        <v>1021.03</v>
      </c>
      <c r="BI181" s="102">
        <v>15.29</v>
      </c>
      <c r="BJ181" s="102">
        <v>15.29</v>
      </c>
      <c r="BK181" s="101">
        <v>3959.92</v>
      </c>
      <c r="BL181" s="102">
        <v>59.3</v>
      </c>
      <c r="BM181" s="102">
        <v>74.59</v>
      </c>
      <c r="BN181" s="101">
        <v>1696.82</v>
      </c>
      <c r="BO181" s="102">
        <v>25.41</v>
      </c>
      <c r="BP181" s="100">
        <v>100</v>
      </c>
      <c r="BQ181" s="99"/>
      <c r="BR181" s="99"/>
      <c r="BS181" s="100">
        <v>100</v>
      </c>
      <c r="BT181" s="99"/>
      <c r="BU181" s="99"/>
      <c r="BV181" s="100">
        <v>100</v>
      </c>
      <c r="BW181" s="99"/>
      <c r="BX181" s="99"/>
      <c r="BY181" s="100">
        <v>100</v>
      </c>
      <c r="BZ181" s="99"/>
      <c r="CA181" s="99"/>
      <c r="CB181" s="100">
        <v>100</v>
      </c>
      <c r="CC181" s="99"/>
      <c r="CD181" s="99"/>
      <c r="CE181" s="989">
        <v>100</v>
      </c>
      <c r="CF181" s="406"/>
      <c r="CG181" s="406"/>
      <c r="CH181" s="407"/>
      <c r="CI181" s="406"/>
      <c r="CJ181" s="406"/>
      <c r="CK181" s="407"/>
      <c r="CL181" s="406"/>
      <c r="CM181" s="406"/>
      <c r="CN181" s="406"/>
      <c r="CO181" s="467"/>
      <c r="CP181" s="467"/>
      <c r="CQ181" s="407"/>
      <c r="CR181" s="406"/>
      <c r="CS181" s="406"/>
      <c r="CT181" s="407"/>
      <c r="CU181" s="406"/>
      <c r="CV181" s="406"/>
      <c r="CW181" s="407"/>
      <c r="CX181" s="467"/>
      <c r="CY181" s="467"/>
      <c r="CZ181" s="406"/>
      <c r="DA181" s="407"/>
      <c r="DB181" s="467"/>
      <c r="DC181" s="467"/>
      <c r="DD181" s="467"/>
      <c r="DE181" s="467"/>
      <c r="DF181" s="407"/>
    </row>
    <row r="182" spans="1:110" ht="25.35" customHeight="1" x14ac:dyDescent="0.2">
      <c r="A182" s="130" t="s">
        <v>2261</v>
      </c>
      <c r="B182" s="104">
        <v>167</v>
      </c>
      <c r="C182" s="82" t="s">
        <v>2516</v>
      </c>
      <c r="D182" s="96">
        <v>44</v>
      </c>
      <c r="E182" s="82" t="s">
        <v>2469</v>
      </c>
      <c r="F182" s="82" t="s">
        <v>2483</v>
      </c>
      <c r="G182" s="101">
        <v>2613.62</v>
      </c>
      <c r="H182" s="98">
        <v>0.03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100">
        <v>399.62</v>
      </c>
      <c r="BL182" s="102">
        <v>15.29</v>
      </c>
      <c r="BM182" s="102">
        <v>15.29</v>
      </c>
      <c r="BN182" s="101">
        <v>1416.84</v>
      </c>
      <c r="BO182" s="102">
        <v>54.21</v>
      </c>
      <c r="BP182" s="102">
        <v>69.5</v>
      </c>
      <c r="BQ182" s="100">
        <v>797.15</v>
      </c>
      <c r="BR182" s="102">
        <v>30.5</v>
      </c>
      <c r="BS182" s="100">
        <v>100</v>
      </c>
      <c r="BT182" s="99"/>
      <c r="BU182" s="99"/>
      <c r="BV182" s="100">
        <v>100</v>
      </c>
      <c r="BW182" s="99"/>
      <c r="BX182" s="99"/>
      <c r="BY182" s="100">
        <v>100</v>
      </c>
      <c r="BZ182" s="99"/>
      <c r="CA182" s="99"/>
      <c r="CB182" s="100">
        <v>100</v>
      </c>
      <c r="CC182" s="99"/>
      <c r="CD182" s="99"/>
      <c r="CE182" s="989">
        <v>100</v>
      </c>
      <c r="CF182" s="406"/>
      <c r="CG182" s="406"/>
      <c r="CH182" s="407"/>
      <c r="CI182" s="406"/>
      <c r="CJ182" s="406"/>
      <c r="CK182" s="407"/>
      <c r="CL182" s="406"/>
      <c r="CM182" s="406"/>
      <c r="CN182" s="406"/>
      <c r="CO182" s="467"/>
      <c r="CP182" s="467"/>
      <c r="CQ182" s="407"/>
      <c r="CR182" s="406"/>
      <c r="CS182" s="406"/>
      <c r="CT182" s="407"/>
      <c r="CU182" s="406"/>
      <c r="CV182" s="406"/>
      <c r="CW182" s="407"/>
      <c r="CX182" s="467"/>
      <c r="CY182" s="467"/>
      <c r="CZ182" s="406"/>
      <c r="DA182" s="407"/>
      <c r="DB182" s="467"/>
      <c r="DC182" s="467"/>
      <c r="DD182" s="467"/>
      <c r="DE182" s="467"/>
      <c r="DF182" s="407"/>
    </row>
    <row r="183" spans="1:110" ht="8.4499999999999993" customHeight="1" x14ac:dyDescent="0.2">
      <c r="A183" s="130" t="s">
        <v>122</v>
      </c>
      <c r="B183" s="103">
        <v>168</v>
      </c>
      <c r="C183" s="87" t="s">
        <v>345</v>
      </c>
      <c r="D183" s="103">
        <v>267</v>
      </c>
      <c r="E183" s="87" t="s">
        <v>2031</v>
      </c>
      <c r="F183" s="87" t="s">
        <v>2195</v>
      </c>
      <c r="G183" s="105">
        <v>281145.40000000002</v>
      </c>
      <c r="H183" s="90">
        <v>3.2</v>
      </c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89">
        <v>16648.759999999998</v>
      </c>
      <c r="AQ183" s="90">
        <v>5.92</v>
      </c>
      <c r="AR183" s="90">
        <v>5.92</v>
      </c>
      <c r="AS183" s="92">
        <v>1630.87</v>
      </c>
      <c r="AT183" s="90">
        <v>0.57999999999999996</v>
      </c>
      <c r="AU183" s="90">
        <v>6.5</v>
      </c>
      <c r="AV183" s="92">
        <v>6512.74</v>
      </c>
      <c r="AW183" s="90">
        <v>2.3199999999999998</v>
      </c>
      <c r="AX183" s="90">
        <v>8.82</v>
      </c>
      <c r="AY183" s="89">
        <v>21167.759999999998</v>
      </c>
      <c r="AZ183" s="90">
        <v>7.53</v>
      </c>
      <c r="BA183" s="91">
        <v>16.350000000000001</v>
      </c>
      <c r="BB183" s="89">
        <v>48059.26</v>
      </c>
      <c r="BC183" s="91">
        <v>17.100000000000001</v>
      </c>
      <c r="BD183" s="91">
        <v>33.450000000000003</v>
      </c>
      <c r="BE183" s="89">
        <v>56018.54</v>
      </c>
      <c r="BF183" s="91">
        <v>19.93</v>
      </c>
      <c r="BG183" s="91">
        <v>53.37</v>
      </c>
      <c r="BH183" s="89">
        <v>47823.43</v>
      </c>
      <c r="BI183" s="91">
        <v>17.010000000000002</v>
      </c>
      <c r="BJ183" s="91">
        <v>70.38</v>
      </c>
      <c r="BK183" s="89">
        <v>45116.53</v>
      </c>
      <c r="BL183" s="91">
        <v>16.04</v>
      </c>
      <c r="BM183" s="91">
        <v>86.42</v>
      </c>
      <c r="BN183" s="92">
        <v>9132.9699999999993</v>
      </c>
      <c r="BO183" s="90">
        <v>3.25</v>
      </c>
      <c r="BP183" s="91">
        <v>89.67</v>
      </c>
      <c r="BQ183" s="92">
        <v>2840.55</v>
      </c>
      <c r="BR183" s="90">
        <v>1.01</v>
      </c>
      <c r="BS183" s="91">
        <v>90.68</v>
      </c>
      <c r="BT183" s="92">
        <v>6867.28</v>
      </c>
      <c r="BU183" s="90">
        <v>2.44</v>
      </c>
      <c r="BV183" s="91">
        <v>93.12</v>
      </c>
      <c r="BW183" s="89">
        <v>11952.45</v>
      </c>
      <c r="BX183" s="90">
        <v>4.25</v>
      </c>
      <c r="BY183" s="91">
        <v>97.38</v>
      </c>
      <c r="BZ183" s="92">
        <v>7374.27</v>
      </c>
      <c r="CA183" s="90">
        <v>2.62</v>
      </c>
      <c r="CB183" s="93">
        <v>100</v>
      </c>
      <c r="CC183" s="94"/>
      <c r="CD183" s="94"/>
      <c r="CE183" s="988">
        <v>100</v>
      </c>
      <c r="CF183" s="406"/>
      <c r="CG183" s="406"/>
      <c r="CH183" s="407"/>
      <c r="CI183" s="406"/>
      <c r="CJ183" s="406"/>
      <c r="CK183" s="407"/>
      <c r="CL183" s="406"/>
      <c r="CM183" s="406"/>
      <c r="CN183" s="406"/>
      <c r="CO183" s="467"/>
      <c r="CP183" s="467"/>
      <c r="CQ183" s="407"/>
      <c r="CR183" s="406"/>
      <c r="CS183" s="406"/>
      <c r="CT183" s="407"/>
      <c r="CU183" s="406"/>
      <c r="CV183" s="406"/>
      <c r="CW183" s="407"/>
      <c r="CX183" s="467"/>
      <c r="CY183" s="467"/>
      <c r="CZ183" s="406"/>
      <c r="DA183" s="407"/>
      <c r="DB183" s="467"/>
      <c r="DC183" s="467"/>
      <c r="DD183" s="467"/>
      <c r="DE183" s="467"/>
      <c r="DF183" s="407"/>
    </row>
    <row r="184" spans="1:110" ht="8.4499999999999993" customHeight="1" x14ac:dyDescent="0.2">
      <c r="A184" s="130" t="s">
        <v>123</v>
      </c>
      <c r="B184" s="103">
        <v>169</v>
      </c>
      <c r="C184" s="87" t="s">
        <v>346</v>
      </c>
      <c r="D184" s="103">
        <v>135</v>
      </c>
      <c r="E184" s="87" t="s">
        <v>2031</v>
      </c>
      <c r="F184" s="87" t="s">
        <v>2517</v>
      </c>
      <c r="G184" s="89">
        <v>16055.04</v>
      </c>
      <c r="H184" s="90">
        <v>0.18</v>
      </c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2">
        <v>3702.94</v>
      </c>
      <c r="AQ184" s="91">
        <v>23.06</v>
      </c>
      <c r="AR184" s="91">
        <v>23.06</v>
      </c>
      <c r="AS184" s="92">
        <v>1630.87</v>
      </c>
      <c r="AT184" s="91">
        <v>10.16</v>
      </c>
      <c r="AU184" s="91">
        <v>33.22</v>
      </c>
      <c r="AV184" s="92">
        <v>6512.74</v>
      </c>
      <c r="AW184" s="91">
        <v>40.57</v>
      </c>
      <c r="AX184" s="91">
        <v>73.790000000000006</v>
      </c>
      <c r="AY184" s="92">
        <v>2757.14</v>
      </c>
      <c r="AZ184" s="91">
        <v>17.170000000000002</v>
      </c>
      <c r="BA184" s="91">
        <v>90.96</v>
      </c>
      <c r="BB184" s="94"/>
      <c r="BC184" s="94"/>
      <c r="BD184" s="91">
        <v>90.96</v>
      </c>
      <c r="BE184" s="92">
        <v>1313.5</v>
      </c>
      <c r="BF184" s="90">
        <v>8.18</v>
      </c>
      <c r="BG184" s="91">
        <v>99.14</v>
      </c>
      <c r="BH184" s="93">
        <v>137.87</v>
      </c>
      <c r="BI184" s="90">
        <v>0.86</v>
      </c>
      <c r="BJ184" s="93">
        <v>100</v>
      </c>
      <c r="BK184" s="94"/>
      <c r="BL184" s="94"/>
      <c r="BM184" s="93">
        <v>100</v>
      </c>
      <c r="BN184" s="94"/>
      <c r="BO184" s="94"/>
      <c r="BP184" s="93">
        <v>100</v>
      </c>
      <c r="BQ184" s="94"/>
      <c r="BR184" s="94"/>
      <c r="BS184" s="93">
        <v>100</v>
      </c>
      <c r="BT184" s="94"/>
      <c r="BU184" s="94"/>
      <c r="BV184" s="93">
        <v>100</v>
      </c>
      <c r="BW184" s="94"/>
      <c r="BX184" s="94"/>
      <c r="BY184" s="93">
        <v>100</v>
      </c>
      <c r="BZ184" s="94"/>
      <c r="CA184" s="94"/>
      <c r="CB184" s="93">
        <v>100</v>
      </c>
      <c r="CC184" s="94"/>
      <c r="CD184" s="94"/>
      <c r="CE184" s="988">
        <v>100</v>
      </c>
      <c r="CF184" s="406"/>
      <c r="CG184" s="406"/>
      <c r="CH184" s="407"/>
      <c r="CI184" s="406"/>
      <c r="CJ184" s="406"/>
      <c r="CK184" s="407"/>
      <c r="CL184" s="406"/>
      <c r="CM184" s="406"/>
      <c r="CN184" s="406"/>
      <c r="CO184" s="464"/>
      <c r="CP184" s="464"/>
      <c r="CQ184" s="404"/>
      <c r="CR184" s="460"/>
      <c r="CS184" s="460"/>
      <c r="CT184" s="404"/>
      <c r="CU184" s="460"/>
      <c r="CV184" s="460"/>
      <c r="CW184" s="404"/>
      <c r="CX184" s="465"/>
      <c r="CY184" s="464"/>
      <c r="CZ184" s="462"/>
      <c r="DA184" s="405"/>
      <c r="DB184" s="464"/>
      <c r="DC184" s="464"/>
      <c r="DD184" s="464"/>
      <c r="DE184" s="464"/>
      <c r="DF184" s="405"/>
    </row>
    <row r="185" spans="1:110" ht="8.4499999999999993" customHeight="1" x14ac:dyDescent="0.2">
      <c r="A185" s="130" t="s">
        <v>124</v>
      </c>
      <c r="B185" s="104">
        <v>170</v>
      </c>
      <c r="C185" s="82" t="s">
        <v>2518</v>
      </c>
      <c r="D185" s="96">
        <v>87</v>
      </c>
      <c r="E185" s="82" t="s">
        <v>2031</v>
      </c>
      <c r="F185" s="82" t="s">
        <v>2028</v>
      </c>
      <c r="G185" s="101">
        <v>9788.36</v>
      </c>
      <c r="H185" s="98">
        <v>0.11</v>
      </c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101">
        <v>3702.94</v>
      </c>
      <c r="AQ185" s="102">
        <v>37.83</v>
      </c>
      <c r="AR185" s="102">
        <v>37.83</v>
      </c>
      <c r="AS185" s="100">
        <v>915.21</v>
      </c>
      <c r="AT185" s="98">
        <v>9.35</v>
      </c>
      <c r="AU185" s="102">
        <v>47.18</v>
      </c>
      <c r="AV185" s="101">
        <v>3658.89</v>
      </c>
      <c r="AW185" s="102">
        <v>37.380000000000003</v>
      </c>
      <c r="AX185" s="102">
        <v>84.56</v>
      </c>
      <c r="AY185" s="101">
        <v>1511.32</v>
      </c>
      <c r="AZ185" s="102">
        <v>15.44</v>
      </c>
      <c r="BA185" s="100">
        <v>100</v>
      </c>
      <c r="BB185" s="99"/>
      <c r="BC185" s="99"/>
      <c r="BD185" s="100">
        <v>100</v>
      </c>
      <c r="BE185" s="99"/>
      <c r="BF185" s="99"/>
      <c r="BG185" s="100">
        <v>100</v>
      </c>
      <c r="BH185" s="99"/>
      <c r="BI185" s="99"/>
      <c r="BJ185" s="100">
        <v>100</v>
      </c>
      <c r="BK185" s="99"/>
      <c r="BL185" s="99"/>
      <c r="BM185" s="100">
        <v>100</v>
      </c>
      <c r="BN185" s="99"/>
      <c r="BO185" s="99"/>
      <c r="BP185" s="100">
        <v>100</v>
      </c>
      <c r="BQ185" s="99"/>
      <c r="BR185" s="99"/>
      <c r="BS185" s="100">
        <v>100</v>
      </c>
      <c r="BT185" s="99"/>
      <c r="BU185" s="99"/>
      <c r="BV185" s="100">
        <v>100</v>
      </c>
      <c r="BW185" s="99"/>
      <c r="BX185" s="99"/>
      <c r="BY185" s="100">
        <v>100</v>
      </c>
      <c r="BZ185" s="99"/>
      <c r="CA185" s="99"/>
      <c r="CB185" s="100">
        <v>100</v>
      </c>
      <c r="CC185" s="99"/>
      <c r="CD185" s="99"/>
      <c r="CE185" s="989">
        <v>100</v>
      </c>
      <c r="CF185" s="460"/>
      <c r="CG185" s="460"/>
      <c r="CH185" s="405"/>
      <c r="CI185" s="460"/>
      <c r="CJ185" s="460"/>
      <c r="CK185" s="405"/>
      <c r="CL185" s="460"/>
      <c r="CM185" s="460"/>
      <c r="CN185" s="460"/>
      <c r="CO185" s="464"/>
      <c r="CP185" s="464"/>
      <c r="CQ185" s="405"/>
      <c r="CR185" s="460"/>
      <c r="CS185" s="460"/>
      <c r="CT185" s="405"/>
      <c r="CU185" s="460"/>
      <c r="CV185" s="460"/>
      <c r="CW185" s="405"/>
      <c r="CX185" s="464"/>
      <c r="CY185" s="464"/>
      <c r="CZ185" s="460"/>
      <c r="DA185" s="405"/>
      <c r="DB185" s="464"/>
      <c r="DC185" s="464"/>
      <c r="DD185" s="464"/>
      <c r="DE185" s="464"/>
      <c r="DF185" s="405"/>
    </row>
    <row r="186" spans="1:110" ht="16.899999999999999" customHeight="1" x14ac:dyDescent="0.2">
      <c r="A186" s="130" t="s">
        <v>1449</v>
      </c>
      <c r="B186" s="104">
        <v>171</v>
      </c>
      <c r="C186" s="82" t="s">
        <v>2519</v>
      </c>
      <c r="D186" s="104">
        <v>113</v>
      </c>
      <c r="E186" s="82" t="s">
        <v>2179</v>
      </c>
      <c r="F186" s="82" t="s">
        <v>2517</v>
      </c>
      <c r="G186" s="101">
        <v>6266.68</v>
      </c>
      <c r="H186" s="98">
        <v>7.0000000000000007E-2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100">
        <v>715.65</v>
      </c>
      <c r="AT186" s="102">
        <v>11.42</v>
      </c>
      <c r="AU186" s="102">
        <v>11.42</v>
      </c>
      <c r="AV186" s="101">
        <v>2853.85</v>
      </c>
      <c r="AW186" s="102">
        <v>45.54</v>
      </c>
      <c r="AX186" s="102">
        <v>56.96</v>
      </c>
      <c r="AY186" s="101">
        <v>1245.82</v>
      </c>
      <c r="AZ186" s="102">
        <v>19.88</v>
      </c>
      <c r="BA186" s="102">
        <v>76.84</v>
      </c>
      <c r="BB186" s="99"/>
      <c r="BC186" s="99"/>
      <c r="BD186" s="102">
        <v>76.84</v>
      </c>
      <c r="BE186" s="101">
        <v>1313.5</v>
      </c>
      <c r="BF186" s="102">
        <v>20.96</v>
      </c>
      <c r="BG186" s="102">
        <v>97.8</v>
      </c>
      <c r="BH186" s="100">
        <v>137.87</v>
      </c>
      <c r="BI186" s="98">
        <v>2.2000000000000002</v>
      </c>
      <c r="BJ186" s="100">
        <v>100</v>
      </c>
      <c r="BK186" s="99"/>
      <c r="BL186" s="99"/>
      <c r="BM186" s="100">
        <v>100</v>
      </c>
      <c r="BN186" s="99"/>
      <c r="BO186" s="99"/>
      <c r="BP186" s="100">
        <v>100</v>
      </c>
      <c r="BQ186" s="99"/>
      <c r="BR186" s="99"/>
      <c r="BS186" s="100">
        <v>100</v>
      </c>
      <c r="BT186" s="99"/>
      <c r="BU186" s="99"/>
      <c r="BV186" s="100">
        <v>100</v>
      </c>
      <c r="BW186" s="99"/>
      <c r="BX186" s="99"/>
      <c r="BY186" s="100">
        <v>100</v>
      </c>
      <c r="BZ186" s="99"/>
      <c r="CA186" s="99"/>
      <c r="CB186" s="100">
        <v>100</v>
      </c>
      <c r="CC186" s="99"/>
      <c r="CD186" s="99"/>
      <c r="CE186" s="989">
        <v>100</v>
      </c>
      <c r="CF186" s="406"/>
      <c r="CG186" s="406"/>
      <c r="CH186" s="407"/>
      <c r="CI186" s="406"/>
      <c r="CJ186" s="406"/>
      <c r="CK186" s="407"/>
      <c r="CL186" s="406"/>
      <c r="CM186" s="406"/>
      <c r="CN186" s="406"/>
      <c r="CO186" s="467"/>
      <c r="CP186" s="467"/>
      <c r="CQ186" s="407"/>
      <c r="CR186" s="406"/>
      <c r="CS186" s="406"/>
      <c r="CT186" s="407"/>
      <c r="CU186" s="406"/>
      <c r="CV186" s="406"/>
      <c r="CW186" s="407"/>
      <c r="CX186" s="467"/>
      <c r="CY186" s="467"/>
      <c r="CZ186" s="406"/>
      <c r="DA186" s="407"/>
      <c r="DB186" s="467"/>
      <c r="DC186" s="467"/>
      <c r="DD186" s="467"/>
      <c r="DE186" s="467"/>
      <c r="DF186" s="407"/>
    </row>
    <row r="187" spans="1:110" ht="16.899999999999999" customHeight="1" x14ac:dyDescent="0.2">
      <c r="A187" s="130" t="s">
        <v>125</v>
      </c>
      <c r="B187" s="103">
        <v>172</v>
      </c>
      <c r="C187" s="87" t="s">
        <v>347</v>
      </c>
      <c r="D187" s="88">
        <v>50</v>
      </c>
      <c r="E187" s="87" t="s">
        <v>2029</v>
      </c>
      <c r="F187" s="87" t="s">
        <v>2500</v>
      </c>
      <c r="G187" s="89">
        <v>28858.78</v>
      </c>
      <c r="H187" s="90">
        <v>0.33</v>
      </c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89">
        <v>16972.72</v>
      </c>
      <c r="AZ187" s="91">
        <v>58.81</v>
      </c>
      <c r="BA187" s="91">
        <v>58.81</v>
      </c>
      <c r="BB187" s="89">
        <v>10285.709999999999</v>
      </c>
      <c r="BC187" s="91">
        <v>35.64</v>
      </c>
      <c r="BD187" s="91">
        <v>94.45</v>
      </c>
      <c r="BE187" s="92">
        <v>1600.34</v>
      </c>
      <c r="BF187" s="90">
        <v>5.55</v>
      </c>
      <c r="BG187" s="93">
        <v>100</v>
      </c>
      <c r="BH187" s="94"/>
      <c r="BI187" s="94"/>
      <c r="BJ187" s="93">
        <v>100</v>
      </c>
      <c r="BK187" s="94"/>
      <c r="BL187" s="94"/>
      <c r="BM187" s="93">
        <v>100</v>
      </c>
      <c r="BN187" s="94"/>
      <c r="BO187" s="94"/>
      <c r="BP187" s="93">
        <v>100</v>
      </c>
      <c r="BQ187" s="94"/>
      <c r="BR187" s="94"/>
      <c r="BS187" s="93">
        <v>100</v>
      </c>
      <c r="BT187" s="94"/>
      <c r="BU187" s="94"/>
      <c r="BV187" s="93">
        <v>100</v>
      </c>
      <c r="BW187" s="94"/>
      <c r="BX187" s="94"/>
      <c r="BY187" s="93">
        <v>100</v>
      </c>
      <c r="BZ187" s="94"/>
      <c r="CA187" s="94"/>
      <c r="CB187" s="93">
        <v>100</v>
      </c>
      <c r="CC187" s="94"/>
      <c r="CD187" s="94"/>
      <c r="CE187" s="988">
        <v>100</v>
      </c>
      <c r="CF187" s="406"/>
      <c r="CG187" s="406"/>
      <c r="CH187" s="407"/>
      <c r="CI187" s="406"/>
      <c r="CJ187" s="406"/>
      <c r="CK187" s="407"/>
      <c r="CL187" s="406"/>
      <c r="CM187" s="406"/>
      <c r="CN187" s="406"/>
      <c r="CO187" s="467"/>
      <c r="CP187" s="467"/>
      <c r="CQ187" s="407"/>
      <c r="CR187" s="406"/>
      <c r="CS187" s="406"/>
      <c r="CT187" s="407"/>
      <c r="CU187" s="406"/>
      <c r="CV187" s="406"/>
      <c r="CW187" s="407"/>
      <c r="CX187" s="467"/>
      <c r="CY187" s="467"/>
      <c r="CZ187" s="406"/>
      <c r="DA187" s="407"/>
      <c r="DB187" s="467"/>
      <c r="DC187" s="467"/>
      <c r="DD187" s="467"/>
      <c r="DE187" s="467"/>
      <c r="DF187" s="407"/>
    </row>
    <row r="188" spans="1:110" ht="8.4499999999999993" customHeight="1" x14ac:dyDescent="0.2">
      <c r="A188" s="130" t="s">
        <v>126</v>
      </c>
      <c r="B188" s="104">
        <v>173</v>
      </c>
      <c r="C188" s="82" t="s">
        <v>2520</v>
      </c>
      <c r="D188" s="96">
        <v>50</v>
      </c>
      <c r="E188" s="82" t="s">
        <v>2029</v>
      </c>
      <c r="F188" s="82" t="s">
        <v>2500</v>
      </c>
      <c r="G188" s="101">
        <v>7958.49</v>
      </c>
      <c r="H188" s="98">
        <v>0.09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101">
        <v>4682.78</v>
      </c>
      <c r="AZ188" s="102">
        <v>58.84</v>
      </c>
      <c r="BA188" s="102">
        <v>58.84</v>
      </c>
      <c r="BB188" s="101">
        <v>2822.88</v>
      </c>
      <c r="BC188" s="102">
        <v>35.47</v>
      </c>
      <c r="BD188" s="102">
        <v>94.31</v>
      </c>
      <c r="BE188" s="100">
        <v>452.84</v>
      </c>
      <c r="BF188" s="98">
        <v>5.69</v>
      </c>
      <c r="BG188" s="100">
        <v>100</v>
      </c>
      <c r="BH188" s="99"/>
      <c r="BI188" s="99"/>
      <c r="BJ188" s="100">
        <v>100</v>
      </c>
      <c r="BK188" s="99"/>
      <c r="BL188" s="99"/>
      <c r="BM188" s="100">
        <v>100</v>
      </c>
      <c r="BN188" s="99"/>
      <c r="BO188" s="99"/>
      <c r="BP188" s="100">
        <v>100</v>
      </c>
      <c r="BQ188" s="99"/>
      <c r="BR188" s="99"/>
      <c r="BS188" s="100">
        <v>100</v>
      </c>
      <c r="BT188" s="99"/>
      <c r="BU188" s="99"/>
      <c r="BV188" s="100">
        <v>100</v>
      </c>
      <c r="BW188" s="99"/>
      <c r="BX188" s="99"/>
      <c r="BY188" s="100">
        <v>100</v>
      </c>
      <c r="BZ188" s="99"/>
      <c r="CA188" s="99"/>
      <c r="CB188" s="100">
        <v>100</v>
      </c>
      <c r="CC188" s="99"/>
      <c r="CD188" s="99"/>
      <c r="CE188" s="989">
        <v>100</v>
      </c>
      <c r="CF188" s="406"/>
      <c r="CG188" s="406"/>
      <c r="CH188" s="407"/>
      <c r="CI188" s="406"/>
      <c r="CJ188" s="406"/>
      <c r="CK188" s="407"/>
      <c r="CL188" s="406"/>
      <c r="CM188" s="406"/>
      <c r="CN188" s="406"/>
      <c r="CO188" s="467"/>
      <c r="CP188" s="467"/>
      <c r="CQ188" s="407"/>
      <c r="CR188" s="406"/>
      <c r="CS188" s="406"/>
      <c r="CT188" s="407"/>
      <c r="CU188" s="406"/>
      <c r="CV188" s="406"/>
      <c r="CW188" s="407"/>
      <c r="CX188" s="467"/>
      <c r="CY188" s="467"/>
      <c r="CZ188" s="406"/>
      <c r="DA188" s="407"/>
      <c r="DB188" s="467"/>
      <c r="DC188" s="467"/>
      <c r="DD188" s="467"/>
      <c r="DE188" s="467"/>
      <c r="DF188" s="407"/>
    </row>
    <row r="189" spans="1:110" ht="8.4499999999999993" customHeight="1" x14ac:dyDescent="0.2">
      <c r="A189" s="130" t="s">
        <v>127</v>
      </c>
      <c r="B189" s="104">
        <v>174</v>
      </c>
      <c r="C189" s="82" t="s">
        <v>2521</v>
      </c>
      <c r="D189" s="96">
        <v>50</v>
      </c>
      <c r="E189" s="82" t="s">
        <v>2029</v>
      </c>
      <c r="F189" s="82" t="s">
        <v>2500</v>
      </c>
      <c r="G189" s="97">
        <v>20788.14</v>
      </c>
      <c r="H189" s="98">
        <v>0.24</v>
      </c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7">
        <v>12289.95</v>
      </c>
      <c r="AZ189" s="102">
        <v>59.12</v>
      </c>
      <c r="BA189" s="102">
        <v>59.12</v>
      </c>
      <c r="BB189" s="101">
        <v>7350.69</v>
      </c>
      <c r="BC189" s="102">
        <v>35.36</v>
      </c>
      <c r="BD189" s="102">
        <v>94.48</v>
      </c>
      <c r="BE189" s="101">
        <v>1147.51</v>
      </c>
      <c r="BF189" s="98">
        <v>5.52</v>
      </c>
      <c r="BG189" s="100">
        <v>100</v>
      </c>
      <c r="BH189" s="99"/>
      <c r="BI189" s="99"/>
      <c r="BJ189" s="100">
        <v>100</v>
      </c>
      <c r="BK189" s="99"/>
      <c r="BL189" s="99"/>
      <c r="BM189" s="100">
        <v>100</v>
      </c>
      <c r="BN189" s="99"/>
      <c r="BO189" s="99"/>
      <c r="BP189" s="100">
        <v>100</v>
      </c>
      <c r="BQ189" s="99"/>
      <c r="BR189" s="99"/>
      <c r="BS189" s="100">
        <v>100</v>
      </c>
      <c r="BT189" s="99"/>
      <c r="BU189" s="99"/>
      <c r="BV189" s="100">
        <v>100</v>
      </c>
      <c r="BW189" s="99"/>
      <c r="BX189" s="99"/>
      <c r="BY189" s="100">
        <v>100</v>
      </c>
      <c r="BZ189" s="99"/>
      <c r="CA189" s="99"/>
      <c r="CB189" s="100">
        <v>100</v>
      </c>
      <c r="CC189" s="99"/>
      <c r="CD189" s="99"/>
      <c r="CE189" s="989">
        <v>100</v>
      </c>
      <c r="CF189" s="460"/>
      <c r="CG189" s="460"/>
      <c r="CH189" s="405"/>
      <c r="CI189" s="460"/>
      <c r="CJ189" s="460"/>
      <c r="CK189" s="405"/>
      <c r="CL189" s="460"/>
      <c r="CM189" s="460"/>
      <c r="CN189" s="460"/>
      <c r="CO189" s="467"/>
      <c r="CP189" s="467"/>
      <c r="CQ189" s="407"/>
      <c r="CR189" s="406"/>
      <c r="CS189" s="406"/>
      <c r="CT189" s="407"/>
      <c r="CU189" s="406"/>
      <c r="CV189" s="406"/>
      <c r="CW189" s="407"/>
      <c r="CX189" s="467"/>
      <c r="CY189" s="467"/>
      <c r="CZ189" s="406"/>
      <c r="DA189" s="407"/>
      <c r="DB189" s="467"/>
      <c r="DC189" s="467"/>
      <c r="DD189" s="467"/>
      <c r="DE189" s="467"/>
      <c r="DF189" s="407"/>
    </row>
    <row r="190" spans="1:110" ht="8.4499999999999993" customHeight="1" x14ac:dyDescent="0.2">
      <c r="A190" s="130" t="s">
        <v>128</v>
      </c>
      <c r="B190" s="104">
        <v>175</v>
      </c>
      <c r="C190" s="82" t="s">
        <v>2522</v>
      </c>
      <c r="D190" s="96">
        <v>20</v>
      </c>
      <c r="E190" s="82" t="s">
        <v>2172</v>
      </c>
      <c r="F190" s="82" t="s">
        <v>2011</v>
      </c>
      <c r="G190" s="100">
        <v>112.15</v>
      </c>
      <c r="H190" s="98">
        <v>0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100">
        <v>112.15</v>
      </c>
      <c r="BC190" s="100">
        <v>100</v>
      </c>
      <c r="BD190" s="100">
        <v>100</v>
      </c>
      <c r="BE190" s="99"/>
      <c r="BF190" s="99"/>
      <c r="BG190" s="100">
        <v>100</v>
      </c>
      <c r="BH190" s="99"/>
      <c r="BI190" s="99"/>
      <c r="BJ190" s="100">
        <v>100</v>
      </c>
      <c r="BK190" s="99"/>
      <c r="BL190" s="99"/>
      <c r="BM190" s="100">
        <v>100</v>
      </c>
      <c r="BN190" s="99"/>
      <c r="BO190" s="99"/>
      <c r="BP190" s="100">
        <v>100</v>
      </c>
      <c r="BQ190" s="99"/>
      <c r="BR190" s="99"/>
      <c r="BS190" s="100">
        <v>100</v>
      </c>
      <c r="BT190" s="99"/>
      <c r="BU190" s="99"/>
      <c r="BV190" s="100">
        <v>100</v>
      </c>
      <c r="BW190" s="99"/>
      <c r="BX190" s="99"/>
      <c r="BY190" s="100">
        <v>100</v>
      </c>
      <c r="BZ190" s="99"/>
      <c r="CA190" s="99"/>
      <c r="CB190" s="100">
        <v>100</v>
      </c>
      <c r="CC190" s="99"/>
      <c r="CD190" s="99"/>
      <c r="CE190" s="989">
        <v>100</v>
      </c>
      <c r="CF190" s="406"/>
      <c r="CG190" s="406"/>
      <c r="CH190" s="407"/>
      <c r="CI190" s="406"/>
      <c r="CJ190" s="406"/>
      <c r="CK190" s="407"/>
      <c r="CL190" s="406"/>
      <c r="CM190" s="406"/>
      <c r="CN190" s="406"/>
      <c r="CO190" s="467"/>
      <c r="CP190" s="467"/>
      <c r="CQ190" s="407"/>
      <c r="CR190" s="406"/>
      <c r="CS190" s="406"/>
      <c r="CT190" s="407"/>
      <c r="CU190" s="406"/>
      <c r="CV190" s="406"/>
      <c r="CW190" s="407"/>
      <c r="CX190" s="467"/>
      <c r="CY190" s="467"/>
      <c r="CZ190" s="406"/>
      <c r="DA190" s="407"/>
      <c r="DB190" s="467"/>
      <c r="DC190" s="467"/>
      <c r="DD190" s="467"/>
      <c r="DE190" s="467"/>
      <c r="DF190" s="407"/>
    </row>
    <row r="191" spans="1:110" ht="8.4499999999999993" customHeight="1" x14ac:dyDescent="0.2">
      <c r="A191" s="130" t="s">
        <v>129</v>
      </c>
      <c r="B191" s="103">
        <v>176</v>
      </c>
      <c r="C191" s="87" t="s">
        <v>348</v>
      </c>
      <c r="D191" s="103">
        <v>182</v>
      </c>
      <c r="E191" s="87" t="s">
        <v>2031</v>
      </c>
      <c r="F191" s="87" t="s">
        <v>2174</v>
      </c>
      <c r="G191" s="89">
        <v>15029.64</v>
      </c>
      <c r="H191" s="90">
        <v>0.17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89">
        <v>12945.82</v>
      </c>
      <c r="AQ191" s="91">
        <v>86.14</v>
      </c>
      <c r="AR191" s="91">
        <v>86.14</v>
      </c>
      <c r="AS191" s="94"/>
      <c r="AT191" s="94"/>
      <c r="AU191" s="91">
        <v>86.14</v>
      </c>
      <c r="AV191" s="94"/>
      <c r="AW191" s="94"/>
      <c r="AX191" s="91">
        <v>86.14</v>
      </c>
      <c r="AY191" s="92">
        <v>1437.9</v>
      </c>
      <c r="AZ191" s="90">
        <v>9.57</v>
      </c>
      <c r="BA191" s="91">
        <v>95.7</v>
      </c>
      <c r="BB191" s="94"/>
      <c r="BC191" s="94"/>
      <c r="BD191" s="91">
        <v>95.7</v>
      </c>
      <c r="BE191" s="94"/>
      <c r="BF191" s="94"/>
      <c r="BG191" s="91">
        <v>95.7</v>
      </c>
      <c r="BH191" s="94"/>
      <c r="BI191" s="94"/>
      <c r="BJ191" s="91">
        <v>95.7</v>
      </c>
      <c r="BK191" s="94"/>
      <c r="BL191" s="94"/>
      <c r="BM191" s="91">
        <v>95.7</v>
      </c>
      <c r="BN191" s="93">
        <v>645.91</v>
      </c>
      <c r="BO191" s="90">
        <v>4.3</v>
      </c>
      <c r="BP191" s="93">
        <v>100</v>
      </c>
      <c r="BQ191" s="94"/>
      <c r="BR191" s="94"/>
      <c r="BS191" s="93">
        <v>100</v>
      </c>
      <c r="BT191" s="94"/>
      <c r="BU191" s="94"/>
      <c r="BV191" s="93">
        <v>100</v>
      </c>
      <c r="BW191" s="94"/>
      <c r="BX191" s="94"/>
      <c r="BY191" s="93">
        <v>100</v>
      </c>
      <c r="BZ191" s="94"/>
      <c r="CA191" s="94"/>
      <c r="CB191" s="93">
        <v>100</v>
      </c>
      <c r="CC191" s="94"/>
      <c r="CD191" s="94"/>
      <c r="CE191" s="988">
        <v>100</v>
      </c>
      <c r="CF191" s="406"/>
      <c r="CG191" s="406"/>
      <c r="CH191" s="407"/>
      <c r="CI191" s="406"/>
      <c r="CJ191" s="406"/>
      <c r="CK191" s="407"/>
      <c r="CL191" s="406"/>
      <c r="CM191" s="406"/>
      <c r="CN191" s="406"/>
      <c r="CO191" s="464"/>
      <c r="CP191" s="464"/>
      <c r="CQ191" s="405"/>
      <c r="CR191" s="460"/>
      <c r="CS191" s="460"/>
      <c r="CT191" s="405"/>
      <c r="CU191" s="460"/>
      <c r="CV191" s="460"/>
      <c r="CW191" s="405"/>
      <c r="CX191" s="464"/>
      <c r="CY191" s="464"/>
      <c r="CZ191" s="460"/>
      <c r="DA191" s="405"/>
      <c r="DB191" s="464"/>
      <c r="DC191" s="464"/>
      <c r="DD191" s="464"/>
      <c r="DE191" s="464"/>
      <c r="DF191" s="405"/>
    </row>
    <row r="192" spans="1:110" ht="8.4499999999999993" customHeight="1" x14ac:dyDescent="0.2">
      <c r="A192" s="130" t="s">
        <v>130</v>
      </c>
      <c r="B192" s="104">
        <v>177</v>
      </c>
      <c r="C192" s="82" t="s">
        <v>2523</v>
      </c>
      <c r="D192" s="104">
        <v>182</v>
      </c>
      <c r="E192" s="82" t="s">
        <v>2031</v>
      </c>
      <c r="F192" s="82" t="s">
        <v>2174</v>
      </c>
      <c r="G192" s="101">
        <v>4347.66</v>
      </c>
      <c r="H192" s="98">
        <v>0.05</v>
      </c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101">
        <v>3741.16</v>
      </c>
      <c r="AQ192" s="102">
        <v>86.05</v>
      </c>
      <c r="AR192" s="102">
        <v>86.05</v>
      </c>
      <c r="AS192" s="99"/>
      <c r="AT192" s="99"/>
      <c r="AU192" s="102">
        <v>86.05</v>
      </c>
      <c r="AV192" s="99"/>
      <c r="AW192" s="99"/>
      <c r="AX192" s="102">
        <v>86.05</v>
      </c>
      <c r="AY192" s="100">
        <v>415.64</v>
      </c>
      <c r="AZ192" s="98">
        <v>9.56</v>
      </c>
      <c r="BA192" s="102">
        <v>95.61</v>
      </c>
      <c r="BB192" s="99"/>
      <c r="BC192" s="99"/>
      <c r="BD192" s="102">
        <v>95.61</v>
      </c>
      <c r="BE192" s="99"/>
      <c r="BF192" s="99"/>
      <c r="BG192" s="102">
        <v>95.61</v>
      </c>
      <c r="BH192" s="99"/>
      <c r="BI192" s="99"/>
      <c r="BJ192" s="102">
        <v>95.61</v>
      </c>
      <c r="BK192" s="99"/>
      <c r="BL192" s="99"/>
      <c r="BM192" s="102">
        <v>95.61</v>
      </c>
      <c r="BN192" s="100">
        <v>190.86</v>
      </c>
      <c r="BO192" s="98">
        <v>4.3899999999999997</v>
      </c>
      <c r="BP192" s="100">
        <v>100</v>
      </c>
      <c r="BQ192" s="99"/>
      <c r="BR192" s="99"/>
      <c r="BS192" s="100">
        <v>100</v>
      </c>
      <c r="BT192" s="99"/>
      <c r="BU192" s="99"/>
      <c r="BV192" s="100">
        <v>100</v>
      </c>
      <c r="BW192" s="99"/>
      <c r="BX192" s="99"/>
      <c r="BY192" s="100">
        <v>100</v>
      </c>
      <c r="BZ192" s="99"/>
      <c r="CA192" s="99"/>
      <c r="CB192" s="100">
        <v>100</v>
      </c>
      <c r="CC192" s="99"/>
      <c r="CD192" s="99"/>
      <c r="CE192" s="989">
        <v>100</v>
      </c>
      <c r="CF192" s="460"/>
      <c r="CG192" s="460"/>
      <c r="CH192" s="404"/>
      <c r="CI192" s="403"/>
      <c r="CJ192" s="404"/>
      <c r="CK192" s="405"/>
      <c r="CL192" s="460"/>
      <c r="CM192" s="460"/>
      <c r="CN192" s="460"/>
      <c r="CO192" s="467"/>
      <c r="CP192" s="467"/>
      <c r="CQ192" s="407"/>
      <c r="CR192" s="406"/>
      <c r="CS192" s="406"/>
      <c r="CT192" s="407"/>
      <c r="CU192" s="406"/>
      <c r="CV192" s="406"/>
      <c r="CW192" s="407"/>
      <c r="CX192" s="467"/>
      <c r="CY192" s="467"/>
      <c r="CZ192" s="406"/>
      <c r="DA192" s="407"/>
      <c r="DB192" s="467"/>
      <c r="DC192" s="467"/>
      <c r="DD192" s="467"/>
      <c r="DE192" s="467"/>
      <c r="DF192" s="407"/>
    </row>
    <row r="193" spans="1:110" ht="8.4499999999999993" customHeight="1" x14ac:dyDescent="0.2">
      <c r="A193" s="130" t="s">
        <v>647</v>
      </c>
      <c r="B193" s="104">
        <v>178</v>
      </c>
      <c r="C193" s="82" t="s">
        <v>2524</v>
      </c>
      <c r="D193" s="104">
        <v>182</v>
      </c>
      <c r="E193" s="82" t="s">
        <v>2031</v>
      </c>
      <c r="F193" s="82" t="s">
        <v>2174</v>
      </c>
      <c r="G193" s="97">
        <v>10681.98</v>
      </c>
      <c r="H193" s="98">
        <v>0.12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101">
        <v>9204.66</v>
      </c>
      <c r="AQ193" s="102">
        <v>86.17</v>
      </c>
      <c r="AR193" s="102">
        <v>86.17</v>
      </c>
      <c r="AS193" s="99"/>
      <c r="AT193" s="99"/>
      <c r="AU193" s="102">
        <v>86.17</v>
      </c>
      <c r="AV193" s="99"/>
      <c r="AW193" s="99"/>
      <c r="AX193" s="102">
        <v>86.17</v>
      </c>
      <c r="AY193" s="101">
        <v>1022.27</v>
      </c>
      <c r="AZ193" s="98">
        <v>9.57</v>
      </c>
      <c r="BA193" s="102">
        <v>95.74</v>
      </c>
      <c r="BB193" s="99"/>
      <c r="BC193" s="99"/>
      <c r="BD193" s="102">
        <v>95.74</v>
      </c>
      <c r="BE193" s="99"/>
      <c r="BF193" s="99"/>
      <c r="BG193" s="102">
        <v>95.74</v>
      </c>
      <c r="BH193" s="99"/>
      <c r="BI193" s="99"/>
      <c r="BJ193" s="102">
        <v>95.74</v>
      </c>
      <c r="BK193" s="99"/>
      <c r="BL193" s="99"/>
      <c r="BM193" s="102">
        <v>95.74</v>
      </c>
      <c r="BN193" s="100">
        <v>455.05</v>
      </c>
      <c r="BO193" s="98">
        <v>4.26</v>
      </c>
      <c r="BP193" s="100">
        <v>100</v>
      </c>
      <c r="BQ193" s="99"/>
      <c r="BR193" s="99"/>
      <c r="BS193" s="100">
        <v>100</v>
      </c>
      <c r="BT193" s="99"/>
      <c r="BU193" s="99"/>
      <c r="BV193" s="100">
        <v>100</v>
      </c>
      <c r="BW193" s="99"/>
      <c r="BX193" s="99"/>
      <c r="BY193" s="100">
        <v>100</v>
      </c>
      <c r="BZ193" s="99"/>
      <c r="CA193" s="99"/>
      <c r="CB193" s="100">
        <v>100</v>
      </c>
      <c r="CC193" s="99"/>
      <c r="CD193" s="99"/>
      <c r="CE193" s="989">
        <v>100</v>
      </c>
      <c r="CF193" s="406"/>
      <c r="CG193" s="406"/>
      <c r="CH193" s="407"/>
      <c r="CI193" s="406"/>
      <c r="CJ193" s="406"/>
      <c r="CK193" s="407"/>
      <c r="CL193" s="406"/>
      <c r="CM193" s="406"/>
      <c r="CN193" s="406"/>
      <c r="CO193" s="467"/>
      <c r="CP193" s="467"/>
      <c r="CQ193" s="407"/>
      <c r="CR193" s="406"/>
      <c r="CS193" s="406"/>
      <c r="CT193" s="407"/>
      <c r="CU193" s="406"/>
      <c r="CV193" s="406"/>
      <c r="CW193" s="407"/>
      <c r="CX193" s="467"/>
      <c r="CY193" s="467"/>
      <c r="CZ193" s="406"/>
      <c r="DA193" s="407"/>
      <c r="DB193" s="467"/>
      <c r="DC193" s="467"/>
      <c r="DD193" s="467"/>
      <c r="DE193" s="467"/>
      <c r="DF193" s="407"/>
    </row>
    <row r="194" spans="1:110" ht="8.4499999999999993" customHeight="1" x14ac:dyDescent="0.2">
      <c r="A194" s="130" t="s">
        <v>131</v>
      </c>
      <c r="B194" s="103">
        <v>179</v>
      </c>
      <c r="C194" s="87" t="s">
        <v>349</v>
      </c>
      <c r="D194" s="88">
        <v>51</v>
      </c>
      <c r="E194" s="87" t="s">
        <v>2172</v>
      </c>
      <c r="F194" s="87" t="s">
        <v>2175</v>
      </c>
      <c r="G194" s="89">
        <v>99877.18</v>
      </c>
      <c r="H194" s="90">
        <v>1.1399999999999999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89">
        <v>37773.550000000003</v>
      </c>
      <c r="BC194" s="91">
        <v>37.82</v>
      </c>
      <c r="BD194" s="91">
        <v>37.82</v>
      </c>
      <c r="BE194" s="89">
        <v>53104.7</v>
      </c>
      <c r="BF194" s="91">
        <v>53.17</v>
      </c>
      <c r="BG194" s="91">
        <v>90.99</v>
      </c>
      <c r="BH194" s="92">
        <v>8998.93</v>
      </c>
      <c r="BI194" s="90">
        <v>9.01</v>
      </c>
      <c r="BJ194" s="93">
        <v>100</v>
      </c>
      <c r="BK194" s="94"/>
      <c r="BL194" s="94"/>
      <c r="BM194" s="93">
        <v>100</v>
      </c>
      <c r="BN194" s="94"/>
      <c r="BO194" s="94"/>
      <c r="BP194" s="93">
        <v>100</v>
      </c>
      <c r="BQ194" s="94"/>
      <c r="BR194" s="94"/>
      <c r="BS194" s="93">
        <v>100</v>
      </c>
      <c r="BT194" s="94"/>
      <c r="BU194" s="94"/>
      <c r="BV194" s="93">
        <v>100</v>
      </c>
      <c r="BW194" s="94"/>
      <c r="BX194" s="94"/>
      <c r="BY194" s="93">
        <v>100</v>
      </c>
      <c r="BZ194" s="94"/>
      <c r="CA194" s="94"/>
      <c r="CB194" s="93">
        <v>100</v>
      </c>
      <c r="CC194" s="94"/>
      <c r="CD194" s="94"/>
      <c r="CE194" s="988">
        <v>100</v>
      </c>
      <c r="CF194" s="406"/>
      <c r="CG194" s="406"/>
      <c r="CH194" s="406"/>
      <c r="CI194" s="410"/>
      <c r="CJ194" s="407"/>
      <c r="CK194" s="407"/>
      <c r="CL194" s="406"/>
      <c r="CM194" s="406"/>
      <c r="CN194" s="406"/>
      <c r="CO194" s="467"/>
      <c r="CP194" s="467"/>
      <c r="CQ194" s="407"/>
      <c r="CR194" s="406"/>
      <c r="CS194" s="406"/>
      <c r="CT194" s="407"/>
      <c r="CU194" s="406"/>
      <c r="CV194" s="406"/>
      <c r="CW194" s="407"/>
      <c r="CX194" s="467"/>
      <c r="CY194" s="467"/>
      <c r="CZ194" s="406"/>
      <c r="DA194" s="407"/>
      <c r="DB194" s="467"/>
      <c r="DC194" s="467"/>
      <c r="DD194" s="467"/>
      <c r="DE194" s="467"/>
      <c r="DF194" s="407"/>
    </row>
    <row r="195" spans="1:110" ht="8.4499999999999993" customHeight="1" x14ac:dyDescent="0.2">
      <c r="A195" s="130" t="s">
        <v>132</v>
      </c>
      <c r="B195" s="104">
        <v>180</v>
      </c>
      <c r="C195" s="82" t="s">
        <v>2525</v>
      </c>
      <c r="D195" s="96">
        <v>51</v>
      </c>
      <c r="E195" s="82" t="s">
        <v>2172</v>
      </c>
      <c r="F195" s="82" t="s">
        <v>2175</v>
      </c>
      <c r="G195" s="97">
        <v>99877.18</v>
      </c>
      <c r="H195" s="98">
        <v>1.1399999999999999</v>
      </c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7">
        <v>37773.550000000003</v>
      </c>
      <c r="BC195" s="102">
        <v>37.82</v>
      </c>
      <c r="BD195" s="102">
        <v>37.82</v>
      </c>
      <c r="BE195" s="97">
        <v>53104.7</v>
      </c>
      <c r="BF195" s="102">
        <v>53.17</v>
      </c>
      <c r="BG195" s="102">
        <v>90.99</v>
      </c>
      <c r="BH195" s="101">
        <v>8998.93</v>
      </c>
      <c r="BI195" s="98">
        <v>9.01</v>
      </c>
      <c r="BJ195" s="100">
        <v>100</v>
      </c>
      <c r="BK195" s="99"/>
      <c r="BL195" s="99"/>
      <c r="BM195" s="100">
        <v>100</v>
      </c>
      <c r="BN195" s="99"/>
      <c r="BO195" s="99"/>
      <c r="BP195" s="100">
        <v>100</v>
      </c>
      <c r="BQ195" s="99"/>
      <c r="BR195" s="99"/>
      <c r="BS195" s="100">
        <v>100</v>
      </c>
      <c r="BT195" s="99"/>
      <c r="BU195" s="99"/>
      <c r="BV195" s="100">
        <v>100</v>
      </c>
      <c r="BW195" s="99"/>
      <c r="BX195" s="99"/>
      <c r="BY195" s="100">
        <v>100</v>
      </c>
      <c r="BZ195" s="99"/>
      <c r="CA195" s="99"/>
      <c r="CB195" s="100">
        <v>100</v>
      </c>
      <c r="CC195" s="99"/>
      <c r="CD195" s="99"/>
      <c r="CE195" s="989">
        <v>100</v>
      </c>
      <c r="CF195" s="406"/>
      <c r="CG195" s="406"/>
      <c r="CH195" s="407"/>
      <c r="CI195" s="406"/>
      <c r="CJ195" s="406"/>
      <c r="CK195" s="407"/>
      <c r="CL195" s="406"/>
      <c r="CM195" s="406"/>
      <c r="CN195" s="406"/>
      <c r="CO195" s="467"/>
      <c r="CP195" s="467"/>
      <c r="CQ195" s="407"/>
      <c r="CR195" s="406"/>
      <c r="CS195" s="406"/>
      <c r="CT195" s="407"/>
      <c r="CU195" s="406"/>
      <c r="CV195" s="406"/>
      <c r="CW195" s="407"/>
      <c r="CX195" s="467"/>
      <c r="CY195" s="467"/>
      <c r="CZ195" s="406"/>
      <c r="DA195" s="407"/>
      <c r="DB195" s="467"/>
      <c r="DC195" s="467"/>
      <c r="DD195" s="467"/>
      <c r="DE195" s="467"/>
      <c r="DF195" s="407"/>
    </row>
    <row r="196" spans="1:110" ht="8.4499999999999993" customHeight="1" x14ac:dyDescent="0.2">
      <c r="A196" s="130" t="s">
        <v>649</v>
      </c>
      <c r="B196" s="103">
        <v>181</v>
      </c>
      <c r="C196" s="87" t="s">
        <v>350</v>
      </c>
      <c r="D196" s="88">
        <v>86</v>
      </c>
      <c r="E196" s="87" t="s">
        <v>2173</v>
      </c>
      <c r="F196" s="87" t="s">
        <v>2013</v>
      </c>
      <c r="G196" s="89">
        <v>95130.77</v>
      </c>
      <c r="H196" s="90">
        <v>1.08</v>
      </c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89">
        <v>38686.629999999997</v>
      </c>
      <c r="BI196" s="91">
        <v>40.659999999999997</v>
      </c>
      <c r="BJ196" s="91">
        <v>40.659999999999997</v>
      </c>
      <c r="BK196" s="89">
        <v>45116.53</v>
      </c>
      <c r="BL196" s="91">
        <v>47.43</v>
      </c>
      <c r="BM196" s="91">
        <v>88.09</v>
      </c>
      <c r="BN196" s="92">
        <v>8487.06</v>
      </c>
      <c r="BO196" s="90">
        <v>8.92</v>
      </c>
      <c r="BP196" s="91">
        <v>97.01</v>
      </c>
      <c r="BQ196" s="92">
        <v>2840.55</v>
      </c>
      <c r="BR196" s="90">
        <v>2.99</v>
      </c>
      <c r="BS196" s="93">
        <v>100</v>
      </c>
      <c r="BT196" s="94"/>
      <c r="BU196" s="94"/>
      <c r="BV196" s="93">
        <v>100</v>
      </c>
      <c r="BW196" s="94"/>
      <c r="BX196" s="94"/>
      <c r="BY196" s="93">
        <v>100</v>
      </c>
      <c r="BZ196" s="94"/>
      <c r="CA196" s="94"/>
      <c r="CB196" s="93">
        <v>100</v>
      </c>
      <c r="CC196" s="94"/>
      <c r="CD196" s="94"/>
      <c r="CE196" s="988">
        <v>100</v>
      </c>
      <c r="CF196" s="406"/>
      <c r="CG196" s="406"/>
      <c r="CH196" s="407"/>
      <c r="CI196" s="406"/>
      <c r="CJ196" s="406"/>
      <c r="CK196" s="407"/>
      <c r="CL196" s="406"/>
      <c r="CM196" s="406"/>
      <c r="CN196" s="406"/>
      <c r="CO196" s="464"/>
      <c r="CP196" s="464"/>
      <c r="CQ196" s="404"/>
      <c r="CR196" s="460"/>
      <c r="CS196" s="460"/>
      <c r="CT196" s="404"/>
      <c r="CU196" s="460"/>
      <c r="CV196" s="460"/>
      <c r="CW196" s="404"/>
      <c r="CX196" s="465"/>
      <c r="CY196" s="464"/>
      <c r="CZ196" s="404"/>
      <c r="DA196" s="405"/>
      <c r="DB196" s="464"/>
      <c r="DC196" s="464"/>
      <c r="DD196" s="464"/>
      <c r="DE196" s="464"/>
      <c r="DF196" s="405"/>
    </row>
    <row r="197" spans="1:110" ht="8.4499999999999993" customHeight="1" x14ac:dyDescent="0.2">
      <c r="A197" s="130" t="s">
        <v>1454</v>
      </c>
      <c r="B197" s="103">
        <v>182</v>
      </c>
      <c r="C197" s="87" t="s">
        <v>1574</v>
      </c>
      <c r="D197" s="88">
        <v>55</v>
      </c>
      <c r="E197" s="87" t="s">
        <v>2173</v>
      </c>
      <c r="F197" s="87" t="s">
        <v>2174</v>
      </c>
      <c r="G197" s="89">
        <v>87444.89</v>
      </c>
      <c r="H197" s="90">
        <v>0.99</v>
      </c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89">
        <v>38560.97</v>
      </c>
      <c r="BI197" s="91">
        <v>44.1</v>
      </c>
      <c r="BJ197" s="91">
        <v>44.1</v>
      </c>
      <c r="BK197" s="89">
        <v>43680.24</v>
      </c>
      <c r="BL197" s="91">
        <v>49.95</v>
      </c>
      <c r="BM197" s="91">
        <v>94.05</v>
      </c>
      <c r="BN197" s="92">
        <v>5203.68</v>
      </c>
      <c r="BO197" s="90">
        <v>5.95</v>
      </c>
      <c r="BP197" s="93">
        <v>100</v>
      </c>
      <c r="BQ197" s="94"/>
      <c r="BR197" s="94"/>
      <c r="BS197" s="93">
        <v>100</v>
      </c>
      <c r="BT197" s="94"/>
      <c r="BU197" s="94"/>
      <c r="BV197" s="93">
        <v>100</v>
      </c>
      <c r="BW197" s="94"/>
      <c r="BX197" s="94"/>
      <c r="BY197" s="93">
        <v>100</v>
      </c>
      <c r="BZ197" s="94"/>
      <c r="CA197" s="94"/>
      <c r="CB197" s="93">
        <v>100</v>
      </c>
      <c r="CC197" s="94"/>
      <c r="CD197" s="94"/>
      <c r="CE197" s="988">
        <v>100</v>
      </c>
      <c r="CF197" s="406"/>
      <c r="CG197" s="406"/>
      <c r="CH197" s="407"/>
      <c r="CI197" s="406"/>
      <c r="CJ197" s="406"/>
      <c r="CK197" s="407"/>
      <c r="CL197" s="406"/>
      <c r="CM197" s="406"/>
      <c r="CN197" s="406"/>
      <c r="CO197" s="467"/>
      <c r="CP197" s="467"/>
      <c r="CQ197" s="407"/>
      <c r="CR197" s="406"/>
      <c r="CS197" s="406"/>
      <c r="CT197" s="407"/>
      <c r="CU197" s="406"/>
      <c r="CV197" s="406"/>
      <c r="CW197" s="407"/>
      <c r="CX197" s="467"/>
      <c r="CY197" s="467"/>
      <c r="CZ197" s="406"/>
      <c r="DA197" s="407"/>
      <c r="DB197" s="467"/>
      <c r="DC197" s="467"/>
      <c r="DD197" s="467"/>
      <c r="DE197" s="467"/>
      <c r="DF197" s="407"/>
    </row>
    <row r="198" spans="1:110" ht="8.4499999999999993" customHeight="1" x14ac:dyDescent="0.2">
      <c r="A198" s="130" t="s">
        <v>1456</v>
      </c>
      <c r="B198" s="104">
        <v>183</v>
      </c>
      <c r="C198" s="82" t="s">
        <v>2526</v>
      </c>
      <c r="D198" s="96">
        <v>43</v>
      </c>
      <c r="E198" s="82" t="s">
        <v>2173</v>
      </c>
      <c r="F198" s="82" t="s">
        <v>2170</v>
      </c>
      <c r="G198" s="97">
        <v>32614.36</v>
      </c>
      <c r="H198" s="98">
        <v>0.37</v>
      </c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7">
        <v>16323.49</v>
      </c>
      <c r="BI198" s="102">
        <v>50.05</v>
      </c>
      <c r="BJ198" s="102">
        <v>50.05</v>
      </c>
      <c r="BK198" s="97">
        <v>16290.87</v>
      </c>
      <c r="BL198" s="102">
        <v>49.95</v>
      </c>
      <c r="BM198" s="100">
        <v>100</v>
      </c>
      <c r="BN198" s="99"/>
      <c r="BO198" s="99"/>
      <c r="BP198" s="100">
        <v>100</v>
      </c>
      <c r="BQ198" s="99"/>
      <c r="BR198" s="99"/>
      <c r="BS198" s="100">
        <v>100</v>
      </c>
      <c r="BT198" s="99"/>
      <c r="BU198" s="99"/>
      <c r="BV198" s="100">
        <v>100</v>
      </c>
      <c r="BW198" s="99"/>
      <c r="BX198" s="99"/>
      <c r="BY198" s="100">
        <v>100</v>
      </c>
      <c r="BZ198" s="99"/>
      <c r="CA198" s="99"/>
      <c r="CB198" s="100">
        <v>100</v>
      </c>
      <c r="CC198" s="99"/>
      <c r="CD198" s="99"/>
      <c r="CE198" s="989">
        <v>100</v>
      </c>
      <c r="CF198" s="411"/>
      <c r="CG198" s="404"/>
      <c r="CH198" s="404"/>
      <c r="CI198" s="403"/>
      <c r="CJ198" s="462"/>
      <c r="CK198" s="405"/>
      <c r="CL198" s="460"/>
      <c r="CM198" s="460"/>
      <c r="CN198" s="460"/>
      <c r="CO198" s="467"/>
      <c r="CP198" s="467"/>
      <c r="CQ198" s="407"/>
      <c r="CR198" s="406"/>
      <c r="CS198" s="406"/>
      <c r="CT198" s="407"/>
      <c r="CU198" s="406"/>
      <c r="CV198" s="406"/>
      <c r="CW198" s="407"/>
      <c r="CX198" s="467"/>
      <c r="CY198" s="467"/>
      <c r="CZ198" s="406"/>
      <c r="DA198" s="407"/>
      <c r="DB198" s="467"/>
      <c r="DC198" s="467"/>
      <c r="DD198" s="467"/>
      <c r="DE198" s="467"/>
      <c r="DF198" s="407"/>
    </row>
    <row r="199" spans="1:110" ht="8.4499999999999993" customHeight="1" x14ac:dyDescent="0.2">
      <c r="A199" s="130" t="s">
        <v>1458</v>
      </c>
      <c r="B199" s="104">
        <v>184</v>
      </c>
      <c r="C199" s="82" t="s">
        <v>2527</v>
      </c>
      <c r="D199" s="96">
        <v>43</v>
      </c>
      <c r="E199" s="82" t="s">
        <v>2173</v>
      </c>
      <c r="F199" s="82" t="s">
        <v>2170</v>
      </c>
      <c r="G199" s="101">
        <v>2225.4699999999998</v>
      </c>
      <c r="H199" s="98">
        <v>0.03</v>
      </c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101">
        <v>1112.73</v>
      </c>
      <c r="BI199" s="102">
        <v>50</v>
      </c>
      <c r="BJ199" s="102">
        <v>50</v>
      </c>
      <c r="BK199" s="101">
        <v>1112.73</v>
      </c>
      <c r="BL199" s="102">
        <v>50</v>
      </c>
      <c r="BM199" s="100">
        <v>100</v>
      </c>
      <c r="BN199" s="99"/>
      <c r="BO199" s="99"/>
      <c r="BP199" s="100">
        <v>100</v>
      </c>
      <c r="BQ199" s="99"/>
      <c r="BR199" s="99"/>
      <c r="BS199" s="100">
        <v>100</v>
      </c>
      <c r="BT199" s="99"/>
      <c r="BU199" s="99"/>
      <c r="BV199" s="100">
        <v>100</v>
      </c>
      <c r="BW199" s="99"/>
      <c r="BX199" s="99"/>
      <c r="BY199" s="100">
        <v>100</v>
      </c>
      <c r="BZ199" s="99"/>
      <c r="CA199" s="99"/>
      <c r="CB199" s="100">
        <v>100</v>
      </c>
      <c r="CC199" s="99"/>
      <c r="CD199" s="99"/>
      <c r="CE199" s="989">
        <v>100</v>
      </c>
      <c r="CF199" s="412"/>
      <c r="CG199" s="409"/>
      <c r="CH199" s="409"/>
      <c r="CI199" s="410"/>
      <c r="CJ199" s="409"/>
      <c r="CK199" s="407"/>
      <c r="CL199" s="406"/>
      <c r="CM199" s="406"/>
      <c r="CN199" s="406"/>
      <c r="CO199" s="467"/>
      <c r="CP199" s="467"/>
      <c r="CQ199" s="407"/>
      <c r="CR199" s="406"/>
      <c r="CS199" s="406"/>
      <c r="CT199" s="407"/>
      <c r="CU199" s="406"/>
      <c r="CV199" s="406"/>
      <c r="CW199" s="407"/>
      <c r="CX199" s="467"/>
      <c r="CY199" s="467"/>
      <c r="CZ199" s="406"/>
      <c r="DA199" s="407"/>
      <c r="DB199" s="467"/>
      <c r="DC199" s="467"/>
      <c r="DD199" s="467"/>
      <c r="DE199" s="467"/>
      <c r="DF199" s="407"/>
    </row>
    <row r="200" spans="1:110" ht="8.4499999999999993" customHeight="1" x14ac:dyDescent="0.2">
      <c r="A200" s="130" t="s">
        <v>1459</v>
      </c>
      <c r="B200" s="104">
        <v>185</v>
      </c>
      <c r="C200" s="82" t="s">
        <v>2528</v>
      </c>
      <c r="D200" s="96">
        <v>43</v>
      </c>
      <c r="E200" s="82" t="s">
        <v>2173</v>
      </c>
      <c r="F200" s="82" t="s">
        <v>2170</v>
      </c>
      <c r="G200" s="101">
        <v>4626.01</v>
      </c>
      <c r="H200" s="98">
        <v>0.05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101">
        <v>2313.0100000000002</v>
      </c>
      <c r="BI200" s="102">
        <v>50</v>
      </c>
      <c r="BJ200" s="102">
        <v>50</v>
      </c>
      <c r="BK200" s="101">
        <v>2313.0100000000002</v>
      </c>
      <c r="BL200" s="102">
        <v>50</v>
      </c>
      <c r="BM200" s="100">
        <v>100</v>
      </c>
      <c r="BN200" s="99"/>
      <c r="BO200" s="99"/>
      <c r="BP200" s="100">
        <v>100</v>
      </c>
      <c r="BQ200" s="99"/>
      <c r="BR200" s="99"/>
      <c r="BS200" s="100">
        <v>100</v>
      </c>
      <c r="BT200" s="99"/>
      <c r="BU200" s="99"/>
      <c r="BV200" s="100">
        <v>100</v>
      </c>
      <c r="BW200" s="99"/>
      <c r="BX200" s="99"/>
      <c r="BY200" s="100">
        <v>100</v>
      </c>
      <c r="BZ200" s="99"/>
      <c r="CA200" s="99"/>
      <c r="CB200" s="100">
        <v>100</v>
      </c>
      <c r="CC200" s="99"/>
      <c r="CD200" s="99"/>
      <c r="CE200" s="989">
        <v>100</v>
      </c>
      <c r="CF200" s="410"/>
      <c r="CG200" s="409"/>
      <c r="CH200" s="409"/>
      <c r="CI200" s="410"/>
      <c r="CJ200" s="409"/>
      <c r="CK200" s="407"/>
      <c r="CL200" s="406"/>
      <c r="CM200" s="406"/>
      <c r="CN200" s="406"/>
      <c r="CO200" s="467"/>
      <c r="CP200" s="467"/>
      <c r="CQ200" s="407"/>
      <c r="CR200" s="406"/>
      <c r="CS200" s="406"/>
      <c r="CT200" s="407"/>
      <c r="CU200" s="406"/>
      <c r="CV200" s="406"/>
      <c r="CW200" s="407"/>
      <c r="CX200" s="467"/>
      <c r="CY200" s="467"/>
      <c r="CZ200" s="406"/>
      <c r="DA200" s="407"/>
      <c r="DB200" s="467"/>
      <c r="DC200" s="467"/>
      <c r="DD200" s="467"/>
      <c r="DE200" s="467"/>
      <c r="DF200" s="407"/>
    </row>
    <row r="201" spans="1:110" ht="8.4499999999999993" customHeight="1" x14ac:dyDescent="0.2">
      <c r="A201" s="130" t="s">
        <v>2103</v>
      </c>
      <c r="B201" s="104">
        <v>186</v>
      </c>
      <c r="C201" s="82" t="s">
        <v>2529</v>
      </c>
      <c r="D201" s="96">
        <v>43</v>
      </c>
      <c r="E201" s="82" t="s">
        <v>2173</v>
      </c>
      <c r="F201" s="82" t="s">
        <v>2170</v>
      </c>
      <c r="G201" s="100">
        <v>571.03</v>
      </c>
      <c r="H201" s="98">
        <v>0.01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100">
        <v>285.52</v>
      </c>
      <c r="BI201" s="102">
        <v>50</v>
      </c>
      <c r="BJ201" s="102">
        <v>50</v>
      </c>
      <c r="BK201" s="100">
        <v>285.52</v>
      </c>
      <c r="BL201" s="102">
        <v>50</v>
      </c>
      <c r="BM201" s="100">
        <v>100</v>
      </c>
      <c r="BN201" s="99"/>
      <c r="BO201" s="99"/>
      <c r="BP201" s="100">
        <v>100</v>
      </c>
      <c r="BQ201" s="99"/>
      <c r="BR201" s="99"/>
      <c r="BS201" s="100">
        <v>100</v>
      </c>
      <c r="BT201" s="99"/>
      <c r="BU201" s="99"/>
      <c r="BV201" s="100">
        <v>100</v>
      </c>
      <c r="BW201" s="99"/>
      <c r="BX201" s="99"/>
      <c r="BY201" s="100">
        <v>100</v>
      </c>
      <c r="BZ201" s="99"/>
      <c r="CA201" s="99"/>
      <c r="CB201" s="100">
        <v>100</v>
      </c>
      <c r="CC201" s="99"/>
      <c r="CD201" s="99"/>
      <c r="CE201" s="989">
        <v>100</v>
      </c>
      <c r="CF201" s="406"/>
      <c r="CG201" s="406"/>
      <c r="CH201" s="407"/>
      <c r="CI201" s="406"/>
      <c r="CJ201" s="406"/>
      <c r="CK201" s="407"/>
      <c r="CL201" s="406"/>
      <c r="CM201" s="406"/>
      <c r="CN201" s="406"/>
      <c r="CO201" s="467"/>
      <c r="CP201" s="467"/>
      <c r="CQ201" s="406"/>
      <c r="CR201" s="406"/>
      <c r="CS201" s="406"/>
      <c r="CT201" s="406"/>
      <c r="CU201" s="406"/>
      <c r="CV201" s="406"/>
      <c r="CW201" s="406"/>
      <c r="CX201" s="470"/>
      <c r="CY201" s="467"/>
      <c r="CZ201" s="407"/>
      <c r="DA201" s="407"/>
      <c r="DB201" s="467"/>
      <c r="DC201" s="467"/>
      <c r="DD201" s="467"/>
      <c r="DE201" s="467"/>
      <c r="DF201" s="407"/>
    </row>
    <row r="202" spans="1:110" ht="8.4499999999999993" customHeight="1" x14ac:dyDescent="0.2">
      <c r="A202" s="130" t="s">
        <v>2104</v>
      </c>
      <c r="B202" s="104">
        <v>187</v>
      </c>
      <c r="C202" s="82" t="s">
        <v>1575</v>
      </c>
      <c r="D202" s="96">
        <v>43</v>
      </c>
      <c r="E202" s="82" t="s">
        <v>2173</v>
      </c>
      <c r="F202" s="82" t="s">
        <v>2170</v>
      </c>
      <c r="G202" s="97">
        <v>37000.660000000003</v>
      </c>
      <c r="H202" s="98">
        <v>0.42</v>
      </c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7">
        <v>18526.23</v>
      </c>
      <c r="BI202" s="102">
        <v>50.07</v>
      </c>
      <c r="BJ202" s="102">
        <v>50.07</v>
      </c>
      <c r="BK202" s="97">
        <v>18474.43</v>
      </c>
      <c r="BL202" s="102">
        <v>49.93</v>
      </c>
      <c r="BM202" s="100">
        <v>100</v>
      </c>
      <c r="BN202" s="99"/>
      <c r="BO202" s="99"/>
      <c r="BP202" s="100">
        <v>100</v>
      </c>
      <c r="BQ202" s="99"/>
      <c r="BR202" s="99"/>
      <c r="BS202" s="100">
        <v>100</v>
      </c>
      <c r="BT202" s="99"/>
      <c r="BU202" s="99"/>
      <c r="BV202" s="100">
        <v>100</v>
      </c>
      <c r="BW202" s="99"/>
      <c r="BX202" s="99"/>
      <c r="BY202" s="100">
        <v>100</v>
      </c>
      <c r="BZ202" s="99"/>
      <c r="CA202" s="99"/>
      <c r="CB202" s="100">
        <v>100</v>
      </c>
      <c r="CC202" s="99"/>
      <c r="CD202" s="99"/>
      <c r="CE202" s="989">
        <v>100</v>
      </c>
      <c r="CF202" s="411"/>
      <c r="CG202" s="404"/>
      <c r="CH202" s="405"/>
      <c r="CI202" s="460"/>
      <c r="CJ202" s="460"/>
      <c r="CK202" s="405"/>
      <c r="CL202" s="460"/>
      <c r="CM202" s="460"/>
      <c r="CN202" s="460"/>
      <c r="CO202" s="466"/>
      <c r="CP202" s="464"/>
      <c r="CQ202" s="404"/>
      <c r="CR202" s="403"/>
      <c r="CS202" s="462"/>
      <c r="CT202" s="405"/>
      <c r="CU202" s="460"/>
      <c r="CV202" s="460"/>
      <c r="CW202" s="405"/>
      <c r="CX202" s="464"/>
      <c r="CY202" s="464"/>
      <c r="CZ202" s="460"/>
      <c r="DA202" s="405"/>
      <c r="DB202" s="464"/>
      <c r="DC202" s="464"/>
      <c r="DD202" s="464"/>
      <c r="DE202" s="464"/>
      <c r="DF202" s="405"/>
    </row>
    <row r="203" spans="1:110" ht="8.4499999999999993" customHeight="1" x14ac:dyDescent="0.2">
      <c r="A203" s="130" t="s">
        <v>2268</v>
      </c>
      <c r="B203" s="104">
        <v>188</v>
      </c>
      <c r="C203" s="82" t="s">
        <v>2530</v>
      </c>
      <c r="D203" s="96">
        <v>22</v>
      </c>
      <c r="E203" s="82" t="s">
        <v>2168</v>
      </c>
      <c r="F203" s="82" t="s">
        <v>2174</v>
      </c>
      <c r="G203" s="101">
        <v>6494.43</v>
      </c>
      <c r="H203" s="98">
        <v>7.0000000000000007E-2</v>
      </c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101">
        <v>3247.22</v>
      </c>
      <c r="BL203" s="102">
        <v>50</v>
      </c>
      <c r="BM203" s="102">
        <v>50</v>
      </c>
      <c r="BN203" s="101">
        <v>3247.22</v>
      </c>
      <c r="BO203" s="102">
        <v>50</v>
      </c>
      <c r="BP203" s="100">
        <v>100</v>
      </c>
      <c r="BQ203" s="99"/>
      <c r="BR203" s="99"/>
      <c r="BS203" s="100">
        <v>100</v>
      </c>
      <c r="BT203" s="99"/>
      <c r="BU203" s="99"/>
      <c r="BV203" s="100">
        <v>100</v>
      </c>
      <c r="BW203" s="99"/>
      <c r="BX203" s="99"/>
      <c r="BY203" s="100">
        <v>100</v>
      </c>
      <c r="BZ203" s="99"/>
      <c r="CA203" s="99"/>
      <c r="CB203" s="100">
        <v>100</v>
      </c>
      <c r="CC203" s="99"/>
      <c r="CD203" s="99"/>
      <c r="CE203" s="989">
        <v>100</v>
      </c>
      <c r="CF203" s="406"/>
      <c r="CG203" s="406"/>
      <c r="CH203" s="407"/>
      <c r="CI203" s="406"/>
      <c r="CJ203" s="406"/>
      <c r="CK203" s="407"/>
      <c r="CL203" s="406"/>
      <c r="CM203" s="406"/>
      <c r="CN203" s="406"/>
      <c r="CO203" s="469"/>
      <c r="CP203" s="467"/>
      <c r="CQ203" s="409"/>
      <c r="CR203" s="410"/>
      <c r="CS203" s="408"/>
      <c r="CT203" s="407"/>
      <c r="CU203" s="406"/>
      <c r="CV203" s="406"/>
      <c r="CW203" s="407"/>
      <c r="CX203" s="467"/>
      <c r="CY203" s="467"/>
      <c r="CZ203" s="406"/>
      <c r="DA203" s="407"/>
      <c r="DB203" s="467"/>
      <c r="DC203" s="467"/>
      <c r="DD203" s="467"/>
      <c r="DE203" s="467"/>
      <c r="DF203" s="407"/>
    </row>
    <row r="204" spans="1:110" ht="8.4499999999999993" customHeight="1" x14ac:dyDescent="0.2">
      <c r="A204" s="130" t="s">
        <v>2269</v>
      </c>
      <c r="B204" s="104">
        <v>189</v>
      </c>
      <c r="C204" s="82" t="s">
        <v>2531</v>
      </c>
      <c r="D204" s="96">
        <v>22</v>
      </c>
      <c r="E204" s="82" t="s">
        <v>2168</v>
      </c>
      <c r="F204" s="82" t="s">
        <v>2174</v>
      </c>
      <c r="G204" s="101">
        <v>2924.25</v>
      </c>
      <c r="H204" s="98">
        <v>0.03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101">
        <v>1462.13</v>
      </c>
      <c r="BL204" s="102">
        <v>50</v>
      </c>
      <c r="BM204" s="102">
        <v>50</v>
      </c>
      <c r="BN204" s="101">
        <v>1462.13</v>
      </c>
      <c r="BO204" s="102">
        <v>50</v>
      </c>
      <c r="BP204" s="100">
        <v>100</v>
      </c>
      <c r="BQ204" s="99"/>
      <c r="BR204" s="99"/>
      <c r="BS204" s="100">
        <v>100</v>
      </c>
      <c r="BT204" s="99"/>
      <c r="BU204" s="99"/>
      <c r="BV204" s="100">
        <v>100</v>
      </c>
      <c r="BW204" s="99"/>
      <c r="BX204" s="99"/>
      <c r="BY204" s="100">
        <v>100</v>
      </c>
      <c r="BZ204" s="99"/>
      <c r="CA204" s="99"/>
      <c r="CB204" s="100">
        <v>100</v>
      </c>
      <c r="CC204" s="99"/>
      <c r="CD204" s="99"/>
      <c r="CE204" s="989">
        <v>100</v>
      </c>
      <c r="CF204" s="410"/>
      <c r="CG204" s="407"/>
      <c r="CH204" s="407"/>
      <c r="CI204" s="406"/>
      <c r="CJ204" s="406"/>
      <c r="CK204" s="407"/>
      <c r="CL204" s="406"/>
      <c r="CM204" s="406"/>
      <c r="CN204" s="406"/>
      <c r="CO204" s="469"/>
      <c r="CP204" s="467"/>
      <c r="CQ204" s="407"/>
      <c r="CR204" s="406"/>
      <c r="CS204" s="406"/>
      <c r="CT204" s="407"/>
      <c r="CU204" s="406"/>
      <c r="CV204" s="406"/>
      <c r="CW204" s="407"/>
      <c r="CX204" s="467"/>
      <c r="CY204" s="467"/>
      <c r="CZ204" s="406"/>
      <c r="DA204" s="407"/>
      <c r="DB204" s="467"/>
      <c r="DC204" s="467"/>
      <c r="DD204" s="467"/>
      <c r="DE204" s="467"/>
      <c r="DF204" s="407"/>
    </row>
    <row r="205" spans="1:110" ht="8.4499999999999993" customHeight="1" x14ac:dyDescent="0.2">
      <c r="A205" s="130" t="s">
        <v>2270</v>
      </c>
      <c r="B205" s="104">
        <v>190</v>
      </c>
      <c r="C205" s="82" t="s">
        <v>2532</v>
      </c>
      <c r="D205" s="96">
        <v>22</v>
      </c>
      <c r="E205" s="82" t="s">
        <v>2168</v>
      </c>
      <c r="F205" s="82" t="s">
        <v>2174</v>
      </c>
      <c r="G205" s="100">
        <v>988.68</v>
      </c>
      <c r="H205" s="98">
        <v>0.01</v>
      </c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100">
        <v>494.34</v>
      </c>
      <c r="BL205" s="102">
        <v>50</v>
      </c>
      <c r="BM205" s="102">
        <v>50</v>
      </c>
      <c r="BN205" s="100">
        <v>494.34</v>
      </c>
      <c r="BO205" s="102">
        <v>50</v>
      </c>
      <c r="BP205" s="100">
        <v>100</v>
      </c>
      <c r="BQ205" s="99"/>
      <c r="BR205" s="99"/>
      <c r="BS205" s="100">
        <v>100</v>
      </c>
      <c r="BT205" s="99"/>
      <c r="BU205" s="99"/>
      <c r="BV205" s="100">
        <v>100</v>
      </c>
      <c r="BW205" s="99"/>
      <c r="BX205" s="99"/>
      <c r="BY205" s="100">
        <v>100</v>
      </c>
      <c r="BZ205" s="99"/>
      <c r="CA205" s="99"/>
      <c r="CB205" s="100">
        <v>100</v>
      </c>
      <c r="CC205" s="99"/>
      <c r="CD205" s="99"/>
      <c r="CE205" s="989">
        <v>100</v>
      </c>
      <c r="CF205" s="406"/>
      <c r="CG205" s="406"/>
      <c r="CH205" s="407"/>
      <c r="CI205" s="406"/>
      <c r="CJ205" s="406"/>
      <c r="CK205" s="407"/>
      <c r="CL205" s="406"/>
      <c r="CM205" s="406"/>
      <c r="CN205" s="406"/>
      <c r="CO205" s="469"/>
      <c r="CP205" s="467"/>
      <c r="CQ205" s="407"/>
      <c r="CR205" s="406"/>
      <c r="CS205" s="406"/>
      <c r="CT205" s="407"/>
      <c r="CU205" s="406"/>
      <c r="CV205" s="406"/>
      <c r="CW205" s="407"/>
      <c r="CX205" s="467"/>
      <c r="CY205" s="467"/>
      <c r="CZ205" s="406"/>
      <c r="DA205" s="407"/>
      <c r="DB205" s="467"/>
      <c r="DC205" s="467"/>
      <c r="DD205" s="467"/>
      <c r="DE205" s="467"/>
      <c r="DF205" s="407"/>
    </row>
    <row r="206" spans="1:110" ht="8.4499999999999993" customHeight="1" x14ac:dyDescent="0.2">
      <c r="A206" s="130" t="s">
        <v>1460</v>
      </c>
      <c r="B206" s="103">
        <v>191</v>
      </c>
      <c r="C206" s="87" t="s">
        <v>1576</v>
      </c>
      <c r="D206" s="88">
        <v>20</v>
      </c>
      <c r="E206" s="87" t="s">
        <v>2171</v>
      </c>
      <c r="F206" s="87" t="s">
        <v>2170</v>
      </c>
      <c r="G206" s="93">
        <v>253.48</v>
      </c>
      <c r="H206" s="90">
        <v>0</v>
      </c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94"/>
      <c r="BJ206" s="94"/>
      <c r="BK206" s="93">
        <v>253.48</v>
      </c>
      <c r="BL206" s="93">
        <v>100</v>
      </c>
      <c r="BM206" s="93">
        <v>100</v>
      </c>
      <c r="BN206" s="94"/>
      <c r="BO206" s="94"/>
      <c r="BP206" s="93">
        <v>100</v>
      </c>
      <c r="BQ206" s="94"/>
      <c r="BR206" s="94"/>
      <c r="BS206" s="93">
        <v>100</v>
      </c>
      <c r="BT206" s="94"/>
      <c r="BU206" s="94"/>
      <c r="BV206" s="93">
        <v>100</v>
      </c>
      <c r="BW206" s="94"/>
      <c r="BX206" s="94"/>
      <c r="BY206" s="93">
        <v>100</v>
      </c>
      <c r="BZ206" s="94"/>
      <c r="CA206" s="94"/>
      <c r="CB206" s="93">
        <v>100</v>
      </c>
      <c r="CC206" s="94"/>
      <c r="CD206" s="94"/>
      <c r="CE206" s="988">
        <v>100</v>
      </c>
      <c r="CF206" s="410"/>
      <c r="CG206" s="407"/>
      <c r="CH206" s="407"/>
      <c r="CI206" s="406"/>
      <c r="CJ206" s="406"/>
      <c r="CK206" s="407"/>
      <c r="CL206" s="406"/>
      <c r="CM206" s="406"/>
      <c r="CN206" s="406"/>
      <c r="CO206" s="467"/>
      <c r="CP206" s="467"/>
      <c r="CQ206" s="407"/>
      <c r="CR206" s="406"/>
      <c r="CS206" s="406"/>
      <c r="CT206" s="407"/>
      <c r="CU206" s="406"/>
      <c r="CV206" s="406"/>
      <c r="CW206" s="407"/>
      <c r="CX206" s="467"/>
      <c r="CY206" s="467"/>
      <c r="CZ206" s="406"/>
      <c r="DA206" s="407"/>
      <c r="DB206" s="467"/>
      <c r="DC206" s="467"/>
      <c r="DD206" s="467"/>
      <c r="DE206" s="467"/>
      <c r="DF206" s="407"/>
    </row>
    <row r="207" spans="1:110" ht="8.4499999999999993" customHeight="1" x14ac:dyDescent="0.2">
      <c r="A207" s="130" t="s">
        <v>1462</v>
      </c>
      <c r="B207" s="104">
        <v>192</v>
      </c>
      <c r="C207" s="82" t="s">
        <v>1956</v>
      </c>
      <c r="D207" s="96">
        <v>20</v>
      </c>
      <c r="E207" s="82" t="s">
        <v>2171</v>
      </c>
      <c r="F207" s="82" t="s">
        <v>2170</v>
      </c>
      <c r="G207" s="100">
        <v>111.98</v>
      </c>
      <c r="H207" s="98">
        <v>0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100">
        <v>111.98</v>
      </c>
      <c r="BL207" s="100">
        <v>100</v>
      </c>
      <c r="BM207" s="100">
        <v>100</v>
      </c>
      <c r="BN207" s="99"/>
      <c r="BO207" s="99"/>
      <c r="BP207" s="100">
        <v>100</v>
      </c>
      <c r="BQ207" s="99"/>
      <c r="BR207" s="99"/>
      <c r="BS207" s="100">
        <v>100</v>
      </c>
      <c r="BT207" s="99"/>
      <c r="BU207" s="99"/>
      <c r="BV207" s="100">
        <v>100</v>
      </c>
      <c r="BW207" s="99"/>
      <c r="BX207" s="99"/>
      <c r="BY207" s="100">
        <v>100</v>
      </c>
      <c r="BZ207" s="99"/>
      <c r="CA207" s="99"/>
      <c r="CB207" s="100">
        <v>100</v>
      </c>
      <c r="CC207" s="99"/>
      <c r="CD207" s="99"/>
      <c r="CE207" s="989">
        <v>100</v>
      </c>
      <c r="CF207" s="407"/>
      <c r="CG207" s="407"/>
      <c r="CH207" s="407"/>
      <c r="CI207" s="406"/>
      <c r="CJ207" s="406"/>
      <c r="CK207" s="407"/>
      <c r="CL207" s="406"/>
      <c r="CM207" s="406"/>
      <c r="CN207" s="406"/>
      <c r="CO207" s="467"/>
      <c r="CP207" s="467"/>
      <c r="CQ207" s="407"/>
      <c r="CR207" s="406"/>
      <c r="CS207" s="406"/>
      <c r="CT207" s="407"/>
      <c r="CU207" s="406"/>
      <c r="CV207" s="406"/>
      <c r="CW207" s="407"/>
      <c r="CX207" s="467"/>
      <c r="CY207" s="467"/>
      <c r="CZ207" s="406"/>
      <c r="DA207" s="407"/>
      <c r="DB207" s="467"/>
      <c r="DC207" s="467"/>
      <c r="DD207" s="467"/>
      <c r="DE207" s="467"/>
      <c r="DF207" s="407"/>
    </row>
    <row r="208" spans="1:110" ht="8.4499999999999993" customHeight="1" x14ac:dyDescent="0.2">
      <c r="A208" s="130" t="s">
        <v>2105</v>
      </c>
      <c r="B208" s="104">
        <v>193</v>
      </c>
      <c r="C208" s="82" t="s">
        <v>2022</v>
      </c>
      <c r="D208" s="96">
        <v>20</v>
      </c>
      <c r="E208" s="82" t="s">
        <v>2171</v>
      </c>
      <c r="F208" s="82" t="s">
        <v>2170</v>
      </c>
      <c r="G208" s="100">
        <v>141.5</v>
      </c>
      <c r="H208" s="98">
        <v>0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100">
        <v>141.5</v>
      </c>
      <c r="BL208" s="100">
        <v>100</v>
      </c>
      <c r="BM208" s="100">
        <v>100</v>
      </c>
      <c r="BN208" s="99"/>
      <c r="BO208" s="99"/>
      <c r="BP208" s="100">
        <v>100</v>
      </c>
      <c r="BQ208" s="99"/>
      <c r="BR208" s="99"/>
      <c r="BS208" s="100">
        <v>100</v>
      </c>
      <c r="BT208" s="99"/>
      <c r="BU208" s="99"/>
      <c r="BV208" s="100">
        <v>100</v>
      </c>
      <c r="BW208" s="99"/>
      <c r="BX208" s="99"/>
      <c r="BY208" s="100">
        <v>100</v>
      </c>
      <c r="BZ208" s="99"/>
      <c r="CA208" s="99"/>
      <c r="CB208" s="100">
        <v>100</v>
      </c>
      <c r="CC208" s="99"/>
      <c r="CD208" s="99"/>
      <c r="CE208" s="989">
        <v>100</v>
      </c>
      <c r="CF208" s="410"/>
      <c r="CG208" s="408"/>
      <c r="CH208" s="407"/>
      <c r="CI208" s="406"/>
      <c r="CJ208" s="406"/>
      <c r="CK208" s="407"/>
      <c r="CL208" s="406"/>
      <c r="CM208" s="406"/>
      <c r="CN208" s="406"/>
      <c r="CO208" s="467"/>
      <c r="CP208" s="467"/>
      <c r="CQ208" s="407"/>
      <c r="CR208" s="406"/>
      <c r="CS208" s="406"/>
      <c r="CT208" s="407"/>
      <c r="CU208" s="406"/>
      <c r="CV208" s="406"/>
      <c r="CW208" s="407"/>
      <c r="CX208" s="467"/>
      <c r="CY208" s="467"/>
      <c r="CZ208" s="406"/>
      <c r="DA208" s="407"/>
      <c r="DB208" s="467"/>
      <c r="DC208" s="467"/>
      <c r="DD208" s="467"/>
      <c r="DE208" s="467"/>
      <c r="DF208" s="407"/>
    </row>
    <row r="209" spans="1:110" ht="8.4499999999999993" customHeight="1" x14ac:dyDescent="0.2">
      <c r="A209" s="130" t="s">
        <v>1464</v>
      </c>
      <c r="B209" s="103">
        <v>194</v>
      </c>
      <c r="C209" s="87" t="s">
        <v>1577</v>
      </c>
      <c r="D209" s="88">
        <v>50</v>
      </c>
      <c r="E209" s="87" t="s">
        <v>2478</v>
      </c>
      <c r="F209" s="87" t="s">
        <v>2013</v>
      </c>
      <c r="G209" s="92">
        <v>7182.88</v>
      </c>
      <c r="H209" s="90">
        <v>0.08</v>
      </c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94"/>
      <c r="BJ209" s="94"/>
      <c r="BK209" s="92">
        <v>1058.95</v>
      </c>
      <c r="BL209" s="91">
        <v>14.74</v>
      </c>
      <c r="BM209" s="91">
        <v>14.74</v>
      </c>
      <c r="BN209" s="92">
        <v>3283.38</v>
      </c>
      <c r="BO209" s="91">
        <v>45.71</v>
      </c>
      <c r="BP209" s="91">
        <v>60.45</v>
      </c>
      <c r="BQ209" s="92">
        <v>2840.55</v>
      </c>
      <c r="BR209" s="91">
        <v>39.549999999999997</v>
      </c>
      <c r="BS209" s="93">
        <v>100</v>
      </c>
      <c r="BT209" s="94"/>
      <c r="BU209" s="94"/>
      <c r="BV209" s="93">
        <v>100</v>
      </c>
      <c r="BW209" s="94"/>
      <c r="BX209" s="94"/>
      <c r="BY209" s="93">
        <v>100</v>
      </c>
      <c r="BZ209" s="94"/>
      <c r="CA209" s="94"/>
      <c r="CB209" s="93">
        <v>100</v>
      </c>
      <c r="CC209" s="94"/>
      <c r="CD209" s="94"/>
      <c r="CE209" s="988">
        <v>100</v>
      </c>
      <c r="CF209" s="406"/>
      <c r="CG209" s="406"/>
      <c r="CH209" s="407"/>
      <c r="CI209" s="406"/>
      <c r="CJ209" s="406"/>
      <c r="CK209" s="407"/>
      <c r="CL209" s="406"/>
      <c r="CM209" s="406"/>
      <c r="CN209" s="406"/>
      <c r="CO209" s="467"/>
      <c r="CP209" s="467"/>
      <c r="CQ209" s="407"/>
      <c r="CR209" s="406"/>
      <c r="CS209" s="406"/>
      <c r="CT209" s="407"/>
      <c r="CU209" s="406"/>
      <c r="CV209" s="406"/>
      <c r="CW209" s="407"/>
      <c r="CX209" s="467"/>
      <c r="CY209" s="467"/>
      <c r="CZ209" s="406"/>
      <c r="DA209" s="407"/>
      <c r="DB209" s="467"/>
      <c r="DC209" s="467"/>
      <c r="DD209" s="467"/>
      <c r="DE209" s="467"/>
      <c r="DF209" s="407"/>
    </row>
    <row r="210" spans="1:110" ht="16.899999999999999" customHeight="1" x14ac:dyDescent="0.2">
      <c r="A210" s="130" t="s">
        <v>1466</v>
      </c>
      <c r="B210" s="104">
        <v>195</v>
      </c>
      <c r="C210" s="82" t="s">
        <v>1957</v>
      </c>
      <c r="D210" s="96">
        <v>50</v>
      </c>
      <c r="E210" s="82" t="s">
        <v>2478</v>
      </c>
      <c r="F210" s="82" t="s">
        <v>2013</v>
      </c>
      <c r="G210" s="100">
        <v>223.95</v>
      </c>
      <c r="H210" s="98">
        <v>0</v>
      </c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102">
        <v>36.950000000000003</v>
      </c>
      <c r="BL210" s="102">
        <v>16.5</v>
      </c>
      <c r="BM210" s="102">
        <v>16.5</v>
      </c>
      <c r="BN210" s="100">
        <v>114.57</v>
      </c>
      <c r="BO210" s="102">
        <v>51.16</v>
      </c>
      <c r="BP210" s="102">
        <v>67.66</v>
      </c>
      <c r="BQ210" s="102">
        <v>72.430000000000007</v>
      </c>
      <c r="BR210" s="102">
        <v>32.340000000000003</v>
      </c>
      <c r="BS210" s="100">
        <v>100</v>
      </c>
      <c r="BT210" s="99"/>
      <c r="BU210" s="99"/>
      <c r="BV210" s="100">
        <v>100</v>
      </c>
      <c r="BW210" s="99"/>
      <c r="BX210" s="99"/>
      <c r="BY210" s="100">
        <v>100</v>
      </c>
      <c r="BZ210" s="99"/>
      <c r="CA210" s="99"/>
      <c r="CB210" s="100">
        <v>100</v>
      </c>
      <c r="CC210" s="99"/>
      <c r="CD210" s="99"/>
      <c r="CE210" s="989">
        <v>100</v>
      </c>
      <c r="CF210" s="411"/>
      <c r="CG210" s="404"/>
      <c r="CH210" s="404"/>
      <c r="CI210" s="411"/>
      <c r="CJ210" s="404"/>
      <c r="CK210" s="405"/>
      <c r="CL210" s="460"/>
      <c r="CM210" s="460"/>
      <c r="CN210" s="460"/>
      <c r="CO210" s="474"/>
      <c r="CP210" s="464"/>
      <c r="CQ210" s="404"/>
      <c r="CR210" s="411"/>
      <c r="CS210" s="462"/>
      <c r="CT210" s="404"/>
      <c r="CU210" s="411"/>
      <c r="CV210" s="462"/>
      <c r="CW210" s="404"/>
      <c r="CX210" s="472"/>
      <c r="CY210" s="464"/>
      <c r="CZ210" s="462"/>
      <c r="DA210" s="405"/>
      <c r="DB210" s="464"/>
      <c r="DC210" s="464"/>
      <c r="DD210" s="464"/>
      <c r="DE210" s="464"/>
      <c r="DF210" s="405"/>
    </row>
    <row r="211" spans="1:110" ht="16.899999999999999" customHeight="1" x14ac:dyDescent="0.2">
      <c r="A211" s="130" t="s">
        <v>1467</v>
      </c>
      <c r="B211" s="104">
        <v>196</v>
      </c>
      <c r="C211" s="82" t="s">
        <v>2020</v>
      </c>
      <c r="D211" s="96">
        <v>22</v>
      </c>
      <c r="E211" s="82" t="s">
        <v>2012</v>
      </c>
      <c r="F211" s="82" t="s">
        <v>2013</v>
      </c>
      <c r="G211" s="98">
        <v>7.04</v>
      </c>
      <c r="H211" s="98">
        <v>0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8">
        <v>7.04</v>
      </c>
      <c r="BR211" s="100">
        <v>100</v>
      </c>
      <c r="BS211" s="100">
        <v>100</v>
      </c>
      <c r="BT211" s="99"/>
      <c r="BU211" s="99"/>
      <c r="BV211" s="100">
        <v>100</v>
      </c>
      <c r="BW211" s="99"/>
      <c r="BX211" s="99"/>
      <c r="BY211" s="100">
        <v>100</v>
      </c>
      <c r="BZ211" s="99"/>
      <c r="CA211" s="99"/>
      <c r="CB211" s="100">
        <v>100</v>
      </c>
      <c r="CC211" s="99"/>
      <c r="CD211" s="99"/>
      <c r="CE211" s="989">
        <v>100</v>
      </c>
      <c r="CF211" s="460"/>
      <c r="CG211" s="460"/>
      <c r="CH211" s="405"/>
      <c r="CI211" s="460"/>
      <c r="CJ211" s="460"/>
      <c r="CK211" s="405"/>
      <c r="CL211" s="460"/>
      <c r="CM211" s="460"/>
      <c r="CN211" s="460"/>
      <c r="CO211" s="466"/>
      <c r="CP211" s="464"/>
      <c r="CQ211" s="405"/>
      <c r="CR211" s="460"/>
      <c r="CS211" s="460"/>
      <c r="CT211" s="405"/>
      <c r="CU211" s="460"/>
      <c r="CV211" s="460"/>
      <c r="CW211" s="405"/>
      <c r="CX211" s="464"/>
      <c r="CY211" s="464"/>
      <c r="CZ211" s="460"/>
      <c r="DA211" s="405"/>
      <c r="DB211" s="464"/>
      <c r="DC211" s="464"/>
      <c r="DD211" s="464"/>
      <c r="DE211" s="464"/>
      <c r="DF211" s="405"/>
    </row>
    <row r="212" spans="1:110" ht="8.4499999999999993" customHeight="1" x14ac:dyDescent="0.2">
      <c r="A212" s="130" t="s">
        <v>2107</v>
      </c>
      <c r="B212" s="104">
        <v>197</v>
      </c>
      <c r="C212" s="82" t="s">
        <v>2533</v>
      </c>
      <c r="D212" s="96">
        <v>22</v>
      </c>
      <c r="E212" s="82" t="s">
        <v>2012</v>
      </c>
      <c r="F212" s="82" t="s">
        <v>2013</v>
      </c>
      <c r="G212" s="98">
        <v>9.48</v>
      </c>
      <c r="H212" s="98">
        <v>0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8">
        <v>9.48</v>
      </c>
      <c r="BR212" s="100">
        <v>100</v>
      </c>
      <c r="BS212" s="100">
        <v>100</v>
      </c>
      <c r="BT212" s="99"/>
      <c r="BU212" s="99"/>
      <c r="BV212" s="100">
        <v>100</v>
      </c>
      <c r="BW212" s="99"/>
      <c r="BX212" s="99"/>
      <c r="BY212" s="100">
        <v>100</v>
      </c>
      <c r="BZ212" s="99"/>
      <c r="CA212" s="99"/>
      <c r="CB212" s="100">
        <v>100</v>
      </c>
      <c r="CC212" s="99"/>
      <c r="CD212" s="99"/>
      <c r="CE212" s="989">
        <v>100</v>
      </c>
      <c r="CF212" s="406"/>
      <c r="CG212" s="406"/>
      <c r="CH212" s="407"/>
      <c r="CI212" s="406"/>
      <c r="CJ212" s="406"/>
      <c r="CK212" s="407"/>
      <c r="CL212" s="406"/>
      <c r="CM212" s="406"/>
      <c r="CN212" s="406"/>
      <c r="CO212" s="467"/>
      <c r="CP212" s="467"/>
      <c r="CQ212" s="407"/>
      <c r="CR212" s="406"/>
      <c r="CS212" s="406"/>
      <c r="CT212" s="407"/>
      <c r="CU212" s="406"/>
      <c r="CV212" s="406"/>
      <c r="CW212" s="407"/>
      <c r="CX212" s="467"/>
      <c r="CY212" s="467"/>
      <c r="CZ212" s="406"/>
      <c r="DA212" s="407"/>
      <c r="DB212" s="467"/>
      <c r="DC212" s="467"/>
      <c r="DD212" s="467"/>
      <c r="DE212" s="467"/>
      <c r="DF212" s="407"/>
    </row>
    <row r="213" spans="1:110" ht="8.4499999999999993" customHeight="1" x14ac:dyDescent="0.2">
      <c r="A213" s="130" t="s">
        <v>2108</v>
      </c>
      <c r="B213" s="104">
        <v>198</v>
      </c>
      <c r="C213" s="82" t="s">
        <v>2534</v>
      </c>
      <c r="D213" s="96">
        <v>22</v>
      </c>
      <c r="E213" s="82" t="s">
        <v>2012</v>
      </c>
      <c r="F213" s="82" t="s">
        <v>2013</v>
      </c>
      <c r="G213" s="102">
        <v>41.7</v>
      </c>
      <c r="H213" s="98">
        <v>0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102">
        <v>41.7</v>
      </c>
      <c r="BR213" s="100">
        <v>100</v>
      </c>
      <c r="BS213" s="100">
        <v>100</v>
      </c>
      <c r="BT213" s="99"/>
      <c r="BU213" s="99"/>
      <c r="BV213" s="100">
        <v>100</v>
      </c>
      <c r="BW213" s="99"/>
      <c r="BX213" s="99"/>
      <c r="BY213" s="100">
        <v>100</v>
      </c>
      <c r="BZ213" s="99"/>
      <c r="CA213" s="99"/>
      <c r="CB213" s="100">
        <v>100</v>
      </c>
      <c r="CC213" s="99"/>
      <c r="CD213" s="99"/>
      <c r="CE213" s="989">
        <v>100</v>
      </c>
      <c r="CF213" s="406"/>
      <c r="CG213" s="406"/>
      <c r="CH213" s="407"/>
      <c r="CI213" s="406"/>
      <c r="CJ213" s="406"/>
      <c r="CK213" s="407"/>
      <c r="CL213" s="406"/>
      <c r="CM213" s="406"/>
      <c r="CN213" s="406"/>
      <c r="CO213" s="467"/>
      <c r="CP213" s="467"/>
      <c r="CQ213" s="407"/>
      <c r="CR213" s="406"/>
      <c r="CS213" s="406"/>
      <c r="CT213" s="407"/>
      <c r="CU213" s="406"/>
      <c r="CV213" s="406"/>
      <c r="CW213" s="407"/>
      <c r="CX213" s="467"/>
      <c r="CY213" s="467"/>
      <c r="CZ213" s="406"/>
      <c r="DA213" s="407"/>
      <c r="DB213" s="467"/>
      <c r="DC213" s="467"/>
      <c r="DD213" s="467"/>
      <c r="DE213" s="467"/>
      <c r="DF213" s="407"/>
    </row>
    <row r="214" spans="1:110" ht="8.4499999999999993" customHeight="1" x14ac:dyDescent="0.2">
      <c r="A214" s="130" t="s">
        <v>2109</v>
      </c>
      <c r="B214" s="104">
        <v>199</v>
      </c>
      <c r="C214" s="82" t="s">
        <v>2535</v>
      </c>
      <c r="D214" s="96">
        <v>50</v>
      </c>
      <c r="E214" s="82" t="s">
        <v>2478</v>
      </c>
      <c r="F214" s="82" t="s">
        <v>2013</v>
      </c>
      <c r="G214" s="101">
        <v>6900.71</v>
      </c>
      <c r="H214" s="98">
        <v>0.08</v>
      </c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101">
        <v>1022</v>
      </c>
      <c r="BL214" s="102">
        <v>14.81</v>
      </c>
      <c r="BM214" s="102">
        <v>14.81</v>
      </c>
      <c r="BN214" s="101">
        <v>3168.81</v>
      </c>
      <c r="BO214" s="102">
        <v>45.92</v>
      </c>
      <c r="BP214" s="102">
        <v>60.73</v>
      </c>
      <c r="BQ214" s="101">
        <v>2709.91</v>
      </c>
      <c r="BR214" s="102">
        <v>39.270000000000003</v>
      </c>
      <c r="BS214" s="100">
        <v>100</v>
      </c>
      <c r="BT214" s="99"/>
      <c r="BU214" s="99"/>
      <c r="BV214" s="100">
        <v>100</v>
      </c>
      <c r="BW214" s="99"/>
      <c r="BX214" s="99"/>
      <c r="BY214" s="100">
        <v>100</v>
      </c>
      <c r="BZ214" s="99"/>
      <c r="CA214" s="99"/>
      <c r="CB214" s="100">
        <v>100</v>
      </c>
      <c r="CC214" s="99"/>
      <c r="CD214" s="99"/>
      <c r="CE214" s="989">
        <v>100</v>
      </c>
      <c r="CF214" s="460"/>
      <c r="CG214" s="460"/>
      <c r="CH214" s="405"/>
      <c r="CI214" s="460"/>
      <c r="CJ214" s="460"/>
      <c r="CK214" s="405"/>
      <c r="CL214" s="460"/>
      <c r="CM214" s="460"/>
      <c r="CN214" s="460"/>
      <c r="CO214" s="467"/>
      <c r="CP214" s="467"/>
      <c r="CQ214" s="407"/>
      <c r="CR214" s="406"/>
      <c r="CS214" s="406"/>
      <c r="CT214" s="407"/>
      <c r="CU214" s="406"/>
      <c r="CV214" s="406"/>
      <c r="CW214" s="407"/>
      <c r="CX214" s="467"/>
      <c r="CY214" s="467"/>
      <c r="CZ214" s="406"/>
      <c r="DA214" s="407"/>
      <c r="DB214" s="467"/>
      <c r="DC214" s="467"/>
      <c r="DD214" s="467"/>
      <c r="DE214" s="467"/>
      <c r="DF214" s="407"/>
    </row>
    <row r="215" spans="1:110" ht="8.4499999999999993" customHeight="1" x14ac:dyDescent="0.2">
      <c r="A215" s="130" t="s">
        <v>1468</v>
      </c>
      <c r="B215" s="103">
        <v>200</v>
      </c>
      <c r="C215" s="87" t="s">
        <v>1578</v>
      </c>
      <c r="D215" s="88">
        <v>43</v>
      </c>
      <c r="E215" s="87" t="s">
        <v>2173</v>
      </c>
      <c r="F215" s="87" t="s">
        <v>2170</v>
      </c>
      <c r="G215" s="93">
        <v>249.52</v>
      </c>
      <c r="H215" s="90">
        <v>0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3">
        <v>125.66</v>
      </c>
      <c r="BI215" s="91">
        <v>50.36</v>
      </c>
      <c r="BJ215" s="91">
        <v>50.36</v>
      </c>
      <c r="BK215" s="93">
        <v>123.86</v>
      </c>
      <c r="BL215" s="91">
        <v>49.64</v>
      </c>
      <c r="BM215" s="93">
        <v>100</v>
      </c>
      <c r="BN215" s="94"/>
      <c r="BO215" s="94"/>
      <c r="BP215" s="93">
        <v>100</v>
      </c>
      <c r="BQ215" s="94"/>
      <c r="BR215" s="94"/>
      <c r="BS215" s="93">
        <v>100</v>
      </c>
      <c r="BT215" s="94"/>
      <c r="BU215" s="94"/>
      <c r="BV215" s="93">
        <v>100</v>
      </c>
      <c r="BW215" s="94"/>
      <c r="BX215" s="94"/>
      <c r="BY215" s="93">
        <v>100</v>
      </c>
      <c r="BZ215" s="94"/>
      <c r="CA215" s="94"/>
      <c r="CB215" s="93">
        <v>100</v>
      </c>
      <c r="CC215" s="94"/>
      <c r="CD215" s="94"/>
      <c r="CE215" s="988">
        <v>100</v>
      </c>
      <c r="CF215" s="406"/>
      <c r="CG215" s="406"/>
      <c r="CH215" s="407"/>
      <c r="CI215" s="406"/>
      <c r="CJ215" s="406"/>
      <c r="CK215" s="407"/>
      <c r="CL215" s="406"/>
      <c r="CM215" s="406"/>
      <c r="CN215" s="406"/>
      <c r="CO215" s="467"/>
      <c r="CP215" s="467"/>
      <c r="CQ215" s="407"/>
      <c r="CR215" s="406"/>
      <c r="CS215" s="406"/>
      <c r="CT215" s="407"/>
      <c r="CU215" s="406"/>
      <c r="CV215" s="406"/>
      <c r="CW215" s="407"/>
      <c r="CX215" s="467"/>
      <c r="CY215" s="467"/>
      <c r="CZ215" s="406"/>
      <c r="DA215" s="407"/>
      <c r="DB215" s="467"/>
      <c r="DC215" s="467"/>
      <c r="DD215" s="467"/>
      <c r="DE215" s="467"/>
      <c r="DF215" s="407"/>
    </row>
    <row r="216" spans="1:110" ht="8.4499999999999993" customHeight="1" x14ac:dyDescent="0.2">
      <c r="A216" s="130" t="s">
        <v>1470</v>
      </c>
      <c r="B216" s="104">
        <v>201</v>
      </c>
      <c r="C216" s="82" t="s">
        <v>1579</v>
      </c>
      <c r="D216" s="96">
        <v>43</v>
      </c>
      <c r="E216" s="82" t="s">
        <v>2173</v>
      </c>
      <c r="F216" s="82" t="s">
        <v>2170</v>
      </c>
      <c r="G216" s="100">
        <v>249.52</v>
      </c>
      <c r="H216" s="98">
        <v>0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100">
        <v>125.66</v>
      </c>
      <c r="BI216" s="102">
        <v>50.36</v>
      </c>
      <c r="BJ216" s="102">
        <v>50.36</v>
      </c>
      <c r="BK216" s="100">
        <v>123.86</v>
      </c>
      <c r="BL216" s="102">
        <v>49.64</v>
      </c>
      <c r="BM216" s="100">
        <v>100</v>
      </c>
      <c r="BN216" s="99"/>
      <c r="BO216" s="99"/>
      <c r="BP216" s="100">
        <v>100</v>
      </c>
      <c r="BQ216" s="99"/>
      <c r="BR216" s="99"/>
      <c r="BS216" s="100">
        <v>100</v>
      </c>
      <c r="BT216" s="99"/>
      <c r="BU216" s="99"/>
      <c r="BV216" s="100">
        <v>100</v>
      </c>
      <c r="BW216" s="99"/>
      <c r="BX216" s="99"/>
      <c r="BY216" s="100">
        <v>100</v>
      </c>
      <c r="BZ216" s="99"/>
      <c r="CA216" s="99"/>
      <c r="CB216" s="100">
        <v>100</v>
      </c>
      <c r="CC216" s="99"/>
      <c r="CD216" s="99"/>
      <c r="CE216" s="989">
        <v>100</v>
      </c>
      <c r="CF216" s="406"/>
      <c r="CG216" s="406"/>
      <c r="CH216" s="407"/>
      <c r="CI216" s="406"/>
      <c r="CJ216" s="406"/>
      <c r="CK216" s="407"/>
      <c r="CL216" s="406"/>
      <c r="CM216" s="406"/>
      <c r="CN216" s="406"/>
      <c r="CO216" s="467"/>
      <c r="CP216" s="467"/>
      <c r="CQ216" s="407"/>
      <c r="CR216" s="406"/>
      <c r="CS216" s="406"/>
      <c r="CT216" s="407"/>
      <c r="CU216" s="406"/>
      <c r="CV216" s="406"/>
      <c r="CW216" s="407"/>
      <c r="CX216" s="467"/>
      <c r="CY216" s="467"/>
      <c r="CZ216" s="406"/>
      <c r="DA216" s="407"/>
      <c r="DB216" s="467"/>
      <c r="DC216" s="467"/>
      <c r="DD216" s="467"/>
      <c r="DE216" s="467"/>
      <c r="DF216" s="407"/>
    </row>
    <row r="217" spans="1:110" ht="8.4499999999999993" customHeight="1" x14ac:dyDescent="0.2">
      <c r="A217" s="130" t="s">
        <v>651</v>
      </c>
      <c r="B217" s="103">
        <v>202</v>
      </c>
      <c r="C217" s="87" t="s">
        <v>351</v>
      </c>
      <c r="D217" s="88">
        <v>30</v>
      </c>
      <c r="E217" s="87" t="s">
        <v>2033</v>
      </c>
      <c r="F217" s="87" t="s">
        <v>2178</v>
      </c>
      <c r="G217" s="89">
        <v>11445.46</v>
      </c>
      <c r="H217" s="90">
        <v>0.13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2">
        <v>6867.28</v>
      </c>
      <c r="BU217" s="91">
        <v>60</v>
      </c>
      <c r="BV217" s="91">
        <v>60</v>
      </c>
      <c r="BW217" s="92">
        <v>4578.18</v>
      </c>
      <c r="BX217" s="91">
        <v>40</v>
      </c>
      <c r="BY217" s="93">
        <v>100</v>
      </c>
      <c r="BZ217" s="94"/>
      <c r="CA217" s="94"/>
      <c r="CB217" s="93">
        <v>100</v>
      </c>
      <c r="CC217" s="94"/>
      <c r="CD217" s="94"/>
      <c r="CE217" s="988">
        <v>100</v>
      </c>
      <c r="CF217" s="406"/>
      <c r="CG217" s="406"/>
      <c r="CH217" s="407"/>
      <c r="CI217" s="406"/>
      <c r="CJ217" s="406"/>
      <c r="CK217" s="407"/>
      <c r="CL217" s="406"/>
      <c r="CM217" s="406"/>
      <c r="CN217" s="406"/>
      <c r="CO217" s="473"/>
      <c r="CP217" s="467"/>
      <c r="CQ217" s="407"/>
      <c r="CR217" s="406"/>
      <c r="CS217" s="406"/>
      <c r="CT217" s="407"/>
      <c r="CU217" s="406"/>
      <c r="CV217" s="406"/>
      <c r="CW217" s="407"/>
      <c r="CX217" s="467"/>
      <c r="CY217" s="467"/>
      <c r="CZ217" s="406"/>
      <c r="DA217" s="407"/>
      <c r="DB217" s="467"/>
      <c r="DC217" s="467"/>
      <c r="DD217" s="467"/>
      <c r="DE217" s="467"/>
      <c r="DF217" s="407"/>
    </row>
    <row r="218" spans="1:110" ht="8.4499999999999993" customHeight="1" x14ac:dyDescent="0.2">
      <c r="A218" s="130" t="s">
        <v>653</v>
      </c>
      <c r="B218" s="104">
        <v>203</v>
      </c>
      <c r="C218" s="82" t="s">
        <v>2536</v>
      </c>
      <c r="D218" s="96">
        <v>30</v>
      </c>
      <c r="E218" s="82" t="s">
        <v>2033</v>
      </c>
      <c r="F218" s="82" t="s">
        <v>2178</v>
      </c>
      <c r="G218" s="97">
        <v>11445.46</v>
      </c>
      <c r="H218" s="98">
        <v>0.13</v>
      </c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101">
        <v>6867.28</v>
      </c>
      <c r="BU218" s="102">
        <v>60</v>
      </c>
      <c r="BV218" s="102">
        <v>60</v>
      </c>
      <c r="BW218" s="101">
        <v>4578.18</v>
      </c>
      <c r="BX218" s="102">
        <v>40</v>
      </c>
      <c r="BY218" s="100">
        <v>100</v>
      </c>
      <c r="BZ218" s="99"/>
      <c r="CA218" s="99"/>
      <c r="CB218" s="100">
        <v>100</v>
      </c>
      <c r="CC218" s="99"/>
      <c r="CD218" s="99"/>
      <c r="CE218" s="989">
        <v>100</v>
      </c>
      <c r="CF218" s="460"/>
      <c r="CG218" s="460"/>
      <c r="CH218" s="405"/>
      <c r="CI218" s="460"/>
      <c r="CJ218" s="460"/>
      <c r="CK218" s="405"/>
      <c r="CL218" s="460"/>
      <c r="CM218" s="460"/>
      <c r="CN218" s="460"/>
      <c r="CO218" s="464"/>
      <c r="CP218" s="464"/>
      <c r="CQ218" s="404"/>
      <c r="CR218" s="403"/>
      <c r="CS218" s="462"/>
      <c r="CT218" s="404"/>
      <c r="CU218" s="403"/>
      <c r="CV218" s="404"/>
      <c r="CW218" s="405"/>
      <c r="CX218" s="464"/>
      <c r="CY218" s="464"/>
      <c r="CZ218" s="460"/>
      <c r="DA218" s="405"/>
      <c r="DB218" s="464"/>
      <c r="DC218" s="464"/>
      <c r="DD218" s="464"/>
      <c r="DE218" s="464"/>
      <c r="DF218" s="405"/>
    </row>
    <row r="219" spans="1:110" ht="8.4499999999999993" customHeight="1" x14ac:dyDescent="0.2">
      <c r="A219" s="130" t="s">
        <v>1474</v>
      </c>
      <c r="B219" s="103">
        <v>204</v>
      </c>
      <c r="C219" s="87" t="s">
        <v>264</v>
      </c>
      <c r="D219" s="88">
        <v>23</v>
      </c>
      <c r="E219" s="87" t="s">
        <v>2196</v>
      </c>
      <c r="F219" s="87" t="s">
        <v>2195</v>
      </c>
      <c r="G219" s="89">
        <v>14748.53</v>
      </c>
      <c r="H219" s="90">
        <v>0.17</v>
      </c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92">
        <v>7374.27</v>
      </c>
      <c r="BX219" s="91">
        <v>50</v>
      </c>
      <c r="BY219" s="91">
        <v>50</v>
      </c>
      <c r="BZ219" s="92">
        <v>7374.27</v>
      </c>
      <c r="CA219" s="91">
        <v>50</v>
      </c>
      <c r="CB219" s="93">
        <v>100</v>
      </c>
      <c r="CC219" s="94"/>
      <c r="CD219" s="94"/>
      <c r="CE219" s="988">
        <v>100</v>
      </c>
      <c r="CF219" s="406"/>
      <c r="CG219" s="406"/>
      <c r="CH219" s="407"/>
      <c r="CI219" s="406"/>
      <c r="CJ219" s="406"/>
      <c r="CK219" s="407"/>
      <c r="CL219" s="406"/>
      <c r="CM219" s="406"/>
      <c r="CN219" s="406"/>
      <c r="CO219" s="467"/>
      <c r="CP219" s="467"/>
      <c r="CQ219" s="406"/>
      <c r="CR219" s="410"/>
      <c r="CS219" s="409"/>
      <c r="CT219" s="409"/>
      <c r="CU219" s="410"/>
      <c r="CV219" s="409"/>
      <c r="CW219" s="407"/>
      <c r="CX219" s="467"/>
      <c r="CY219" s="467"/>
      <c r="CZ219" s="406"/>
      <c r="DA219" s="407"/>
      <c r="DB219" s="467"/>
      <c r="DC219" s="467"/>
      <c r="DD219" s="467"/>
      <c r="DE219" s="467"/>
      <c r="DF219" s="407"/>
    </row>
    <row r="220" spans="1:110" ht="8.4499999999999993" customHeight="1" x14ac:dyDescent="0.2">
      <c r="A220" s="130" t="s">
        <v>1475</v>
      </c>
      <c r="B220" s="104">
        <v>205</v>
      </c>
      <c r="C220" s="82" t="s">
        <v>2537</v>
      </c>
      <c r="D220" s="96">
        <v>23</v>
      </c>
      <c r="E220" s="82" t="s">
        <v>2196</v>
      </c>
      <c r="F220" s="82" t="s">
        <v>2195</v>
      </c>
      <c r="G220" s="101">
        <v>8030.87</v>
      </c>
      <c r="H220" s="98">
        <v>0.09</v>
      </c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101">
        <v>4015.44</v>
      </c>
      <c r="BX220" s="102">
        <v>50</v>
      </c>
      <c r="BY220" s="102">
        <v>50</v>
      </c>
      <c r="BZ220" s="101">
        <v>4015.44</v>
      </c>
      <c r="CA220" s="102">
        <v>50</v>
      </c>
      <c r="CB220" s="100">
        <v>100</v>
      </c>
      <c r="CC220" s="99"/>
      <c r="CD220" s="99"/>
      <c r="CE220" s="989">
        <v>100</v>
      </c>
      <c r="CF220" s="406"/>
      <c r="CG220" s="406"/>
      <c r="CH220" s="407"/>
      <c r="CI220" s="406"/>
      <c r="CJ220" s="406"/>
      <c r="CK220" s="407"/>
      <c r="CL220" s="406"/>
      <c r="CM220" s="406"/>
      <c r="CN220" s="406"/>
      <c r="CO220" s="467"/>
      <c r="CP220" s="467"/>
      <c r="CQ220" s="407"/>
      <c r="CR220" s="406"/>
      <c r="CS220" s="406"/>
      <c r="CT220" s="407"/>
      <c r="CU220" s="406"/>
      <c r="CV220" s="406"/>
      <c r="CW220" s="407"/>
      <c r="CX220" s="467"/>
      <c r="CY220" s="467"/>
      <c r="CZ220" s="406"/>
      <c r="DA220" s="407"/>
      <c r="DB220" s="467"/>
      <c r="DC220" s="467"/>
      <c r="DD220" s="467"/>
      <c r="DE220" s="467"/>
      <c r="DF220" s="407"/>
    </row>
    <row r="221" spans="1:110" ht="8.4499999999999993" customHeight="1" x14ac:dyDescent="0.2">
      <c r="A221" s="130" t="s">
        <v>1476</v>
      </c>
      <c r="B221" s="104">
        <v>206</v>
      </c>
      <c r="C221" s="82" t="s">
        <v>2538</v>
      </c>
      <c r="D221" s="96">
        <v>23</v>
      </c>
      <c r="E221" s="82" t="s">
        <v>2196</v>
      </c>
      <c r="F221" s="82" t="s">
        <v>2195</v>
      </c>
      <c r="G221" s="101">
        <v>6717.66</v>
      </c>
      <c r="H221" s="98">
        <v>0.08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101">
        <v>3358.83</v>
      </c>
      <c r="BX221" s="102">
        <v>50</v>
      </c>
      <c r="BY221" s="102">
        <v>50</v>
      </c>
      <c r="BZ221" s="101">
        <v>3358.83</v>
      </c>
      <c r="CA221" s="102">
        <v>50</v>
      </c>
      <c r="CB221" s="100">
        <v>100</v>
      </c>
      <c r="CC221" s="99"/>
      <c r="CD221" s="99"/>
      <c r="CE221" s="989">
        <v>100</v>
      </c>
      <c r="CF221" s="406"/>
      <c r="CG221" s="406"/>
      <c r="CH221" s="407"/>
      <c r="CI221" s="406"/>
      <c r="CJ221" s="406"/>
      <c r="CK221" s="407"/>
      <c r="CL221" s="406"/>
      <c r="CM221" s="406"/>
      <c r="CN221" s="406"/>
      <c r="CO221" s="467"/>
      <c r="CP221" s="467"/>
      <c r="CQ221" s="407"/>
      <c r="CR221" s="406"/>
      <c r="CS221" s="406"/>
      <c r="CT221" s="407"/>
      <c r="CU221" s="406"/>
      <c r="CV221" s="406"/>
      <c r="CW221" s="407"/>
      <c r="CX221" s="467"/>
      <c r="CY221" s="467"/>
      <c r="CZ221" s="406"/>
      <c r="DA221" s="407"/>
      <c r="DB221" s="467"/>
      <c r="DC221" s="467"/>
      <c r="DD221" s="467"/>
      <c r="DE221" s="467"/>
      <c r="DF221" s="407"/>
    </row>
    <row r="222" spans="1:110" ht="8.4499999999999993" customHeight="1" x14ac:dyDescent="0.2">
      <c r="A222" s="130" t="s">
        <v>133</v>
      </c>
      <c r="B222" s="103">
        <v>207</v>
      </c>
      <c r="C222" s="87" t="s">
        <v>352</v>
      </c>
      <c r="D222" s="88">
        <v>67</v>
      </c>
      <c r="E222" s="87" t="s">
        <v>2458</v>
      </c>
      <c r="F222" s="87" t="s">
        <v>2181</v>
      </c>
      <c r="G222" s="89">
        <v>43276.78</v>
      </c>
      <c r="H222" s="90">
        <v>0.49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2">
        <v>5336.67</v>
      </c>
      <c r="BL222" s="91">
        <v>12.33</v>
      </c>
      <c r="BM222" s="91">
        <v>12.33</v>
      </c>
      <c r="BN222" s="89">
        <v>21688.41</v>
      </c>
      <c r="BO222" s="91">
        <v>50.12</v>
      </c>
      <c r="BP222" s="91">
        <v>62.45</v>
      </c>
      <c r="BQ222" s="89">
        <v>15685.34</v>
      </c>
      <c r="BR222" s="91">
        <v>36.24</v>
      </c>
      <c r="BS222" s="91">
        <v>98.69</v>
      </c>
      <c r="BT222" s="93">
        <v>566.35</v>
      </c>
      <c r="BU222" s="90">
        <v>1.31</v>
      </c>
      <c r="BV222" s="93">
        <v>100</v>
      </c>
      <c r="BW222" s="94"/>
      <c r="BX222" s="94"/>
      <c r="BY222" s="93">
        <v>100</v>
      </c>
      <c r="BZ222" s="94"/>
      <c r="CA222" s="94"/>
      <c r="CB222" s="93">
        <v>100</v>
      </c>
      <c r="CC222" s="94"/>
      <c r="CD222" s="94"/>
      <c r="CE222" s="988">
        <v>100</v>
      </c>
      <c r="CF222" s="460"/>
      <c r="CG222" s="460"/>
      <c r="CH222" s="405"/>
      <c r="CI222" s="460"/>
      <c r="CJ222" s="460"/>
      <c r="CK222" s="405"/>
      <c r="CL222" s="460"/>
      <c r="CM222" s="460"/>
      <c r="CN222" s="460"/>
      <c r="CO222" s="464"/>
      <c r="CP222" s="464"/>
      <c r="CQ222" s="405"/>
      <c r="CR222" s="460"/>
      <c r="CS222" s="460"/>
      <c r="CT222" s="405"/>
      <c r="CU222" s="460"/>
      <c r="CV222" s="460"/>
      <c r="CW222" s="405"/>
      <c r="CX222" s="464"/>
      <c r="CY222" s="464"/>
      <c r="CZ222" s="460"/>
      <c r="DA222" s="405"/>
      <c r="DB222" s="464"/>
      <c r="DC222" s="464"/>
      <c r="DD222" s="464"/>
      <c r="DE222" s="464"/>
      <c r="DF222" s="405"/>
    </row>
    <row r="223" spans="1:110" ht="8.4499999999999993" customHeight="1" x14ac:dyDescent="0.2">
      <c r="A223" s="130" t="s">
        <v>239</v>
      </c>
      <c r="B223" s="103">
        <v>208</v>
      </c>
      <c r="C223" s="87" t="s">
        <v>353</v>
      </c>
      <c r="D223" s="88">
        <v>67</v>
      </c>
      <c r="E223" s="87" t="s">
        <v>2458</v>
      </c>
      <c r="F223" s="87" t="s">
        <v>2181</v>
      </c>
      <c r="G223" s="89">
        <v>43276.78</v>
      </c>
      <c r="H223" s="90">
        <v>0.49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2">
        <v>5336.67</v>
      </c>
      <c r="BL223" s="91">
        <v>12.33</v>
      </c>
      <c r="BM223" s="91">
        <v>12.33</v>
      </c>
      <c r="BN223" s="89">
        <v>21688.41</v>
      </c>
      <c r="BO223" s="91">
        <v>50.12</v>
      </c>
      <c r="BP223" s="91">
        <v>62.45</v>
      </c>
      <c r="BQ223" s="89">
        <v>15685.34</v>
      </c>
      <c r="BR223" s="91">
        <v>36.24</v>
      </c>
      <c r="BS223" s="91">
        <v>98.69</v>
      </c>
      <c r="BT223" s="93">
        <v>566.35</v>
      </c>
      <c r="BU223" s="90">
        <v>1.31</v>
      </c>
      <c r="BV223" s="93">
        <v>100</v>
      </c>
      <c r="BW223" s="94"/>
      <c r="BX223" s="94"/>
      <c r="BY223" s="93">
        <v>100</v>
      </c>
      <c r="BZ223" s="94"/>
      <c r="CA223" s="94"/>
      <c r="CB223" s="93">
        <v>100</v>
      </c>
      <c r="CC223" s="94"/>
      <c r="CD223" s="94"/>
      <c r="CE223" s="988">
        <v>100</v>
      </c>
      <c r="CF223" s="406"/>
      <c r="CG223" s="406"/>
      <c r="CH223" s="407"/>
      <c r="CI223" s="406"/>
      <c r="CJ223" s="406"/>
      <c r="CK223" s="407"/>
      <c r="CL223" s="406"/>
      <c r="CM223" s="406"/>
      <c r="CN223" s="406"/>
      <c r="CO223" s="467"/>
      <c r="CP223" s="467"/>
      <c r="CQ223" s="407"/>
      <c r="CR223" s="406"/>
      <c r="CS223" s="406"/>
      <c r="CT223" s="407"/>
      <c r="CU223" s="406"/>
      <c r="CV223" s="406"/>
      <c r="CW223" s="407"/>
      <c r="CX223" s="467"/>
      <c r="CY223" s="467"/>
      <c r="CZ223" s="406"/>
      <c r="DA223" s="407"/>
      <c r="DB223" s="467"/>
      <c r="DC223" s="467"/>
      <c r="DD223" s="467"/>
      <c r="DE223" s="467"/>
      <c r="DF223" s="407"/>
    </row>
    <row r="224" spans="1:110" ht="8.4499999999999993" customHeight="1" x14ac:dyDescent="0.2">
      <c r="A224" s="130" t="s">
        <v>240</v>
      </c>
      <c r="B224" s="104">
        <v>209</v>
      </c>
      <c r="C224" s="82" t="s">
        <v>2539</v>
      </c>
      <c r="D224" s="96">
        <v>67</v>
      </c>
      <c r="E224" s="82" t="s">
        <v>2458</v>
      </c>
      <c r="F224" s="82" t="s">
        <v>2181</v>
      </c>
      <c r="G224" s="97">
        <v>18571.78</v>
      </c>
      <c r="H224" s="98">
        <v>0.21</v>
      </c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101">
        <v>2650.19</v>
      </c>
      <c r="BL224" s="102">
        <v>14.27</v>
      </c>
      <c r="BM224" s="102">
        <v>14.27</v>
      </c>
      <c r="BN224" s="101">
        <v>9306.32</v>
      </c>
      <c r="BO224" s="102">
        <v>50.11</v>
      </c>
      <c r="BP224" s="102">
        <v>64.38</v>
      </c>
      <c r="BQ224" s="101">
        <v>6275.4</v>
      </c>
      <c r="BR224" s="102">
        <v>33.79</v>
      </c>
      <c r="BS224" s="102">
        <v>98.17</v>
      </c>
      <c r="BT224" s="100">
        <v>339.86</v>
      </c>
      <c r="BU224" s="98">
        <v>1.83</v>
      </c>
      <c r="BV224" s="100">
        <v>100</v>
      </c>
      <c r="BW224" s="99"/>
      <c r="BX224" s="99"/>
      <c r="BY224" s="100">
        <v>100</v>
      </c>
      <c r="BZ224" s="99"/>
      <c r="CA224" s="99"/>
      <c r="CB224" s="100">
        <v>100</v>
      </c>
      <c r="CC224" s="99"/>
      <c r="CD224" s="99"/>
      <c r="CE224" s="989">
        <v>100</v>
      </c>
      <c r="CF224" s="460"/>
      <c r="CG224" s="460"/>
      <c r="CH224" s="405"/>
      <c r="CI224" s="460"/>
      <c r="CJ224" s="460"/>
      <c r="CK224" s="405"/>
      <c r="CL224" s="460"/>
      <c r="CM224" s="460"/>
      <c r="CN224" s="460"/>
      <c r="CO224" s="467"/>
      <c r="CP224" s="467"/>
      <c r="CQ224" s="407"/>
      <c r="CR224" s="406"/>
      <c r="CS224" s="406"/>
      <c r="CT224" s="407"/>
      <c r="CU224" s="406"/>
      <c r="CV224" s="406"/>
      <c r="CW224" s="407"/>
      <c r="CX224" s="467"/>
      <c r="CY224" s="467"/>
      <c r="CZ224" s="406"/>
      <c r="DA224" s="407"/>
      <c r="DB224" s="467"/>
      <c r="DC224" s="467"/>
      <c r="DD224" s="467"/>
      <c r="DE224" s="467"/>
      <c r="DF224" s="407"/>
    </row>
    <row r="225" spans="1:110" ht="8.4499999999999993" customHeight="1" x14ac:dyDescent="0.2">
      <c r="A225" s="130" t="s">
        <v>241</v>
      </c>
      <c r="B225" s="104">
        <v>210</v>
      </c>
      <c r="C225" s="82" t="s">
        <v>2540</v>
      </c>
      <c r="D225" s="96">
        <v>18</v>
      </c>
      <c r="E225" s="82" t="s">
        <v>2174</v>
      </c>
      <c r="F225" s="82" t="s">
        <v>2185</v>
      </c>
      <c r="G225" s="97">
        <v>12418.4</v>
      </c>
      <c r="H225" s="98">
        <v>0.14000000000000001</v>
      </c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101">
        <v>6209.2</v>
      </c>
      <c r="BO225" s="102">
        <v>50</v>
      </c>
      <c r="BP225" s="102">
        <v>50</v>
      </c>
      <c r="BQ225" s="101">
        <v>6209.2</v>
      </c>
      <c r="BR225" s="102">
        <v>50</v>
      </c>
      <c r="BS225" s="100">
        <v>100</v>
      </c>
      <c r="BT225" s="99"/>
      <c r="BU225" s="99"/>
      <c r="BV225" s="100">
        <v>100</v>
      </c>
      <c r="BW225" s="99"/>
      <c r="BX225" s="99"/>
      <c r="BY225" s="100">
        <v>100</v>
      </c>
      <c r="BZ225" s="99"/>
      <c r="CA225" s="99"/>
      <c r="CB225" s="100">
        <v>100</v>
      </c>
      <c r="CC225" s="99"/>
      <c r="CD225" s="99"/>
      <c r="CE225" s="989">
        <v>100</v>
      </c>
      <c r="CF225" s="460"/>
      <c r="CG225" s="460"/>
      <c r="CH225" s="405"/>
      <c r="CI225" s="460"/>
      <c r="CJ225" s="460"/>
      <c r="CK225" s="405"/>
      <c r="CL225" s="460"/>
      <c r="CM225" s="460"/>
      <c r="CN225" s="460"/>
      <c r="CO225" s="467"/>
      <c r="CP225" s="467"/>
      <c r="CQ225" s="407"/>
      <c r="CR225" s="406"/>
      <c r="CS225" s="406"/>
      <c r="CT225" s="407"/>
      <c r="CU225" s="406"/>
      <c r="CV225" s="406"/>
      <c r="CW225" s="407"/>
      <c r="CX225" s="467"/>
      <c r="CY225" s="467"/>
      <c r="CZ225" s="406"/>
      <c r="DA225" s="407"/>
      <c r="DB225" s="467"/>
      <c r="DC225" s="467"/>
      <c r="DD225" s="467"/>
      <c r="DE225" s="467"/>
      <c r="DF225" s="407"/>
    </row>
    <row r="226" spans="1:110" ht="8.4499999999999993" customHeight="1" x14ac:dyDescent="0.2">
      <c r="A226" s="130" t="s">
        <v>656</v>
      </c>
      <c r="B226" s="104">
        <v>211</v>
      </c>
      <c r="C226" s="82" t="s">
        <v>2541</v>
      </c>
      <c r="D226" s="96">
        <v>67</v>
      </c>
      <c r="E226" s="82" t="s">
        <v>2458</v>
      </c>
      <c r="F226" s="82" t="s">
        <v>2181</v>
      </c>
      <c r="G226" s="101">
        <v>9556.6</v>
      </c>
      <c r="H226" s="98">
        <v>0.11</v>
      </c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101">
        <v>1776.57</v>
      </c>
      <c r="BL226" s="102">
        <v>18.59</v>
      </c>
      <c r="BM226" s="102">
        <v>18.59</v>
      </c>
      <c r="BN226" s="101">
        <v>4580.4799999999996</v>
      </c>
      <c r="BO226" s="102">
        <v>47.93</v>
      </c>
      <c r="BP226" s="102">
        <v>66.52</v>
      </c>
      <c r="BQ226" s="101">
        <v>2973.06</v>
      </c>
      <c r="BR226" s="102">
        <v>31.11</v>
      </c>
      <c r="BS226" s="102">
        <v>97.63</v>
      </c>
      <c r="BT226" s="100">
        <v>226.49</v>
      </c>
      <c r="BU226" s="98">
        <v>2.37</v>
      </c>
      <c r="BV226" s="100">
        <v>100</v>
      </c>
      <c r="BW226" s="99"/>
      <c r="BX226" s="99"/>
      <c r="BY226" s="100">
        <v>100</v>
      </c>
      <c r="BZ226" s="99"/>
      <c r="CA226" s="99"/>
      <c r="CB226" s="100">
        <v>100</v>
      </c>
      <c r="CC226" s="99"/>
      <c r="CD226" s="99"/>
      <c r="CE226" s="989">
        <v>100</v>
      </c>
      <c r="CF226" s="406"/>
      <c r="CG226" s="406"/>
      <c r="CH226" s="407"/>
      <c r="CI226" s="406"/>
      <c r="CJ226" s="406"/>
      <c r="CK226" s="407"/>
      <c r="CL226" s="406"/>
      <c r="CM226" s="406"/>
      <c r="CN226" s="406"/>
      <c r="CO226" s="474"/>
      <c r="CP226" s="464"/>
      <c r="CQ226" s="404"/>
      <c r="CR226" s="403"/>
      <c r="CS226" s="462"/>
      <c r="CT226" s="405"/>
      <c r="CU226" s="460"/>
      <c r="CV226" s="460"/>
      <c r="CW226" s="405"/>
      <c r="CX226" s="464"/>
      <c r="CY226" s="464"/>
      <c r="CZ226" s="460"/>
      <c r="DA226" s="405"/>
      <c r="DB226" s="464"/>
      <c r="DC226" s="464"/>
      <c r="DD226" s="464"/>
      <c r="DE226" s="464"/>
      <c r="DF226" s="405"/>
    </row>
    <row r="227" spans="1:110" ht="8.4499999999999993" customHeight="1" x14ac:dyDescent="0.2">
      <c r="A227" s="130" t="s">
        <v>657</v>
      </c>
      <c r="B227" s="104">
        <v>212</v>
      </c>
      <c r="C227" s="82" t="s">
        <v>2542</v>
      </c>
      <c r="D227" s="96">
        <v>44</v>
      </c>
      <c r="E227" s="82" t="s">
        <v>2458</v>
      </c>
      <c r="F227" s="82" t="s">
        <v>2543</v>
      </c>
      <c r="G227" s="101">
        <v>2730</v>
      </c>
      <c r="H227" s="98">
        <v>0.03</v>
      </c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100">
        <v>909.91</v>
      </c>
      <c r="BL227" s="102">
        <v>33.33</v>
      </c>
      <c r="BM227" s="102">
        <v>33.33</v>
      </c>
      <c r="BN227" s="101">
        <v>1592.41</v>
      </c>
      <c r="BO227" s="102">
        <v>58.33</v>
      </c>
      <c r="BP227" s="102">
        <v>91.66</v>
      </c>
      <c r="BQ227" s="100">
        <v>227.68</v>
      </c>
      <c r="BR227" s="98">
        <v>8.34</v>
      </c>
      <c r="BS227" s="100">
        <v>100</v>
      </c>
      <c r="BT227" s="99"/>
      <c r="BU227" s="99"/>
      <c r="BV227" s="100">
        <v>100</v>
      </c>
      <c r="BW227" s="99"/>
      <c r="BX227" s="99"/>
      <c r="BY227" s="100">
        <v>100</v>
      </c>
      <c r="BZ227" s="99"/>
      <c r="CA227" s="99"/>
      <c r="CB227" s="100">
        <v>100</v>
      </c>
      <c r="CC227" s="99"/>
      <c r="CD227" s="99"/>
      <c r="CE227" s="989">
        <v>100</v>
      </c>
      <c r="CF227" s="406"/>
      <c r="CG227" s="406"/>
      <c r="CH227" s="407"/>
      <c r="CI227" s="406"/>
      <c r="CJ227" s="406"/>
      <c r="CK227" s="407"/>
      <c r="CL227" s="406"/>
      <c r="CM227" s="406"/>
      <c r="CN227" s="406"/>
      <c r="CO227" s="473"/>
      <c r="CP227" s="467"/>
      <c r="CQ227" s="407"/>
      <c r="CR227" s="406"/>
      <c r="CS227" s="406"/>
      <c r="CT227" s="407"/>
      <c r="CU227" s="406"/>
      <c r="CV227" s="406"/>
      <c r="CW227" s="407"/>
      <c r="CX227" s="467"/>
      <c r="CY227" s="467"/>
      <c r="CZ227" s="406"/>
      <c r="DA227" s="407"/>
      <c r="DB227" s="467"/>
      <c r="DC227" s="467"/>
      <c r="DD227" s="467"/>
      <c r="DE227" s="467"/>
      <c r="DF227" s="407"/>
    </row>
    <row r="228" spans="1:110" ht="8.4499999999999993" customHeight="1" x14ac:dyDescent="0.2">
      <c r="A228" s="130" t="s">
        <v>134</v>
      </c>
      <c r="B228" s="103">
        <v>213</v>
      </c>
      <c r="C228" s="87" t="s">
        <v>59</v>
      </c>
      <c r="D228" s="103">
        <v>153</v>
      </c>
      <c r="E228" s="87" t="s">
        <v>2491</v>
      </c>
      <c r="F228" s="87" t="s">
        <v>2476</v>
      </c>
      <c r="G228" s="105">
        <v>385076.31</v>
      </c>
      <c r="H228" s="90">
        <v>4.38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89">
        <v>28448.06</v>
      </c>
      <c r="AT228" s="90">
        <v>7.39</v>
      </c>
      <c r="AU228" s="90">
        <v>7.39</v>
      </c>
      <c r="AV228" s="89">
        <v>56896.58</v>
      </c>
      <c r="AW228" s="91">
        <v>14.78</v>
      </c>
      <c r="AX228" s="91">
        <v>22.16</v>
      </c>
      <c r="AY228" s="89">
        <v>56896.58</v>
      </c>
      <c r="AZ228" s="91">
        <v>14.78</v>
      </c>
      <c r="BA228" s="91">
        <v>36.94</v>
      </c>
      <c r="BB228" s="89">
        <v>77493.08</v>
      </c>
      <c r="BC228" s="91">
        <v>20.12</v>
      </c>
      <c r="BD228" s="91">
        <v>57.06</v>
      </c>
      <c r="BE228" s="89">
        <v>86734.1</v>
      </c>
      <c r="BF228" s="91">
        <v>22.52</v>
      </c>
      <c r="BG228" s="91">
        <v>79.59</v>
      </c>
      <c r="BH228" s="89">
        <v>61926.34</v>
      </c>
      <c r="BI228" s="91">
        <v>16.079999999999998</v>
      </c>
      <c r="BJ228" s="91">
        <v>95.67</v>
      </c>
      <c r="BK228" s="89">
        <v>13164.37</v>
      </c>
      <c r="BL228" s="90">
        <v>3.42</v>
      </c>
      <c r="BM228" s="91">
        <v>99.09</v>
      </c>
      <c r="BN228" s="92">
        <v>3517.2</v>
      </c>
      <c r="BO228" s="90">
        <v>0.91</v>
      </c>
      <c r="BP228" s="93">
        <v>100</v>
      </c>
      <c r="BQ228" s="94"/>
      <c r="BR228" s="94"/>
      <c r="BS228" s="93">
        <v>100</v>
      </c>
      <c r="BT228" s="94"/>
      <c r="BU228" s="94"/>
      <c r="BV228" s="93">
        <v>100</v>
      </c>
      <c r="BW228" s="94"/>
      <c r="BX228" s="94"/>
      <c r="BY228" s="93">
        <v>100</v>
      </c>
      <c r="BZ228" s="94"/>
      <c r="CA228" s="94"/>
      <c r="CB228" s="93">
        <v>100</v>
      </c>
      <c r="CC228" s="94"/>
      <c r="CD228" s="94"/>
      <c r="CE228" s="988">
        <v>100</v>
      </c>
      <c r="CF228" s="406"/>
      <c r="CG228" s="406"/>
      <c r="CH228" s="407"/>
      <c r="CI228" s="406"/>
      <c r="CJ228" s="406"/>
      <c r="CK228" s="407"/>
      <c r="CL228" s="406"/>
      <c r="CM228" s="406"/>
      <c r="CN228" s="406"/>
      <c r="CO228" s="469"/>
      <c r="CP228" s="467"/>
      <c r="CQ228" s="407"/>
      <c r="CR228" s="406"/>
      <c r="CS228" s="406"/>
      <c r="CT228" s="407"/>
      <c r="CU228" s="406"/>
      <c r="CV228" s="406"/>
      <c r="CW228" s="407"/>
      <c r="CX228" s="467"/>
      <c r="CY228" s="467"/>
      <c r="CZ228" s="406"/>
      <c r="DA228" s="407"/>
      <c r="DB228" s="467"/>
      <c r="DC228" s="467"/>
      <c r="DD228" s="467"/>
      <c r="DE228" s="467"/>
      <c r="DF228" s="407"/>
    </row>
    <row r="229" spans="1:110" ht="8.4499999999999993" customHeight="1" x14ac:dyDescent="0.2">
      <c r="A229" s="130" t="s">
        <v>135</v>
      </c>
      <c r="B229" s="103">
        <v>214</v>
      </c>
      <c r="C229" s="87" t="s">
        <v>1580</v>
      </c>
      <c r="D229" s="103">
        <v>153</v>
      </c>
      <c r="E229" s="87" t="s">
        <v>2491</v>
      </c>
      <c r="F229" s="87" t="s">
        <v>2476</v>
      </c>
      <c r="G229" s="89">
        <v>10117.76</v>
      </c>
      <c r="H229" s="90">
        <v>0.12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3">
        <v>490.48</v>
      </c>
      <c r="AT229" s="90">
        <v>4.8499999999999996</v>
      </c>
      <c r="AU229" s="90">
        <v>4.8499999999999996</v>
      </c>
      <c r="AV229" s="93">
        <v>980.15</v>
      </c>
      <c r="AW229" s="90">
        <v>9.69</v>
      </c>
      <c r="AX229" s="91">
        <v>14.54</v>
      </c>
      <c r="AY229" s="93">
        <v>980.15</v>
      </c>
      <c r="AZ229" s="90">
        <v>9.69</v>
      </c>
      <c r="BA229" s="91">
        <v>24.22</v>
      </c>
      <c r="BB229" s="92">
        <v>3845.59</v>
      </c>
      <c r="BC229" s="91">
        <v>38.01</v>
      </c>
      <c r="BD229" s="91">
        <v>62.23</v>
      </c>
      <c r="BE229" s="92">
        <v>1663.42</v>
      </c>
      <c r="BF229" s="91">
        <v>16.440000000000001</v>
      </c>
      <c r="BG229" s="91">
        <v>78.67</v>
      </c>
      <c r="BH229" s="93">
        <v>758.09</v>
      </c>
      <c r="BI229" s="90">
        <v>7.49</v>
      </c>
      <c r="BJ229" s="91">
        <v>86.16</v>
      </c>
      <c r="BK229" s="93">
        <v>699.53</v>
      </c>
      <c r="BL229" s="90">
        <v>6.91</v>
      </c>
      <c r="BM229" s="91">
        <v>93.08</v>
      </c>
      <c r="BN229" s="93">
        <v>700.34</v>
      </c>
      <c r="BO229" s="90">
        <v>6.92</v>
      </c>
      <c r="BP229" s="93">
        <v>100</v>
      </c>
      <c r="BQ229" s="94"/>
      <c r="BR229" s="94"/>
      <c r="BS229" s="93">
        <v>100</v>
      </c>
      <c r="BT229" s="94"/>
      <c r="BU229" s="94"/>
      <c r="BV229" s="93">
        <v>100</v>
      </c>
      <c r="BW229" s="94"/>
      <c r="BX229" s="94"/>
      <c r="BY229" s="93">
        <v>100</v>
      </c>
      <c r="BZ229" s="94"/>
      <c r="CA229" s="94"/>
      <c r="CB229" s="93">
        <v>100</v>
      </c>
      <c r="CC229" s="94"/>
      <c r="CD229" s="94"/>
      <c r="CE229" s="988">
        <v>100</v>
      </c>
      <c r="CF229" s="406"/>
      <c r="CG229" s="406"/>
      <c r="CH229" s="407"/>
      <c r="CI229" s="406"/>
      <c r="CJ229" s="406"/>
      <c r="CK229" s="407"/>
      <c r="CL229" s="406"/>
      <c r="CM229" s="406"/>
      <c r="CN229" s="406"/>
      <c r="CO229" s="468"/>
      <c r="CP229" s="467"/>
      <c r="CQ229" s="407"/>
      <c r="CR229" s="406"/>
      <c r="CS229" s="406"/>
      <c r="CT229" s="407"/>
      <c r="CU229" s="406"/>
      <c r="CV229" s="406"/>
      <c r="CW229" s="407"/>
      <c r="CX229" s="467"/>
      <c r="CY229" s="467"/>
      <c r="CZ229" s="406"/>
      <c r="DA229" s="407"/>
      <c r="DB229" s="467"/>
      <c r="DC229" s="467"/>
      <c r="DD229" s="467"/>
      <c r="DE229" s="467"/>
      <c r="DF229" s="407"/>
    </row>
    <row r="230" spans="1:110" ht="16.899999999999999" customHeight="1" x14ac:dyDescent="0.2">
      <c r="A230" s="130" t="s">
        <v>136</v>
      </c>
      <c r="B230" s="104">
        <v>215</v>
      </c>
      <c r="C230" s="82" t="s">
        <v>2544</v>
      </c>
      <c r="D230" s="104">
        <v>153</v>
      </c>
      <c r="E230" s="82" t="s">
        <v>2491</v>
      </c>
      <c r="F230" s="82" t="s">
        <v>2476</v>
      </c>
      <c r="G230" s="101">
        <v>8134.06</v>
      </c>
      <c r="H230" s="98">
        <v>0.09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100">
        <v>490.48</v>
      </c>
      <c r="AT230" s="98">
        <v>6.03</v>
      </c>
      <c r="AU230" s="98">
        <v>6.03</v>
      </c>
      <c r="AV230" s="100">
        <v>980.15</v>
      </c>
      <c r="AW230" s="102">
        <v>12.05</v>
      </c>
      <c r="AX230" s="102">
        <v>18.079999999999998</v>
      </c>
      <c r="AY230" s="100">
        <v>980.15</v>
      </c>
      <c r="AZ230" s="102">
        <v>12.05</v>
      </c>
      <c r="BA230" s="102">
        <v>30.13</v>
      </c>
      <c r="BB230" s="101">
        <v>1861.89</v>
      </c>
      <c r="BC230" s="102">
        <v>22.89</v>
      </c>
      <c r="BD230" s="102">
        <v>53.02</v>
      </c>
      <c r="BE230" s="101">
        <v>1663.42</v>
      </c>
      <c r="BF230" s="102">
        <v>20.45</v>
      </c>
      <c r="BG230" s="102">
        <v>73.47</v>
      </c>
      <c r="BH230" s="100">
        <v>758.09</v>
      </c>
      <c r="BI230" s="98">
        <v>9.32</v>
      </c>
      <c r="BJ230" s="102">
        <v>82.79</v>
      </c>
      <c r="BK230" s="100">
        <v>699.53</v>
      </c>
      <c r="BL230" s="98">
        <v>8.6</v>
      </c>
      <c r="BM230" s="102">
        <v>91.39</v>
      </c>
      <c r="BN230" s="100">
        <v>700.34</v>
      </c>
      <c r="BO230" s="98">
        <v>8.61</v>
      </c>
      <c r="BP230" s="100">
        <v>100</v>
      </c>
      <c r="BQ230" s="99"/>
      <c r="BR230" s="99"/>
      <c r="BS230" s="100">
        <v>100</v>
      </c>
      <c r="BT230" s="99"/>
      <c r="BU230" s="99"/>
      <c r="BV230" s="100">
        <v>100</v>
      </c>
      <c r="BW230" s="99"/>
      <c r="BX230" s="99"/>
      <c r="BY230" s="100">
        <v>100</v>
      </c>
      <c r="BZ230" s="99"/>
      <c r="CA230" s="99"/>
      <c r="CB230" s="100">
        <v>100</v>
      </c>
      <c r="CC230" s="99"/>
      <c r="CD230" s="99"/>
      <c r="CE230" s="989">
        <v>100</v>
      </c>
      <c r="CF230" s="406"/>
      <c r="CG230" s="406"/>
      <c r="CH230" s="407"/>
      <c r="CI230" s="406"/>
      <c r="CJ230" s="406"/>
      <c r="CK230" s="407"/>
      <c r="CL230" s="406"/>
      <c r="CM230" s="406"/>
      <c r="CN230" s="406"/>
      <c r="CO230" s="473"/>
      <c r="CP230" s="467"/>
      <c r="CQ230" s="407"/>
      <c r="CR230" s="406"/>
      <c r="CS230" s="406"/>
      <c r="CT230" s="407"/>
      <c r="CU230" s="406"/>
      <c r="CV230" s="406"/>
      <c r="CW230" s="407"/>
      <c r="CX230" s="467"/>
      <c r="CY230" s="467"/>
      <c r="CZ230" s="406"/>
      <c r="DA230" s="407"/>
      <c r="DB230" s="467"/>
      <c r="DC230" s="467"/>
      <c r="DD230" s="467"/>
      <c r="DE230" s="467"/>
      <c r="DF230" s="407"/>
    </row>
    <row r="231" spans="1:110" ht="8.4499999999999993" customHeight="1" x14ac:dyDescent="0.2">
      <c r="A231" s="130" t="s">
        <v>2279</v>
      </c>
      <c r="B231" s="104">
        <v>216</v>
      </c>
      <c r="C231" s="82" t="s">
        <v>2545</v>
      </c>
      <c r="D231" s="96">
        <v>20</v>
      </c>
      <c r="E231" s="82" t="s">
        <v>2172</v>
      </c>
      <c r="F231" s="82" t="s">
        <v>2011</v>
      </c>
      <c r="G231" s="101">
        <v>1983.7</v>
      </c>
      <c r="H231" s="98">
        <v>0.02</v>
      </c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101">
        <v>1983.7</v>
      </c>
      <c r="BC231" s="100">
        <v>100</v>
      </c>
      <c r="BD231" s="100">
        <v>100</v>
      </c>
      <c r="BE231" s="99"/>
      <c r="BF231" s="99"/>
      <c r="BG231" s="100">
        <v>100</v>
      </c>
      <c r="BH231" s="99"/>
      <c r="BI231" s="99"/>
      <c r="BJ231" s="100">
        <v>100</v>
      </c>
      <c r="BK231" s="99"/>
      <c r="BL231" s="99"/>
      <c r="BM231" s="100">
        <v>100</v>
      </c>
      <c r="BN231" s="99"/>
      <c r="BO231" s="99"/>
      <c r="BP231" s="100">
        <v>100</v>
      </c>
      <c r="BQ231" s="99"/>
      <c r="BR231" s="99"/>
      <c r="BS231" s="100">
        <v>100</v>
      </c>
      <c r="BT231" s="99"/>
      <c r="BU231" s="99"/>
      <c r="BV231" s="100">
        <v>100</v>
      </c>
      <c r="BW231" s="99"/>
      <c r="BX231" s="99"/>
      <c r="BY231" s="100">
        <v>100</v>
      </c>
      <c r="BZ231" s="99"/>
      <c r="CA231" s="99"/>
      <c r="CB231" s="100">
        <v>100</v>
      </c>
      <c r="CC231" s="99"/>
      <c r="CD231" s="99"/>
      <c r="CE231" s="989">
        <v>100</v>
      </c>
      <c r="CF231" s="460"/>
      <c r="CG231" s="460"/>
      <c r="CH231" s="405"/>
      <c r="CI231" s="460"/>
      <c r="CJ231" s="460"/>
      <c r="CK231" s="405"/>
      <c r="CL231" s="460"/>
      <c r="CM231" s="460"/>
      <c r="CN231" s="460"/>
      <c r="CO231" s="467"/>
      <c r="CP231" s="467"/>
      <c r="CQ231" s="407"/>
      <c r="CR231" s="406"/>
      <c r="CS231" s="406"/>
      <c r="CT231" s="407"/>
      <c r="CU231" s="406"/>
      <c r="CV231" s="406"/>
      <c r="CW231" s="407"/>
      <c r="CX231" s="467"/>
      <c r="CY231" s="467"/>
      <c r="CZ231" s="406"/>
      <c r="DA231" s="407"/>
      <c r="DB231" s="467"/>
      <c r="DC231" s="467"/>
      <c r="DD231" s="467"/>
      <c r="DE231" s="467"/>
      <c r="DF231" s="407"/>
    </row>
    <row r="232" spans="1:110" ht="8.4499999999999993" customHeight="1" x14ac:dyDescent="0.2">
      <c r="A232" s="130" t="s">
        <v>137</v>
      </c>
      <c r="B232" s="103">
        <v>217</v>
      </c>
      <c r="C232" s="87" t="s">
        <v>354</v>
      </c>
      <c r="D232" s="103">
        <v>153</v>
      </c>
      <c r="E232" s="87" t="s">
        <v>2491</v>
      </c>
      <c r="F232" s="87" t="s">
        <v>2476</v>
      </c>
      <c r="G232" s="89">
        <v>66488.11</v>
      </c>
      <c r="H232" s="90">
        <v>0.76</v>
      </c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2">
        <v>2284.21</v>
      </c>
      <c r="AT232" s="90">
        <v>3.44</v>
      </c>
      <c r="AU232" s="90">
        <v>3.44</v>
      </c>
      <c r="AV232" s="92">
        <v>4571.74</v>
      </c>
      <c r="AW232" s="90">
        <v>6.88</v>
      </c>
      <c r="AX232" s="91">
        <v>10.31</v>
      </c>
      <c r="AY232" s="92">
        <v>4571.74</v>
      </c>
      <c r="AZ232" s="90">
        <v>6.88</v>
      </c>
      <c r="BA232" s="91">
        <v>17.190000000000001</v>
      </c>
      <c r="BB232" s="89">
        <v>20243.099999999999</v>
      </c>
      <c r="BC232" s="91">
        <v>30.45</v>
      </c>
      <c r="BD232" s="91">
        <v>47.63</v>
      </c>
      <c r="BE232" s="89">
        <v>25465.15</v>
      </c>
      <c r="BF232" s="91">
        <v>38.299999999999997</v>
      </c>
      <c r="BG232" s="91">
        <v>85.93</v>
      </c>
      <c r="BH232" s="92">
        <v>3718.45</v>
      </c>
      <c r="BI232" s="90">
        <v>5.59</v>
      </c>
      <c r="BJ232" s="91">
        <v>91.53</v>
      </c>
      <c r="BK232" s="92">
        <v>2816.86</v>
      </c>
      <c r="BL232" s="90">
        <v>4.24</v>
      </c>
      <c r="BM232" s="91">
        <v>95.76</v>
      </c>
      <c r="BN232" s="92">
        <v>2816.86</v>
      </c>
      <c r="BO232" s="90">
        <v>4.24</v>
      </c>
      <c r="BP232" s="93">
        <v>100</v>
      </c>
      <c r="BQ232" s="94"/>
      <c r="BR232" s="94"/>
      <c r="BS232" s="93">
        <v>100</v>
      </c>
      <c r="BT232" s="94"/>
      <c r="BU232" s="94"/>
      <c r="BV232" s="93">
        <v>100</v>
      </c>
      <c r="BW232" s="94"/>
      <c r="BX232" s="94"/>
      <c r="BY232" s="93">
        <v>100</v>
      </c>
      <c r="BZ232" s="94"/>
      <c r="CA232" s="94"/>
      <c r="CB232" s="93">
        <v>100</v>
      </c>
      <c r="CC232" s="94"/>
      <c r="CD232" s="94"/>
      <c r="CE232" s="988">
        <v>100</v>
      </c>
      <c r="CF232" s="406"/>
      <c r="CG232" s="406"/>
      <c r="CH232" s="407"/>
      <c r="CI232" s="406"/>
      <c r="CJ232" s="406"/>
      <c r="CK232" s="407"/>
      <c r="CL232" s="406"/>
      <c r="CM232" s="406"/>
      <c r="CN232" s="406"/>
      <c r="CO232" s="468"/>
      <c r="CP232" s="467"/>
      <c r="CQ232" s="407"/>
      <c r="CR232" s="406"/>
      <c r="CS232" s="406"/>
      <c r="CT232" s="407"/>
      <c r="CU232" s="406"/>
      <c r="CV232" s="406"/>
      <c r="CW232" s="407"/>
      <c r="CX232" s="467"/>
      <c r="CY232" s="467"/>
      <c r="CZ232" s="406"/>
      <c r="DA232" s="407"/>
      <c r="DB232" s="467"/>
      <c r="DC232" s="467"/>
      <c r="DD232" s="467"/>
      <c r="DE232" s="467"/>
      <c r="DF232" s="407"/>
    </row>
    <row r="233" spans="1:110" ht="8.4499999999999993" customHeight="1" x14ac:dyDescent="0.2">
      <c r="A233" s="130" t="s">
        <v>138</v>
      </c>
      <c r="B233" s="104">
        <v>218</v>
      </c>
      <c r="C233" s="82" t="s">
        <v>2546</v>
      </c>
      <c r="D233" s="104">
        <v>153</v>
      </c>
      <c r="E233" s="82" t="s">
        <v>2491</v>
      </c>
      <c r="F233" s="82" t="s">
        <v>2476</v>
      </c>
      <c r="G233" s="97">
        <v>11357.34</v>
      </c>
      <c r="H233" s="98">
        <v>0.13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100">
        <v>573.54999999999995</v>
      </c>
      <c r="AT233" s="98">
        <v>5.05</v>
      </c>
      <c r="AU233" s="98">
        <v>5.05</v>
      </c>
      <c r="AV233" s="101">
        <v>1147.0899999999999</v>
      </c>
      <c r="AW233" s="102">
        <v>10.1</v>
      </c>
      <c r="AX233" s="102">
        <v>15.15</v>
      </c>
      <c r="AY233" s="101">
        <v>1147.0899999999999</v>
      </c>
      <c r="AZ233" s="102">
        <v>10.1</v>
      </c>
      <c r="BA233" s="102">
        <v>25.25</v>
      </c>
      <c r="BB233" s="101">
        <v>3034.68</v>
      </c>
      <c r="BC233" s="102">
        <v>26.72</v>
      </c>
      <c r="BD233" s="102">
        <v>51.97</v>
      </c>
      <c r="BE233" s="101">
        <v>2884.76</v>
      </c>
      <c r="BF233" s="102">
        <v>25.4</v>
      </c>
      <c r="BG233" s="102">
        <v>77.37</v>
      </c>
      <c r="BH233" s="100">
        <v>887.01</v>
      </c>
      <c r="BI233" s="98">
        <v>7.81</v>
      </c>
      <c r="BJ233" s="102">
        <v>85.18</v>
      </c>
      <c r="BK233" s="100">
        <v>841.58</v>
      </c>
      <c r="BL233" s="98">
        <v>7.41</v>
      </c>
      <c r="BM233" s="102">
        <v>92.59</v>
      </c>
      <c r="BN233" s="100">
        <v>841.58</v>
      </c>
      <c r="BO233" s="98">
        <v>7.41</v>
      </c>
      <c r="BP233" s="100">
        <v>100</v>
      </c>
      <c r="BQ233" s="99"/>
      <c r="BR233" s="99"/>
      <c r="BS233" s="100">
        <v>100</v>
      </c>
      <c r="BT233" s="99"/>
      <c r="BU233" s="99"/>
      <c r="BV233" s="100">
        <v>100</v>
      </c>
      <c r="BW233" s="99"/>
      <c r="BX233" s="99"/>
      <c r="BY233" s="100">
        <v>100</v>
      </c>
      <c r="BZ233" s="99"/>
      <c r="CA233" s="99"/>
      <c r="CB233" s="100">
        <v>100</v>
      </c>
      <c r="CC233" s="99"/>
      <c r="CD233" s="99"/>
      <c r="CE233" s="989">
        <v>100</v>
      </c>
      <c r="CF233" s="406"/>
      <c r="CG233" s="406"/>
      <c r="CH233" s="407"/>
      <c r="CI233" s="406"/>
      <c r="CJ233" s="406"/>
      <c r="CK233" s="407"/>
      <c r="CL233" s="406"/>
      <c r="CM233" s="406"/>
      <c r="CN233" s="406"/>
      <c r="CO233" s="473"/>
      <c r="CP233" s="467"/>
      <c r="CQ233" s="409"/>
      <c r="CR233" s="407"/>
      <c r="CS233" s="409"/>
      <c r="CT233" s="407"/>
      <c r="CU233" s="406"/>
      <c r="CV233" s="406"/>
      <c r="CW233" s="407"/>
      <c r="CX233" s="467"/>
      <c r="CY233" s="467"/>
      <c r="CZ233" s="406"/>
      <c r="DA233" s="407"/>
      <c r="DB233" s="467"/>
      <c r="DC233" s="467"/>
      <c r="DD233" s="467"/>
      <c r="DE233" s="467"/>
      <c r="DF233" s="407"/>
    </row>
    <row r="234" spans="1:110" ht="8.4499999999999993" customHeight="1" x14ac:dyDescent="0.2">
      <c r="A234" s="130" t="s">
        <v>139</v>
      </c>
      <c r="B234" s="104">
        <v>219</v>
      </c>
      <c r="C234" s="82" t="s">
        <v>2547</v>
      </c>
      <c r="D234" s="96">
        <v>20</v>
      </c>
      <c r="E234" s="82" t="s">
        <v>2499</v>
      </c>
      <c r="F234" s="82" t="s">
        <v>2500</v>
      </c>
      <c r="G234" s="97">
        <v>21879</v>
      </c>
      <c r="H234" s="98">
        <v>0.25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7">
        <v>10939.5</v>
      </c>
      <c r="BC234" s="102">
        <v>50</v>
      </c>
      <c r="BD234" s="102">
        <v>50</v>
      </c>
      <c r="BE234" s="97">
        <v>10939.5</v>
      </c>
      <c r="BF234" s="102">
        <v>50</v>
      </c>
      <c r="BG234" s="100">
        <v>100</v>
      </c>
      <c r="BH234" s="99"/>
      <c r="BI234" s="99"/>
      <c r="BJ234" s="100">
        <v>100</v>
      </c>
      <c r="BK234" s="99"/>
      <c r="BL234" s="99"/>
      <c r="BM234" s="100">
        <v>100</v>
      </c>
      <c r="BN234" s="99"/>
      <c r="BO234" s="99"/>
      <c r="BP234" s="100">
        <v>100</v>
      </c>
      <c r="BQ234" s="99"/>
      <c r="BR234" s="99"/>
      <c r="BS234" s="100">
        <v>100</v>
      </c>
      <c r="BT234" s="99"/>
      <c r="BU234" s="99"/>
      <c r="BV234" s="100">
        <v>100</v>
      </c>
      <c r="BW234" s="99"/>
      <c r="BX234" s="99"/>
      <c r="BY234" s="100">
        <v>100</v>
      </c>
      <c r="BZ234" s="99"/>
      <c r="CA234" s="99"/>
      <c r="CB234" s="100">
        <v>100</v>
      </c>
      <c r="CC234" s="99"/>
      <c r="CD234" s="99"/>
      <c r="CE234" s="989">
        <v>100</v>
      </c>
      <c r="CF234" s="406"/>
      <c r="CG234" s="406"/>
      <c r="CH234" s="407"/>
      <c r="CI234" s="406"/>
      <c r="CJ234" s="406"/>
      <c r="CK234" s="407"/>
      <c r="CL234" s="406"/>
      <c r="CM234" s="406"/>
      <c r="CN234" s="406"/>
      <c r="CO234" s="469"/>
      <c r="CP234" s="467"/>
      <c r="CQ234" s="409"/>
      <c r="CR234" s="407"/>
      <c r="CS234" s="409"/>
      <c r="CT234" s="407"/>
      <c r="CU234" s="406"/>
      <c r="CV234" s="406"/>
      <c r="CW234" s="407"/>
      <c r="CX234" s="467"/>
      <c r="CY234" s="467"/>
      <c r="CZ234" s="406"/>
      <c r="DA234" s="407"/>
      <c r="DB234" s="467"/>
      <c r="DC234" s="467"/>
      <c r="DD234" s="467"/>
      <c r="DE234" s="467"/>
      <c r="DF234" s="407"/>
    </row>
    <row r="235" spans="1:110" ht="8.4499999999999993" customHeight="1" x14ac:dyDescent="0.2">
      <c r="A235" s="130" t="s">
        <v>243</v>
      </c>
      <c r="B235" s="104">
        <v>220</v>
      </c>
      <c r="C235" s="82" t="s">
        <v>2548</v>
      </c>
      <c r="D235" s="104">
        <v>153</v>
      </c>
      <c r="E235" s="82" t="s">
        <v>2491</v>
      </c>
      <c r="F235" s="82" t="s">
        <v>2476</v>
      </c>
      <c r="G235" s="97">
        <v>26549.46</v>
      </c>
      <c r="H235" s="98">
        <v>0.3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101">
        <v>1346.06</v>
      </c>
      <c r="AT235" s="98">
        <v>5.07</v>
      </c>
      <c r="AU235" s="98">
        <v>5.07</v>
      </c>
      <c r="AV235" s="101">
        <v>2694.77</v>
      </c>
      <c r="AW235" s="102">
        <v>10.15</v>
      </c>
      <c r="AX235" s="102">
        <v>15.22</v>
      </c>
      <c r="AY235" s="101">
        <v>2694.77</v>
      </c>
      <c r="AZ235" s="102">
        <v>10.15</v>
      </c>
      <c r="BA235" s="102">
        <v>25.37</v>
      </c>
      <c r="BB235" s="101">
        <v>4975.37</v>
      </c>
      <c r="BC235" s="102">
        <v>18.739999999999998</v>
      </c>
      <c r="BD235" s="102">
        <v>44.11</v>
      </c>
      <c r="BE235" s="101">
        <v>8803.7999999999993</v>
      </c>
      <c r="BF235" s="102">
        <v>33.159999999999997</v>
      </c>
      <c r="BG235" s="102">
        <v>77.27</v>
      </c>
      <c r="BH235" s="101">
        <v>2084.13</v>
      </c>
      <c r="BI235" s="98">
        <v>7.85</v>
      </c>
      <c r="BJ235" s="102">
        <v>85.12</v>
      </c>
      <c r="BK235" s="101">
        <v>1975.28</v>
      </c>
      <c r="BL235" s="98">
        <v>7.44</v>
      </c>
      <c r="BM235" s="102">
        <v>92.56</v>
      </c>
      <c r="BN235" s="101">
        <v>1975.28</v>
      </c>
      <c r="BO235" s="98">
        <v>7.44</v>
      </c>
      <c r="BP235" s="100">
        <v>100</v>
      </c>
      <c r="BQ235" s="99"/>
      <c r="BR235" s="99"/>
      <c r="BS235" s="100">
        <v>100</v>
      </c>
      <c r="BT235" s="99"/>
      <c r="BU235" s="99"/>
      <c r="BV235" s="100">
        <v>100</v>
      </c>
      <c r="BW235" s="99"/>
      <c r="BX235" s="99"/>
      <c r="BY235" s="100">
        <v>100</v>
      </c>
      <c r="BZ235" s="99"/>
      <c r="CA235" s="99"/>
      <c r="CB235" s="100">
        <v>100</v>
      </c>
      <c r="CC235" s="99"/>
      <c r="CD235" s="99"/>
      <c r="CE235" s="989">
        <v>100</v>
      </c>
      <c r="CF235" s="406"/>
      <c r="CG235" s="406"/>
      <c r="CH235" s="407"/>
      <c r="CI235" s="406"/>
      <c r="CJ235" s="406"/>
      <c r="CK235" s="407"/>
      <c r="CL235" s="406"/>
      <c r="CM235" s="406"/>
      <c r="CN235" s="406"/>
      <c r="CO235" s="466"/>
      <c r="CP235" s="464"/>
      <c r="CQ235" s="404"/>
      <c r="CR235" s="411"/>
      <c r="CS235" s="404"/>
      <c r="CT235" s="404"/>
      <c r="CU235" s="411"/>
      <c r="CV235" s="404"/>
      <c r="CW235" s="404"/>
      <c r="CX235" s="465"/>
      <c r="CY235" s="464"/>
      <c r="CZ235" s="462"/>
      <c r="DA235" s="405"/>
      <c r="DB235" s="464"/>
      <c r="DC235" s="464"/>
      <c r="DD235" s="464"/>
      <c r="DE235" s="464"/>
      <c r="DF235" s="405"/>
    </row>
    <row r="236" spans="1:110" ht="8.4499999999999993" customHeight="1" x14ac:dyDescent="0.2">
      <c r="A236" s="130" t="s">
        <v>2282</v>
      </c>
      <c r="B236" s="104">
        <v>221</v>
      </c>
      <c r="C236" s="82" t="s">
        <v>2549</v>
      </c>
      <c r="D236" s="104">
        <v>106</v>
      </c>
      <c r="E236" s="82" t="s">
        <v>2491</v>
      </c>
      <c r="F236" s="82" t="s">
        <v>2175</v>
      </c>
      <c r="G236" s="101">
        <v>6702.31</v>
      </c>
      <c r="H236" s="98">
        <v>0.08</v>
      </c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100">
        <v>364.61</v>
      </c>
      <c r="AT236" s="98">
        <v>5.44</v>
      </c>
      <c r="AU236" s="98">
        <v>5.44</v>
      </c>
      <c r="AV236" s="100">
        <v>729.88</v>
      </c>
      <c r="AW236" s="102">
        <v>10.89</v>
      </c>
      <c r="AX236" s="102">
        <v>16.329999999999998</v>
      </c>
      <c r="AY236" s="100">
        <v>729.88</v>
      </c>
      <c r="AZ236" s="102">
        <v>10.89</v>
      </c>
      <c r="BA236" s="102">
        <v>27.22</v>
      </c>
      <c r="BB236" s="101">
        <v>1293.55</v>
      </c>
      <c r="BC236" s="102">
        <v>19.3</v>
      </c>
      <c r="BD236" s="102">
        <v>46.52</v>
      </c>
      <c r="BE236" s="101">
        <v>2837.09</v>
      </c>
      <c r="BF236" s="102">
        <v>42.33</v>
      </c>
      <c r="BG236" s="102">
        <v>88.85</v>
      </c>
      <c r="BH236" s="100">
        <v>747.31</v>
      </c>
      <c r="BI236" s="102">
        <v>11.15</v>
      </c>
      <c r="BJ236" s="100">
        <v>100</v>
      </c>
      <c r="BK236" s="99"/>
      <c r="BL236" s="99"/>
      <c r="BM236" s="100">
        <v>100</v>
      </c>
      <c r="BN236" s="99"/>
      <c r="BO236" s="99"/>
      <c r="BP236" s="100">
        <v>100</v>
      </c>
      <c r="BQ236" s="99"/>
      <c r="BR236" s="99"/>
      <c r="BS236" s="100">
        <v>100</v>
      </c>
      <c r="BT236" s="99"/>
      <c r="BU236" s="99"/>
      <c r="BV236" s="100">
        <v>100</v>
      </c>
      <c r="BW236" s="99"/>
      <c r="BX236" s="99"/>
      <c r="BY236" s="100">
        <v>100</v>
      </c>
      <c r="BZ236" s="99"/>
      <c r="CA236" s="99"/>
      <c r="CB236" s="100">
        <v>100</v>
      </c>
      <c r="CC236" s="99"/>
      <c r="CD236" s="99"/>
      <c r="CE236" s="989">
        <v>100</v>
      </c>
      <c r="CF236" s="460"/>
      <c r="CG236" s="460"/>
      <c r="CH236" s="405"/>
      <c r="CI236" s="460"/>
      <c r="CJ236" s="460"/>
      <c r="CK236" s="405"/>
      <c r="CL236" s="460"/>
      <c r="CM236" s="460"/>
      <c r="CN236" s="460"/>
      <c r="CO236" s="467"/>
      <c r="CP236" s="467"/>
      <c r="CQ236" s="406"/>
      <c r="CR236" s="406"/>
      <c r="CS236" s="406"/>
      <c r="CT236" s="406"/>
      <c r="CU236" s="406"/>
      <c r="CV236" s="406"/>
      <c r="CW236" s="406"/>
      <c r="CX236" s="470"/>
      <c r="CY236" s="467"/>
      <c r="CZ236" s="407"/>
      <c r="DA236" s="407"/>
      <c r="DB236" s="467"/>
      <c r="DC236" s="467"/>
      <c r="DD236" s="467"/>
      <c r="DE236" s="467"/>
      <c r="DF236" s="407"/>
    </row>
    <row r="237" spans="1:110" ht="8.4499999999999993" customHeight="1" x14ac:dyDescent="0.2">
      <c r="A237" s="130" t="s">
        <v>658</v>
      </c>
      <c r="B237" s="103">
        <v>222</v>
      </c>
      <c r="C237" s="87" t="s">
        <v>841</v>
      </c>
      <c r="D237" s="103">
        <v>106</v>
      </c>
      <c r="E237" s="87" t="s">
        <v>2491</v>
      </c>
      <c r="F237" s="87" t="s">
        <v>2175</v>
      </c>
      <c r="G237" s="105">
        <v>177194.21</v>
      </c>
      <c r="H237" s="90">
        <v>2.0099999999999998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89">
        <v>14587.5</v>
      </c>
      <c r="AT237" s="90">
        <v>8.23</v>
      </c>
      <c r="AU237" s="90">
        <v>8.23</v>
      </c>
      <c r="AV237" s="89">
        <v>29182.03</v>
      </c>
      <c r="AW237" s="91">
        <v>16.47</v>
      </c>
      <c r="AX237" s="91">
        <v>24.7</v>
      </c>
      <c r="AY237" s="89">
        <v>29182.03</v>
      </c>
      <c r="AZ237" s="91">
        <v>16.47</v>
      </c>
      <c r="BA237" s="91">
        <v>41.17</v>
      </c>
      <c r="BB237" s="89">
        <v>31256.09</v>
      </c>
      <c r="BC237" s="91">
        <v>17.64</v>
      </c>
      <c r="BD237" s="91">
        <v>58.81</v>
      </c>
      <c r="BE237" s="89">
        <v>37524.400000000001</v>
      </c>
      <c r="BF237" s="91">
        <v>21.18</v>
      </c>
      <c r="BG237" s="91">
        <v>79.989999999999995</v>
      </c>
      <c r="BH237" s="89">
        <v>35462.17</v>
      </c>
      <c r="BI237" s="91">
        <v>20.010000000000002</v>
      </c>
      <c r="BJ237" s="93">
        <v>100</v>
      </c>
      <c r="BK237" s="94"/>
      <c r="BL237" s="94"/>
      <c r="BM237" s="93">
        <v>100</v>
      </c>
      <c r="BN237" s="94"/>
      <c r="BO237" s="94"/>
      <c r="BP237" s="93">
        <v>100</v>
      </c>
      <c r="BQ237" s="94"/>
      <c r="BR237" s="94"/>
      <c r="BS237" s="93">
        <v>100</v>
      </c>
      <c r="BT237" s="94"/>
      <c r="BU237" s="94"/>
      <c r="BV237" s="93">
        <v>100</v>
      </c>
      <c r="BW237" s="94"/>
      <c r="BX237" s="94"/>
      <c r="BY237" s="93">
        <v>100</v>
      </c>
      <c r="BZ237" s="94"/>
      <c r="CA237" s="94"/>
      <c r="CB237" s="93">
        <v>100</v>
      </c>
      <c r="CC237" s="94"/>
      <c r="CD237" s="94"/>
      <c r="CE237" s="988">
        <v>100</v>
      </c>
      <c r="CF237" s="406"/>
      <c r="CG237" s="406"/>
      <c r="CH237" s="407"/>
      <c r="CI237" s="406"/>
      <c r="CJ237" s="406"/>
      <c r="CK237" s="407"/>
      <c r="CL237" s="406"/>
      <c r="CM237" s="406"/>
      <c r="CN237" s="406"/>
      <c r="CO237" s="467"/>
      <c r="CP237" s="467"/>
      <c r="CQ237" s="407"/>
      <c r="CR237" s="406"/>
      <c r="CS237" s="406"/>
      <c r="CT237" s="407"/>
      <c r="CU237" s="406"/>
      <c r="CV237" s="406"/>
      <c r="CW237" s="407"/>
      <c r="CX237" s="467"/>
      <c r="CY237" s="467"/>
      <c r="CZ237" s="406"/>
      <c r="DA237" s="407"/>
      <c r="DB237" s="467"/>
      <c r="DC237" s="467"/>
      <c r="DD237" s="467"/>
      <c r="DE237" s="467"/>
      <c r="DF237" s="407"/>
    </row>
    <row r="238" spans="1:110" ht="16.899999999999999" customHeight="1" x14ac:dyDescent="0.2">
      <c r="A238" s="130" t="s">
        <v>659</v>
      </c>
      <c r="B238" s="104">
        <v>223</v>
      </c>
      <c r="C238" s="82" t="s">
        <v>2550</v>
      </c>
      <c r="D238" s="104">
        <v>106</v>
      </c>
      <c r="E238" s="82" t="s">
        <v>2491</v>
      </c>
      <c r="F238" s="82" t="s">
        <v>2175</v>
      </c>
      <c r="G238" s="97">
        <v>47949.45</v>
      </c>
      <c r="H238" s="98">
        <v>0.55000000000000004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101">
        <v>4809.33</v>
      </c>
      <c r="AT238" s="102">
        <v>10.029999999999999</v>
      </c>
      <c r="AU238" s="102">
        <v>10.029999999999999</v>
      </c>
      <c r="AV238" s="101">
        <v>9618.66</v>
      </c>
      <c r="AW238" s="102">
        <v>20.059999999999999</v>
      </c>
      <c r="AX238" s="102">
        <v>30.09</v>
      </c>
      <c r="AY238" s="101">
        <v>9618.66</v>
      </c>
      <c r="AZ238" s="102">
        <v>20.059999999999999</v>
      </c>
      <c r="BA238" s="102">
        <v>50.15</v>
      </c>
      <c r="BB238" s="101">
        <v>9139.17</v>
      </c>
      <c r="BC238" s="102">
        <v>19.059999999999999</v>
      </c>
      <c r="BD238" s="102">
        <v>69.209999999999994</v>
      </c>
      <c r="BE238" s="101">
        <v>7715.07</v>
      </c>
      <c r="BF238" s="102">
        <v>16.09</v>
      </c>
      <c r="BG238" s="102">
        <v>85.3</v>
      </c>
      <c r="BH238" s="101">
        <v>7048.57</v>
      </c>
      <c r="BI238" s="102">
        <v>14.7</v>
      </c>
      <c r="BJ238" s="100">
        <v>100</v>
      </c>
      <c r="BK238" s="99"/>
      <c r="BL238" s="99"/>
      <c r="BM238" s="100">
        <v>100</v>
      </c>
      <c r="BN238" s="99"/>
      <c r="BO238" s="99"/>
      <c r="BP238" s="100">
        <v>100</v>
      </c>
      <c r="BQ238" s="99"/>
      <c r="BR238" s="99"/>
      <c r="BS238" s="100">
        <v>100</v>
      </c>
      <c r="BT238" s="99"/>
      <c r="BU238" s="99"/>
      <c r="BV238" s="100">
        <v>100</v>
      </c>
      <c r="BW238" s="99"/>
      <c r="BX238" s="99"/>
      <c r="BY238" s="100">
        <v>100</v>
      </c>
      <c r="BZ238" s="99"/>
      <c r="CA238" s="99"/>
      <c r="CB238" s="100">
        <v>100</v>
      </c>
      <c r="CC238" s="99"/>
      <c r="CD238" s="99"/>
      <c r="CE238" s="989">
        <v>100</v>
      </c>
      <c r="CF238" s="406"/>
      <c r="CG238" s="406"/>
      <c r="CH238" s="407"/>
      <c r="CI238" s="406"/>
      <c r="CJ238" s="406"/>
      <c r="CK238" s="407"/>
      <c r="CL238" s="406"/>
      <c r="CM238" s="406"/>
      <c r="CN238" s="406"/>
      <c r="CO238" s="467"/>
      <c r="CP238" s="467"/>
      <c r="CQ238" s="407"/>
      <c r="CR238" s="406"/>
      <c r="CS238" s="406"/>
      <c r="CT238" s="407"/>
      <c r="CU238" s="406"/>
      <c r="CV238" s="406"/>
      <c r="CW238" s="407"/>
      <c r="CX238" s="467"/>
      <c r="CY238" s="467"/>
      <c r="CZ238" s="406"/>
      <c r="DA238" s="407"/>
      <c r="DB238" s="467"/>
      <c r="DC238" s="467"/>
      <c r="DD238" s="467"/>
      <c r="DE238" s="467"/>
      <c r="DF238" s="407"/>
    </row>
    <row r="239" spans="1:110" ht="8.4499999999999993" customHeight="1" x14ac:dyDescent="0.2">
      <c r="A239" s="130" t="s">
        <v>660</v>
      </c>
      <c r="B239" s="104">
        <v>224</v>
      </c>
      <c r="C239" s="82" t="s">
        <v>2551</v>
      </c>
      <c r="D239" s="104">
        <v>106</v>
      </c>
      <c r="E239" s="82" t="s">
        <v>2491</v>
      </c>
      <c r="F239" s="82" t="s">
        <v>2175</v>
      </c>
      <c r="G239" s="97">
        <v>29832.58</v>
      </c>
      <c r="H239" s="98">
        <v>0.34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101">
        <v>1640.79</v>
      </c>
      <c r="AT239" s="98">
        <v>5.5</v>
      </c>
      <c r="AU239" s="98">
        <v>5.5</v>
      </c>
      <c r="AV239" s="101">
        <v>3284.57</v>
      </c>
      <c r="AW239" s="102">
        <v>11.01</v>
      </c>
      <c r="AX239" s="102">
        <v>16.510000000000002</v>
      </c>
      <c r="AY239" s="101">
        <v>3284.57</v>
      </c>
      <c r="AZ239" s="102">
        <v>11.01</v>
      </c>
      <c r="BA239" s="102">
        <v>27.52</v>
      </c>
      <c r="BB239" s="101">
        <v>4618.08</v>
      </c>
      <c r="BC239" s="102">
        <v>15.48</v>
      </c>
      <c r="BD239" s="102">
        <v>43</v>
      </c>
      <c r="BE239" s="101">
        <v>8624.6</v>
      </c>
      <c r="BF239" s="102">
        <v>28.91</v>
      </c>
      <c r="BG239" s="102">
        <v>71.91</v>
      </c>
      <c r="BH239" s="101">
        <v>8379.9699999999993</v>
      </c>
      <c r="BI239" s="102">
        <v>28.09</v>
      </c>
      <c r="BJ239" s="100">
        <v>100</v>
      </c>
      <c r="BK239" s="99"/>
      <c r="BL239" s="99"/>
      <c r="BM239" s="100">
        <v>100</v>
      </c>
      <c r="BN239" s="99"/>
      <c r="BO239" s="99"/>
      <c r="BP239" s="100">
        <v>100</v>
      </c>
      <c r="BQ239" s="99"/>
      <c r="BR239" s="99"/>
      <c r="BS239" s="100">
        <v>100</v>
      </c>
      <c r="BT239" s="99"/>
      <c r="BU239" s="99"/>
      <c r="BV239" s="100">
        <v>100</v>
      </c>
      <c r="BW239" s="99"/>
      <c r="BX239" s="99"/>
      <c r="BY239" s="100">
        <v>100</v>
      </c>
      <c r="BZ239" s="99"/>
      <c r="CA239" s="99"/>
      <c r="CB239" s="100">
        <v>100</v>
      </c>
      <c r="CC239" s="99"/>
      <c r="CD239" s="99"/>
      <c r="CE239" s="989">
        <v>100</v>
      </c>
      <c r="CF239" s="406"/>
      <c r="CG239" s="406"/>
      <c r="CH239" s="407"/>
      <c r="CI239" s="406"/>
      <c r="CJ239" s="406"/>
      <c r="CK239" s="407"/>
      <c r="CL239" s="406"/>
      <c r="CM239" s="406"/>
      <c r="CN239" s="406"/>
      <c r="CO239" s="473"/>
      <c r="CP239" s="467"/>
      <c r="CQ239" s="407"/>
      <c r="CR239" s="406"/>
      <c r="CS239" s="406"/>
      <c r="CT239" s="407"/>
      <c r="CU239" s="406"/>
      <c r="CV239" s="406"/>
      <c r="CW239" s="407"/>
      <c r="CX239" s="467"/>
      <c r="CY239" s="467"/>
      <c r="CZ239" s="406"/>
      <c r="DA239" s="407"/>
      <c r="DB239" s="467"/>
      <c r="DC239" s="467"/>
      <c r="DD239" s="467"/>
      <c r="DE239" s="467"/>
      <c r="DF239" s="407"/>
    </row>
    <row r="240" spans="1:110" ht="8.4499999999999993" customHeight="1" x14ac:dyDescent="0.2">
      <c r="A240" s="130" t="s">
        <v>2283</v>
      </c>
      <c r="B240" s="104">
        <v>225</v>
      </c>
      <c r="C240" s="82" t="s">
        <v>2552</v>
      </c>
      <c r="D240" s="104">
        <v>106</v>
      </c>
      <c r="E240" s="82" t="s">
        <v>2491</v>
      </c>
      <c r="F240" s="82" t="s">
        <v>2175</v>
      </c>
      <c r="G240" s="97">
        <v>58933.9</v>
      </c>
      <c r="H240" s="98">
        <v>0.67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101">
        <v>5911.07</v>
      </c>
      <c r="AT240" s="102">
        <v>10.029999999999999</v>
      </c>
      <c r="AU240" s="102">
        <v>10.029999999999999</v>
      </c>
      <c r="AV240" s="97">
        <v>11822.14</v>
      </c>
      <c r="AW240" s="102">
        <v>20.059999999999999</v>
      </c>
      <c r="AX240" s="102">
        <v>30.09</v>
      </c>
      <c r="AY240" s="97">
        <v>11822.14</v>
      </c>
      <c r="AZ240" s="102">
        <v>20.059999999999999</v>
      </c>
      <c r="BA240" s="102">
        <v>50.15</v>
      </c>
      <c r="BB240" s="97">
        <v>11232.8</v>
      </c>
      <c r="BC240" s="102">
        <v>19.059999999999999</v>
      </c>
      <c r="BD240" s="102">
        <v>69.209999999999994</v>
      </c>
      <c r="BE240" s="101">
        <v>9482.4599999999991</v>
      </c>
      <c r="BF240" s="102">
        <v>16.09</v>
      </c>
      <c r="BG240" s="102">
        <v>85.3</v>
      </c>
      <c r="BH240" s="101">
        <v>8663.2800000000007</v>
      </c>
      <c r="BI240" s="102">
        <v>14.7</v>
      </c>
      <c r="BJ240" s="100">
        <v>100</v>
      </c>
      <c r="BK240" s="99"/>
      <c r="BL240" s="99"/>
      <c r="BM240" s="100">
        <v>100</v>
      </c>
      <c r="BN240" s="99"/>
      <c r="BO240" s="99"/>
      <c r="BP240" s="100">
        <v>100</v>
      </c>
      <c r="BQ240" s="99"/>
      <c r="BR240" s="99"/>
      <c r="BS240" s="100">
        <v>100</v>
      </c>
      <c r="BT240" s="99"/>
      <c r="BU240" s="99"/>
      <c r="BV240" s="100">
        <v>100</v>
      </c>
      <c r="BW240" s="99"/>
      <c r="BX240" s="99"/>
      <c r="BY240" s="100">
        <v>100</v>
      </c>
      <c r="BZ240" s="99"/>
      <c r="CA240" s="99"/>
      <c r="CB240" s="100">
        <v>100</v>
      </c>
      <c r="CC240" s="99"/>
      <c r="CD240" s="99"/>
      <c r="CE240" s="989">
        <v>100</v>
      </c>
      <c r="CF240" s="406"/>
      <c r="CG240" s="406"/>
      <c r="CH240" s="407"/>
      <c r="CI240" s="406"/>
      <c r="CJ240" s="406"/>
      <c r="CK240" s="407"/>
      <c r="CL240" s="406"/>
      <c r="CM240" s="406"/>
      <c r="CN240" s="406"/>
      <c r="CO240" s="467"/>
      <c r="CP240" s="467"/>
      <c r="CQ240" s="406"/>
      <c r="CR240" s="410"/>
      <c r="CS240" s="409"/>
      <c r="CT240" s="409"/>
      <c r="CU240" s="412"/>
      <c r="CV240" s="409"/>
      <c r="CW240" s="407"/>
      <c r="CX240" s="467"/>
      <c r="CY240" s="467"/>
      <c r="CZ240" s="406"/>
      <c r="DA240" s="407"/>
      <c r="DB240" s="467"/>
      <c r="DC240" s="467"/>
      <c r="DD240" s="467"/>
      <c r="DE240" s="467"/>
      <c r="DF240" s="407"/>
    </row>
    <row r="241" spans="1:110" ht="10.9" customHeight="1" x14ac:dyDescent="0.2">
      <c r="A241" s="130" t="s">
        <v>2284</v>
      </c>
      <c r="B241" s="104">
        <v>226</v>
      </c>
      <c r="C241" s="82" t="s">
        <v>2553</v>
      </c>
      <c r="D241" s="104">
        <v>106</v>
      </c>
      <c r="E241" s="82" t="s">
        <v>2491</v>
      </c>
      <c r="F241" s="82" t="s">
        <v>2175</v>
      </c>
      <c r="G241" s="97">
        <v>40478.28</v>
      </c>
      <c r="H241" s="98">
        <v>0.46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101">
        <v>2226.31</v>
      </c>
      <c r="AT241" s="98">
        <v>5.5</v>
      </c>
      <c r="AU241" s="98">
        <v>5.5</v>
      </c>
      <c r="AV241" s="101">
        <v>4456.66</v>
      </c>
      <c r="AW241" s="102">
        <v>11.01</v>
      </c>
      <c r="AX241" s="102">
        <v>16.510000000000002</v>
      </c>
      <c r="AY241" s="101">
        <v>4456.66</v>
      </c>
      <c r="AZ241" s="102">
        <v>11.01</v>
      </c>
      <c r="BA241" s="102">
        <v>27.52</v>
      </c>
      <c r="BB241" s="101">
        <v>6266.04</v>
      </c>
      <c r="BC241" s="102">
        <v>15.48</v>
      </c>
      <c r="BD241" s="102">
        <v>43</v>
      </c>
      <c r="BE241" s="97">
        <v>11702.27</v>
      </c>
      <c r="BF241" s="102">
        <v>28.91</v>
      </c>
      <c r="BG241" s="102">
        <v>71.91</v>
      </c>
      <c r="BH241" s="97">
        <v>11370.35</v>
      </c>
      <c r="BI241" s="102">
        <v>28.09</v>
      </c>
      <c r="BJ241" s="100">
        <v>100</v>
      </c>
      <c r="BK241" s="99"/>
      <c r="BL241" s="99"/>
      <c r="BM241" s="100">
        <v>100</v>
      </c>
      <c r="BN241" s="99"/>
      <c r="BO241" s="99"/>
      <c r="BP241" s="100">
        <v>100</v>
      </c>
      <c r="BQ241" s="99"/>
      <c r="BR241" s="99"/>
      <c r="BS241" s="100">
        <v>100</v>
      </c>
      <c r="BT241" s="99"/>
      <c r="BU241" s="99"/>
      <c r="BV241" s="100">
        <v>100</v>
      </c>
      <c r="BW241" s="99"/>
      <c r="BX241" s="99"/>
      <c r="BY241" s="100">
        <v>100</v>
      </c>
      <c r="BZ241" s="99"/>
      <c r="CA241" s="99"/>
      <c r="CB241" s="100">
        <v>100</v>
      </c>
      <c r="CC241" s="99"/>
      <c r="CD241" s="99"/>
      <c r="CE241" s="989">
        <v>100</v>
      </c>
      <c r="CF241" s="406"/>
      <c r="CG241" s="406"/>
      <c r="CH241" s="407"/>
      <c r="CI241" s="406"/>
      <c r="CJ241" s="406"/>
      <c r="CK241" s="407"/>
      <c r="CL241" s="406"/>
      <c r="CM241" s="406"/>
      <c r="CN241" s="406"/>
      <c r="CO241" s="467"/>
      <c r="CP241" s="467"/>
      <c r="CQ241" s="406"/>
      <c r="CR241" s="409"/>
      <c r="CS241" s="409"/>
      <c r="CT241" s="409"/>
      <c r="CU241" s="407"/>
      <c r="CV241" s="409"/>
      <c r="CW241" s="407"/>
      <c r="CX241" s="467"/>
      <c r="CY241" s="467"/>
      <c r="CZ241" s="406"/>
      <c r="DA241" s="407"/>
      <c r="DB241" s="467"/>
      <c r="DC241" s="467"/>
      <c r="DD241" s="467"/>
      <c r="DE241" s="467"/>
      <c r="DF241" s="407"/>
    </row>
    <row r="242" spans="1:110" ht="8.4499999999999993" customHeight="1" x14ac:dyDescent="0.2">
      <c r="A242" s="130" t="s">
        <v>661</v>
      </c>
      <c r="B242" s="103">
        <v>227</v>
      </c>
      <c r="C242" s="87" t="s">
        <v>2554</v>
      </c>
      <c r="D242" s="103">
        <v>128</v>
      </c>
      <c r="E242" s="87" t="s">
        <v>2491</v>
      </c>
      <c r="F242" s="87" t="s">
        <v>2177</v>
      </c>
      <c r="G242" s="105">
        <v>131276.23000000001</v>
      </c>
      <c r="H242" s="90">
        <v>1.49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89">
        <v>11085.87</v>
      </c>
      <c r="AT242" s="90">
        <v>8.44</v>
      </c>
      <c r="AU242" s="90">
        <v>8.44</v>
      </c>
      <c r="AV242" s="89">
        <v>22162.66</v>
      </c>
      <c r="AW242" s="91">
        <v>16.88</v>
      </c>
      <c r="AX242" s="91">
        <v>25.33</v>
      </c>
      <c r="AY242" s="89">
        <v>22162.66</v>
      </c>
      <c r="AZ242" s="91">
        <v>16.88</v>
      </c>
      <c r="BA242" s="91">
        <v>42.21</v>
      </c>
      <c r="BB242" s="89">
        <v>22148.31</v>
      </c>
      <c r="BC242" s="91">
        <v>16.87</v>
      </c>
      <c r="BD242" s="91">
        <v>59.08</v>
      </c>
      <c r="BE242" s="89">
        <v>22081.13</v>
      </c>
      <c r="BF242" s="91">
        <v>16.82</v>
      </c>
      <c r="BG242" s="91">
        <v>75.900000000000006</v>
      </c>
      <c r="BH242" s="89">
        <v>21987.62</v>
      </c>
      <c r="BI242" s="91">
        <v>16.75</v>
      </c>
      <c r="BJ242" s="91">
        <v>92.65</v>
      </c>
      <c r="BK242" s="92">
        <v>9647.98</v>
      </c>
      <c r="BL242" s="90">
        <v>7.35</v>
      </c>
      <c r="BM242" s="93">
        <v>100</v>
      </c>
      <c r="BN242" s="94"/>
      <c r="BO242" s="94"/>
      <c r="BP242" s="93">
        <v>100</v>
      </c>
      <c r="BQ242" s="94"/>
      <c r="BR242" s="94"/>
      <c r="BS242" s="93">
        <v>100</v>
      </c>
      <c r="BT242" s="94"/>
      <c r="BU242" s="94"/>
      <c r="BV242" s="93">
        <v>100</v>
      </c>
      <c r="BW242" s="94"/>
      <c r="BX242" s="94"/>
      <c r="BY242" s="93">
        <v>100</v>
      </c>
      <c r="BZ242" s="94"/>
      <c r="CA242" s="94"/>
      <c r="CB242" s="93">
        <v>100</v>
      </c>
      <c r="CC242" s="94"/>
      <c r="CD242" s="94"/>
      <c r="CE242" s="988">
        <v>100</v>
      </c>
      <c r="CF242" s="460"/>
      <c r="CG242" s="460"/>
      <c r="CH242" s="405"/>
      <c r="CI242" s="460"/>
      <c r="CJ242" s="460"/>
      <c r="CK242" s="405"/>
      <c r="CL242" s="460"/>
      <c r="CM242" s="460"/>
      <c r="CN242" s="460"/>
      <c r="CO242" s="467"/>
      <c r="CP242" s="467"/>
      <c r="CQ242" s="407"/>
      <c r="CR242" s="406"/>
      <c r="CS242" s="406"/>
      <c r="CT242" s="407"/>
      <c r="CU242" s="406"/>
      <c r="CV242" s="406"/>
      <c r="CW242" s="407"/>
      <c r="CX242" s="467"/>
      <c r="CY242" s="467"/>
      <c r="CZ242" s="406"/>
      <c r="DA242" s="407"/>
      <c r="DB242" s="467"/>
      <c r="DC242" s="467"/>
      <c r="DD242" s="467"/>
      <c r="DE242" s="467"/>
      <c r="DF242" s="407"/>
    </row>
    <row r="243" spans="1:110" ht="8.4499999999999993" customHeight="1" x14ac:dyDescent="0.2">
      <c r="A243" s="130" t="s">
        <v>662</v>
      </c>
      <c r="B243" s="104">
        <v>228</v>
      </c>
      <c r="C243" s="82" t="s">
        <v>2555</v>
      </c>
      <c r="D243" s="104">
        <v>106</v>
      </c>
      <c r="E243" s="82" t="s">
        <v>2491</v>
      </c>
      <c r="F243" s="82" t="s">
        <v>2175</v>
      </c>
      <c r="G243" s="101">
        <v>4161</v>
      </c>
      <c r="H243" s="98">
        <v>0.05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100">
        <v>311.66000000000003</v>
      </c>
      <c r="AT243" s="98">
        <v>7.49</v>
      </c>
      <c r="AU243" s="98">
        <v>7.49</v>
      </c>
      <c r="AV243" s="100">
        <v>622.9</v>
      </c>
      <c r="AW243" s="102">
        <v>14.97</v>
      </c>
      <c r="AX243" s="102">
        <v>22.46</v>
      </c>
      <c r="AY243" s="100">
        <v>622.9</v>
      </c>
      <c r="AZ243" s="102">
        <v>14.97</v>
      </c>
      <c r="BA243" s="102">
        <v>37.43</v>
      </c>
      <c r="BB243" s="100">
        <v>734.42</v>
      </c>
      <c r="BC243" s="102">
        <v>17.649999999999999</v>
      </c>
      <c r="BD243" s="102">
        <v>55.08</v>
      </c>
      <c r="BE243" s="101">
        <v>1068.1300000000001</v>
      </c>
      <c r="BF243" s="102">
        <v>25.67</v>
      </c>
      <c r="BG243" s="102">
        <v>80.75</v>
      </c>
      <c r="BH243" s="100">
        <v>800.99</v>
      </c>
      <c r="BI243" s="102">
        <v>19.25</v>
      </c>
      <c r="BJ243" s="100">
        <v>100</v>
      </c>
      <c r="BK243" s="99"/>
      <c r="BL243" s="99"/>
      <c r="BM243" s="100">
        <v>100</v>
      </c>
      <c r="BN243" s="99"/>
      <c r="BO243" s="99"/>
      <c r="BP243" s="100">
        <v>100</v>
      </c>
      <c r="BQ243" s="99"/>
      <c r="BR243" s="99"/>
      <c r="BS243" s="100">
        <v>100</v>
      </c>
      <c r="BT243" s="99"/>
      <c r="BU243" s="99"/>
      <c r="BV243" s="100">
        <v>100</v>
      </c>
      <c r="BW243" s="99"/>
      <c r="BX243" s="99"/>
      <c r="BY243" s="100">
        <v>100</v>
      </c>
      <c r="BZ243" s="99"/>
      <c r="CA243" s="99"/>
      <c r="CB243" s="100">
        <v>100</v>
      </c>
      <c r="CC243" s="99"/>
      <c r="CD243" s="99"/>
      <c r="CE243" s="989">
        <v>100</v>
      </c>
      <c r="CF243" s="406"/>
      <c r="CG243" s="406"/>
      <c r="CH243" s="407"/>
      <c r="CI243" s="406"/>
      <c r="CJ243" s="406"/>
      <c r="CK243" s="407"/>
      <c r="CL243" s="406"/>
      <c r="CM243" s="406"/>
      <c r="CN243" s="406"/>
      <c r="CO243" s="467"/>
      <c r="CP243" s="467"/>
      <c r="CQ243" s="407"/>
      <c r="CR243" s="406"/>
      <c r="CS243" s="406"/>
      <c r="CT243" s="407"/>
      <c r="CU243" s="406"/>
      <c r="CV243" s="406"/>
      <c r="CW243" s="407"/>
      <c r="CX243" s="467"/>
      <c r="CY243" s="467"/>
      <c r="CZ243" s="406"/>
      <c r="DA243" s="407"/>
      <c r="DB243" s="467"/>
      <c r="DC243" s="467"/>
      <c r="DD243" s="467"/>
      <c r="DE243" s="467"/>
      <c r="DF243" s="407"/>
    </row>
    <row r="244" spans="1:110" ht="8.4499999999999993" customHeight="1" x14ac:dyDescent="0.2">
      <c r="A244" s="130" t="s">
        <v>663</v>
      </c>
      <c r="B244" s="104">
        <v>229</v>
      </c>
      <c r="C244" s="82" t="s">
        <v>2556</v>
      </c>
      <c r="D244" s="104">
        <v>106</v>
      </c>
      <c r="E244" s="82" t="s">
        <v>2491</v>
      </c>
      <c r="F244" s="82" t="s">
        <v>2175</v>
      </c>
      <c r="G244" s="101">
        <v>2310.38</v>
      </c>
      <c r="H244" s="98">
        <v>0.03</v>
      </c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100">
        <v>130.31</v>
      </c>
      <c r="AT244" s="98">
        <v>5.64</v>
      </c>
      <c r="AU244" s="98">
        <v>5.64</v>
      </c>
      <c r="AV244" s="100">
        <v>260.61</v>
      </c>
      <c r="AW244" s="102">
        <v>11.28</v>
      </c>
      <c r="AX244" s="102">
        <v>16.920000000000002</v>
      </c>
      <c r="AY244" s="100">
        <v>260.61</v>
      </c>
      <c r="AZ244" s="102">
        <v>11.28</v>
      </c>
      <c r="BA244" s="102">
        <v>28.2</v>
      </c>
      <c r="BB244" s="100">
        <v>378.44</v>
      </c>
      <c r="BC244" s="102">
        <v>16.38</v>
      </c>
      <c r="BD244" s="102">
        <v>44.58</v>
      </c>
      <c r="BE244" s="100">
        <v>731.7</v>
      </c>
      <c r="BF244" s="102">
        <v>31.67</v>
      </c>
      <c r="BG244" s="102">
        <v>76.25</v>
      </c>
      <c r="BH244" s="100">
        <v>548.72</v>
      </c>
      <c r="BI244" s="102">
        <v>23.75</v>
      </c>
      <c r="BJ244" s="100">
        <v>100</v>
      </c>
      <c r="BK244" s="99"/>
      <c r="BL244" s="99"/>
      <c r="BM244" s="100">
        <v>100</v>
      </c>
      <c r="BN244" s="99"/>
      <c r="BO244" s="99"/>
      <c r="BP244" s="100">
        <v>100</v>
      </c>
      <c r="BQ244" s="99"/>
      <c r="BR244" s="99"/>
      <c r="BS244" s="100">
        <v>100</v>
      </c>
      <c r="BT244" s="99"/>
      <c r="BU244" s="99"/>
      <c r="BV244" s="100">
        <v>100</v>
      </c>
      <c r="BW244" s="99"/>
      <c r="BX244" s="99"/>
      <c r="BY244" s="100">
        <v>100</v>
      </c>
      <c r="BZ244" s="99"/>
      <c r="CA244" s="99"/>
      <c r="CB244" s="100">
        <v>100</v>
      </c>
      <c r="CC244" s="99"/>
      <c r="CD244" s="99"/>
      <c r="CE244" s="989">
        <v>100</v>
      </c>
      <c r="CF244" s="460"/>
      <c r="CG244" s="460"/>
      <c r="CH244" s="405"/>
      <c r="CI244" s="460"/>
      <c r="CJ244" s="460"/>
      <c r="CK244" s="405"/>
      <c r="CL244" s="460"/>
      <c r="CM244" s="460"/>
      <c r="CN244" s="460"/>
      <c r="CO244" s="467"/>
      <c r="CP244" s="467"/>
      <c r="CQ244" s="406"/>
      <c r="CR244" s="410"/>
      <c r="CS244" s="407"/>
      <c r="CT244" s="407"/>
      <c r="CU244" s="406"/>
      <c r="CV244" s="406"/>
      <c r="CW244" s="407"/>
      <c r="CX244" s="467"/>
      <c r="CY244" s="467"/>
      <c r="CZ244" s="406"/>
      <c r="DA244" s="407"/>
      <c r="DB244" s="467"/>
      <c r="DC244" s="467"/>
      <c r="DD244" s="467"/>
      <c r="DE244" s="467"/>
      <c r="DF244" s="407"/>
    </row>
    <row r="245" spans="1:110" ht="8.4499999999999993" customHeight="1" x14ac:dyDescent="0.2">
      <c r="A245" s="130" t="s">
        <v>1482</v>
      </c>
      <c r="B245" s="104">
        <v>230</v>
      </c>
      <c r="C245" s="82" t="s">
        <v>2557</v>
      </c>
      <c r="D245" s="104">
        <v>128</v>
      </c>
      <c r="E245" s="82" t="s">
        <v>2491</v>
      </c>
      <c r="F245" s="82" t="s">
        <v>2177</v>
      </c>
      <c r="G245" s="97">
        <v>67250.11</v>
      </c>
      <c r="H245" s="98">
        <v>0.76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101">
        <v>6274.44</v>
      </c>
      <c r="AT245" s="98">
        <v>9.33</v>
      </c>
      <c r="AU245" s="98">
        <v>9.33</v>
      </c>
      <c r="AV245" s="97">
        <v>12542.15</v>
      </c>
      <c r="AW245" s="102">
        <v>18.649999999999999</v>
      </c>
      <c r="AX245" s="102">
        <v>27.98</v>
      </c>
      <c r="AY245" s="97">
        <v>12542.15</v>
      </c>
      <c r="AZ245" s="102">
        <v>18.649999999999999</v>
      </c>
      <c r="BA245" s="102">
        <v>46.63</v>
      </c>
      <c r="BB245" s="97">
        <v>11782.22</v>
      </c>
      <c r="BC245" s="102">
        <v>17.52</v>
      </c>
      <c r="BD245" s="102">
        <v>64.150000000000006</v>
      </c>
      <c r="BE245" s="101">
        <v>9488.99</v>
      </c>
      <c r="BF245" s="102">
        <v>14.11</v>
      </c>
      <c r="BG245" s="102">
        <v>78.260000000000005</v>
      </c>
      <c r="BH245" s="101">
        <v>9731.09</v>
      </c>
      <c r="BI245" s="102">
        <v>14.47</v>
      </c>
      <c r="BJ245" s="102">
        <v>92.73</v>
      </c>
      <c r="BK245" s="101">
        <v>4889.08</v>
      </c>
      <c r="BL245" s="98">
        <v>7.27</v>
      </c>
      <c r="BM245" s="100">
        <v>100</v>
      </c>
      <c r="BN245" s="99"/>
      <c r="BO245" s="99"/>
      <c r="BP245" s="100">
        <v>100</v>
      </c>
      <c r="BQ245" s="99"/>
      <c r="BR245" s="99"/>
      <c r="BS245" s="100">
        <v>100</v>
      </c>
      <c r="BT245" s="99"/>
      <c r="BU245" s="99"/>
      <c r="BV245" s="100">
        <v>100</v>
      </c>
      <c r="BW245" s="99"/>
      <c r="BX245" s="99"/>
      <c r="BY245" s="100">
        <v>100</v>
      </c>
      <c r="BZ245" s="99"/>
      <c r="CA245" s="99"/>
      <c r="CB245" s="100">
        <v>100</v>
      </c>
      <c r="CC245" s="99"/>
      <c r="CD245" s="99"/>
      <c r="CE245" s="989">
        <v>100</v>
      </c>
      <c r="CF245" s="406"/>
      <c r="CG245" s="406"/>
      <c r="CH245" s="407"/>
      <c r="CI245" s="406"/>
      <c r="CJ245" s="406"/>
      <c r="CK245" s="407"/>
      <c r="CL245" s="406"/>
      <c r="CM245" s="406"/>
      <c r="CN245" s="406"/>
      <c r="CO245" s="473"/>
      <c r="CP245" s="467"/>
      <c r="CQ245" s="407"/>
      <c r="CR245" s="406"/>
      <c r="CS245" s="406"/>
      <c r="CT245" s="407"/>
      <c r="CU245" s="406"/>
      <c r="CV245" s="406"/>
      <c r="CW245" s="407"/>
      <c r="CX245" s="467"/>
      <c r="CY245" s="467"/>
      <c r="CZ245" s="406"/>
      <c r="DA245" s="407"/>
      <c r="DB245" s="467"/>
      <c r="DC245" s="467"/>
      <c r="DD245" s="467"/>
      <c r="DE245" s="467"/>
      <c r="DF245" s="407"/>
    </row>
    <row r="246" spans="1:110" ht="8.4499999999999993" customHeight="1" x14ac:dyDescent="0.2">
      <c r="A246" s="130" t="s">
        <v>1484</v>
      </c>
      <c r="B246" s="104">
        <v>231</v>
      </c>
      <c r="C246" s="82" t="s">
        <v>2558</v>
      </c>
      <c r="D246" s="104">
        <v>128</v>
      </c>
      <c r="E246" s="82" t="s">
        <v>2491</v>
      </c>
      <c r="F246" s="82" t="s">
        <v>2177</v>
      </c>
      <c r="G246" s="97">
        <v>19104.79</v>
      </c>
      <c r="H246" s="98">
        <v>0.22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101">
        <v>1224.6199999999999</v>
      </c>
      <c r="AT246" s="98">
        <v>6.41</v>
      </c>
      <c r="AU246" s="98">
        <v>6.41</v>
      </c>
      <c r="AV246" s="101">
        <v>2451.14</v>
      </c>
      <c r="AW246" s="102">
        <v>12.83</v>
      </c>
      <c r="AX246" s="102">
        <v>19.239999999999998</v>
      </c>
      <c r="AY246" s="101">
        <v>2451.14</v>
      </c>
      <c r="AZ246" s="102">
        <v>12.83</v>
      </c>
      <c r="BA246" s="102">
        <v>32.07</v>
      </c>
      <c r="BB246" s="101">
        <v>2485.5300000000002</v>
      </c>
      <c r="BC246" s="102">
        <v>13.01</v>
      </c>
      <c r="BD246" s="102">
        <v>45.08</v>
      </c>
      <c r="BE246" s="101">
        <v>2586.79</v>
      </c>
      <c r="BF246" s="102">
        <v>13.54</v>
      </c>
      <c r="BG246" s="102">
        <v>58.62</v>
      </c>
      <c r="BH246" s="101">
        <v>4193.5</v>
      </c>
      <c r="BI246" s="102">
        <v>21.95</v>
      </c>
      <c r="BJ246" s="102">
        <v>80.569999999999993</v>
      </c>
      <c r="BK246" s="101">
        <v>3712.06</v>
      </c>
      <c r="BL246" s="102">
        <v>19.43</v>
      </c>
      <c r="BM246" s="100">
        <v>100</v>
      </c>
      <c r="BN246" s="99"/>
      <c r="BO246" s="99"/>
      <c r="BP246" s="100">
        <v>100</v>
      </c>
      <c r="BQ246" s="99"/>
      <c r="BR246" s="99"/>
      <c r="BS246" s="100">
        <v>100</v>
      </c>
      <c r="BT246" s="99"/>
      <c r="BU246" s="99"/>
      <c r="BV246" s="100">
        <v>100</v>
      </c>
      <c r="BW246" s="99"/>
      <c r="BX246" s="99"/>
      <c r="BY246" s="100">
        <v>100</v>
      </c>
      <c r="BZ246" s="99"/>
      <c r="CA246" s="99"/>
      <c r="CB246" s="100">
        <v>100</v>
      </c>
      <c r="CC246" s="99"/>
      <c r="CD246" s="99"/>
      <c r="CE246" s="989">
        <v>100</v>
      </c>
      <c r="CF246" s="406"/>
      <c r="CG246" s="406"/>
      <c r="CH246" s="407"/>
      <c r="CI246" s="406"/>
      <c r="CJ246" s="406"/>
      <c r="CK246" s="407"/>
      <c r="CL246" s="406"/>
      <c r="CM246" s="406"/>
      <c r="CN246" s="406"/>
      <c r="CO246" s="466"/>
      <c r="CP246" s="464"/>
      <c r="CQ246" s="404"/>
      <c r="CR246" s="405"/>
      <c r="CS246" s="462"/>
      <c r="CT246" s="404"/>
      <c r="CU246" s="460"/>
      <c r="CV246" s="460"/>
      <c r="CW246" s="404"/>
      <c r="CX246" s="472"/>
      <c r="CY246" s="464"/>
      <c r="CZ246" s="404"/>
      <c r="DA246" s="405"/>
      <c r="DB246" s="464"/>
      <c r="DC246" s="464"/>
      <c r="DD246" s="464"/>
      <c r="DE246" s="464"/>
      <c r="DF246" s="405"/>
    </row>
    <row r="247" spans="1:110" ht="8.4499999999999993" customHeight="1" x14ac:dyDescent="0.2">
      <c r="A247" s="130" t="s">
        <v>1485</v>
      </c>
      <c r="B247" s="104">
        <v>232</v>
      </c>
      <c r="C247" s="82" t="s">
        <v>2559</v>
      </c>
      <c r="D247" s="104">
        <v>106</v>
      </c>
      <c r="E247" s="82" t="s">
        <v>2491</v>
      </c>
      <c r="F247" s="82" t="s">
        <v>2175</v>
      </c>
      <c r="G247" s="102">
        <v>23.26</v>
      </c>
      <c r="H247" s="98">
        <v>0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8">
        <v>1.74</v>
      </c>
      <c r="AT247" s="98">
        <v>7.49</v>
      </c>
      <c r="AU247" s="98">
        <v>7.49</v>
      </c>
      <c r="AV247" s="98">
        <v>3.48</v>
      </c>
      <c r="AW247" s="102">
        <v>14.97</v>
      </c>
      <c r="AX247" s="102">
        <v>22.46</v>
      </c>
      <c r="AY247" s="98">
        <v>3.48</v>
      </c>
      <c r="AZ247" s="102">
        <v>14.97</v>
      </c>
      <c r="BA247" s="102">
        <v>37.43</v>
      </c>
      <c r="BB247" s="98">
        <v>4.1100000000000003</v>
      </c>
      <c r="BC247" s="102">
        <v>17.649999999999999</v>
      </c>
      <c r="BD247" s="102">
        <v>55.08</v>
      </c>
      <c r="BE247" s="98">
        <v>5.97</v>
      </c>
      <c r="BF247" s="102">
        <v>25.67</v>
      </c>
      <c r="BG247" s="102">
        <v>80.75</v>
      </c>
      <c r="BH247" s="98">
        <v>4.4800000000000004</v>
      </c>
      <c r="BI247" s="102">
        <v>19.25</v>
      </c>
      <c r="BJ247" s="100">
        <v>100</v>
      </c>
      <c r="BK247" s="99"/>
      <c r="BL247" s="99"/>
      <c r="BM247" s="100">
        <v>100</v>
      </c>
      <c r="BN247" s="99"/>
      <c r="BO247" s="99"/>
      <c r="BP247" s="100">
        <v>100</v>
      </c>
      <c r="BQ247" s="99"/>
      <c r="BR247" s="99"/>
      <c r="BS247" s="100">
        <v>100</v>
      </c>
      <c r="BT247" s="99"/>
      <c r="BU247" s="99"/>
      <c r="BV247" s="100">
        <v>100</v>
      </c>
      <c r="BW247" s="99"/>
      <c r="BX247" s="99"/>
      <c r="BY247" s="100">
        <v>100</v>
      </c>
      <c r="BZ247" s="99"/>
      <c r="CA247" s="99"/>
      <c r="CB247" s="100">
        <v>100</v>
      </c>
      <c r="CC247" s="99"/>
      <c r="CD247" s="99"/>
      <c r="CE247" s="989">
        <v>100</v>
      </c>
      <c r="CF247" s="406"/>
      <c r="CG247" s="406"/>
      <c r="CH247" s="407"/>
      <c r="CI247" s="406"/>
      <c r="CJ247" s="406"/>
      <c r="CK247" s="407"/>
      <c r="CL247" s="406"/>
      <c r="CM247" s="406"/>
      <c r="CN247" s="406"/>
      <c r="CO247" s="467"/>
      <c r="CP247" s="467"/>
      <c r="CQ247" s="407"/>
      <c r="CR247" s="406"/>
      <c r="CS247" s="406"/>
      <c r="CT247" s="407"/>
      <c r="CU247" s="406"/>
      <c r="CV247" s="406"/>
      <c r="CW247" s="407"/>
      <c r="CX247" s="467"/>
      <c r="CY247" s="467"/>
      <c r="CZ247" s="406"/>
      <c r="DA247" s="407"/>
      <c r="DB247" s="467"/>
      <c r="DC247" s="467"/>
      <c r="DD247" s="467"/>
      <c r="DE247" s="467"/>
      <c r="DF247" s="407"/>
    </row>
    <row r="248" spans="1:110" ht="8.4499999999999993" customHeight="1" x14ac:dyDescent="0.2">
      <c r="A248" s="130" t="s">
        <v>1486</v>
      </c>
      <c r="B248" s="104">
        <v>233</v>
      </c>
      <c r="C248" s="82" t="s">
        <v>2560</v>
      </c>
      <c r="D248" s="104">
        <v>106</v>
      </c>
      <c r="E248" s="82" t="s">
        <v>2491</v>
      </c>
      <c r="F248" s="82" t="s">
        <v>2175</v>
      </c>
      <c r="G248" s="100">
        <v>643.45000000000005</v>
      </c>
      <c r="H248" s="98">
        <v>0.01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102">
        <v>48.19</v>
      </c>
      <c r="AT248" s="98">
        <v>7.49</v>
      </c>
      <c r="AU248" s="98">
        <v>7.49</v>
      </c>
      <c r="AV248" s="102">
        <v>96.32</v>
      </c>
      <c r="AW248" s="102">
        <v>14.97</v>
      </c>
      <c r="AX248" s="102">
        <v>22.46</v>
      </c>
      <c r="AY248" s="102">
        <v>96.32</v>
      </c>
      <c r="AZ248" s="102">
        <v>14.97</v>
      </c>
      <c r="BA248" s="102">
        <v>37.43</v>
      </c>
      <c r="BB248" s="100">
        <v>113.57</v>
      </c>
      <c r="BC248" s="102">
        <v>17.649999999999999</v>
      </c>
      <c r="BD248" s="102">
        <v>55.08</v>
      </c>
      <c r="BE248" s="100">
        <v>165.17</v>
      </c>
      <c r="BF248" s="102">
        <v>25.67</v>
      </c>
      <c r="BG248" s="102">
        <v>80.75</v>
      </c>
      <c r="BH248" s="100">
        <v>123.86</v>
      </c>
      <c r="BI248" s="102">
        <v>19.25</v>
      </c>
      <c r="BJ248" s="100">
        <v>100</v>
      </c>
      <c r="BK248" s="99"/>
      <c r="BL248" s="99"/>
      <c r="BM248" s="100">
        <v>100</v>
      </c>
      <c r="BN248" s="99"/>
      <c r="BO248" s="99"/>
      <c r="BP248" s="100">
        <v>100</v>
      </c>
      <c r="BQ248" s="99"/>
      <c r="BR248" s="99"/>
      <c r="BS248" s="100">
        <v>100</v>
      </c>
      <c r="BT248" s="99"/>
      <c r="BU248" s="99"/>
      <c r="BV248" s="100">
        <v>100</v>
      </c>
      <c r="BW248" s="99"/>
      <c r="BX248" s="99"/>
      <c r="BY248" s="100">
        <v>100</v>
      </c>
      <c r="BZ248" s="99"/>
      <c r="CA248" s="99"/>
      <c r="CB248" s="100">
        <v>100</v>
      </c>
      <c r="CC248" s="99"/>
      <c r="CD248" s="99"/>
      <c r="CE248" s="989">
        <v>100</v>
      </c>
      <c r="CF248" s="406"/>
      <c r="CG248" s="406"/>
      <c r="CH248" s="407"/>
      <c r="CI248" s="406"/>
      <c r="CJ248" s="406"/>
      <c r="CK248" s="407"/>
      <c r="CL248" s="406"/>
      <c r="CM248" s="406"/>
      <c r="CN248" s="406"/>
      <c r="CO248" s="473"/>
      <c r="CP248" s="467"/>
      <c r="CQ248" s="409"/>
      <c r="CR248" s="407"/>
      <c r="CS248" s="409"/>
      <c r="CT248" s="407"/>
      <c r="CU248" s="406"/>
      <c r="CV248" s="406"/>
      <c r="CW248" s="407"/>
      <c r="CX248" s="467"/>
      <c r="CY248" s="467"/>
      <c r="CZ248" s="406"/>
      <c r="DA248" s="407"/>
      <c r="DB248" s="467"/>
      <c r="DC248" s="467"/>
      <c r="DD248" s="467"/>
      <c r="DE248" s="467"/>
      <c r="DF248" s="407"/>
    </row>
    <row r="249" spans="1:110" ht="8.4499999999999993" customHeight="1" x14ac:dyDescent="0.2">
      <c r="A249" s="130" t="s">
        <v>2113</v>
      </c>
      <c r="B249" s="104">
        <v>234</v>
      </c>
      <c r="C249" s="82" t="s">
        <v>2561</v>
      </c>
      <c r="D249" s="104">
        <v>128</v>
      </c>
      <c r="E249" s="82" t="s">
        <v>2491</v>
      </c>
      <c r="F249" s="82" t="s">
        <v>2177</v>
      </c>
      <c r="G249" s="100">
        <v>109.96</v>
      </c>
      <c r="H249" s="98">
        <v>0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102">
        <v>10.26</v>
      </c>
      <c r="AT249" s="98">
        <v>9.33</v>
      </c>
      <c r="AU249" s="98">
        <v>9.33</v>
      </c>
      <c r="AV249" s="102">
        <v>20.51</v>
      </c>
      <c r="AW249" s="102">
        <v>18.649999999999999</v>
      </c>
      <c r="AX249" s="102">
        <v>27.98</v>
      </c>
      <c r="AY249" s="102">
        <v>20.51</v>
      </c>
      <c r="AZ249" s="102">
        <v>18.649999999999999</v>
      </c>
      <c r="BA249" s="102">
        <v>46.63</v>
      </c>
      <c r="BB249" s="102">
        <v>19.260000000000002</v>
      </c>
      <c r="BC249" s="102">
        <v>17.52</v>
      </c>
      <c r="BD249" s="102">
        <v>64.150000000000006</v>
      </c>
      <c r="BE249" s="102">
        <v>15.52</v>
      </c>
      <c r="BF249" s="102">
        <v>14.11</v>
      </c>
      <c r="BG249" s="102">
        <v>78.260000000000005</v>
      </c>
      <c r="BH249" s="102">
        <v>15.91</v>
      </c>
      <c r="BI249" s="102">
        <v>14.47</v>
      </c>
      <c r="BJ249" s="102">
        <v>92.73</v>
      </c>
      <c r="BK249" s="98">
        <v>7.99</v>
      </c>
      <c r="BL249" s="98">
        <v>7.27</v>
      </c>
      <c r="BM249" s="100">
        <v>100</v>
      </c>
      <c r="BN249" s="99"/>
      <c r="BO249" s="99"/>
      <c r="BP249" s="100">
        <v>100</v>
      </c>
      <c r="BQ249" s="99"/>
      <c r="BR249" s="99"/>
      <c r="BS249" s="100">
        <v>100</v>
      </c>
      <c r="BT249" s="99"/>
      <c r="BU249" s="99"/>
      <c r="BV249" s="100">
        <v>100</v>
      </c>
      <c r="BW249" s="99"/>
      <c r="BX249" s="99"/>
      <c r="BY249" s="100">
        <v>100</v>
      </c>
      <c r="BZ249" s="99"/>
      <c r="CA249" s="99"/>
      <c r="CB249" s="100">
        <v>100</v>
      </c>
      <c r="CC249" s="99"/>
      <c r="CD249" s="99"/>
      <c r="CE249" s="989">
        <v>100</v>
      </c>
      <c r="CF249" s="406"/>
      <c r="CG249" s="406"/>
      <c r="CH249" s="407"/>
      <c r="CI249" s="406"/>
      <c r="CJ249" s="406"/>
      <c r="CK249" s="407"/>
      <c r="CL249" s="406"/>
      <c r="CM249" s="406"/>
      <c r="CN249" s="406"/>
      <c r="CO249" s="467"/>
      <c r="CP249" s="467"/>
      <c r="CQ249" s="406"/>
      <c r="CR249" s="406"/>
      <c r="CS249" s="406"/>
      <c r="CT249" s="406"/>
      <c r="CU249" s="406"/>
      <c r="CV249" s="406"/>
      <c r="CW249" s="406"/>
      <c r="CX249" s="475"/>
      <c r="CY249" s="467"/>
      <c r="CZ249" s="407"/>
      <c r="DA249" s="407"/>
      <c r="DB249" s="467"/>
      <c r="DC249" s="467"/>
      <c r="DD249" s="467"/>
      <c r="DE249" s="467"/>
      <c r="DF249" s="407"/>
    </row>
    <row r="250" spans="1:110" ht="8.4499999999999993" customHeight="1" x14ac:dyDescent="0.2">
      <c r="A250" s="130" t="s">
        <v>2114</v>
      </c>
      <c r="B250" s="104">
        <v>235</v>
      </c>
      <c r="C250" s="82" t="s">
        <v>2562</v>
      </c>
      <c r="D250" s="104">
        <v>128</v>
      </c>
      <c r="E250" s="82" t="s">
        <v>2491</v>
      </c>
      <c r="F250" s="82" t="s">
        <v>2177</v>
      </c>
      <c r="G250" s="101">
        <v>3041.32</v>
      </c>
      <c r="H250" s="98">
        <v>0.03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100">
        <v>283.76</v>
      </c>
      <c r="AT250" s="98">
        <v>9.33</v>
      </c>
      <c r="AU250" s="98">
        <v>9.33</v>
      </c>
      <c r="AV250" s="100">
        <v>567.21</v>
      </c>
      <c r="AW250" s="102">
        <v>18.649999999999999</v>
      </c>
      <c r="AX250" s="102">
        <v>27.98</v>
      </c>
      <c r="AY250" s="100">
        <v>567.21</v>
      </c>
      <c r="AZ250" s="102">
        <v>18.649999999999999</v>
      </c>
      <c r="BA250" s="102">
        <v>46.63</v>
      </c>
      <c r="BB250" s="100">
        <v>532.84</v>
      </c>
      <c r="BC250" s="102">
        <v>17.52</v>
      </c>
      <c r="BD250" s="102">
        <v>64.150000000000006</v>
      </c>
      <c r="BE250" s="100">
        <v>429.13</v>
      </c>
      <c r="BF250" s="102">
        <v>14.11</v>
      </c>
      <c r="BG250" s="102">
        <v>78.260000000000005</v>
      </c>
      <c r="BH250" s="100">
        <v>440.08</v>
      </c>
      <c r="BI250" s="102">
        <v>14.47</v>
      </c>
      <c r="BJ250" s="102">
        <v>92.73</v>
      </c>
      <c r="BK250" s="100">
        <v>221.1</v>
      </c>
      <c r="BL250" s="98">
        <v>7.27</v>
      </c>
      <c r="BM250" s="100">
        <v>100</v>
      </c>
      <c r="BN250" s="99"/>
      <c r="BO250" s="99"/>
      <c r="BP250" s="100">
        <v>100</v>
      </c>
      <c r="BQ250" s="99"/>
      <c r="BR250" s="99"/>
      <c r="BS250" s="100">
        <v>100</v>
      </c>
      <c r="BT250" s="99"/>
      <c r="BU250" s="99"/>
      <c r="BV250" s="100">
        <v>100</v>
      </c>
      <c r="BW250" s="99"/>
      <c r="BX250" s="99"/>
      <c r="BY250" s="100">
        <v>100</v>
      </c>
      <c r="BZ250" s="99"/>
      <c r="CA250" s="99"/>
      <c r="CB250" s="100">
        <v>100</v>
      </c>
      <c r="CC250" s="99"/>
      <c r="CD250" s="99"/>
      <c r="CE250" s="989">
        <v>100</v>
      </c>
      <c r="CF250" s="406"/>
      <c r="CG250" s="406"/>
      <c r="CH250" s="407"/>
      <c r="CI250" s="406"/>
      <c r="CJ250" s="406"/>
      <c r="CK250" s="407"/>
      <c r="CL250" s="406"/>
      <c r="CM250" s="406"/>
      <c r="CN250" s="406"/>
      <c r="CO250" s="464"/>
      <c r="CP250" s="464"/>
      <c r="CQ250" s="460"/>
      <c r="CR250" s="460"/>
      <c r="CS250" s="460"/>
      <c r="CT250" s="460"/>
      <c r="CU250" s="403"/>
      <c r="CV250" s="405"/>
      <c r="CW250" s="405"/>
      <c r="CX250" s="464"/>
      <c r="CY250" s="464"/>
      <c r="CZ250" s="460"/>
      <c r="DA250" s="405"/>
      <c r="DB250" s="464"/>
      <c r="DC250" s="464"/>
      <c r="DD250" s="464"/>
      <c r="DE250" s="464"/>
      <c r="DF250" s="405"/>
    </row>
    <row r="251" spans="1:110" ht="8.4499999999999993" customHeight="1" x14ac:dyDescent="0.2">
      <c r="A251" s="130" t="s">
        <v>2115</v>
      </c>
      <c r="B251" s="104">
        <v>236</v>
      </c>
      <c r="C251" s="82" t="s">
        <v>2563</v>
      </c>
      <c r="D251" s="104">
        <v>106</v>
      </c>
      <c r="E251" s="82" t="s">
        <v>2491</v>
      </c>
      <c r="F251" s="82" t="s">
        <v>2175</v>
      </c>
      <c r="G251" s="97">
        <v>23383.8</v>
      </c>
      <c r="H251" s="98">
        <v>0.27</v>
      </c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101">
        <v>1751.45</v>
      </c>
      <c r="AT251" s="98">
        <v>7.49</v>
      </c>
      <c r="AU251" s="98">
        <v>7.49</v>
      </c>
      <c r="AV251" s="101">
        <v>3500.55</v>
      </c>
      <c r="AW251" s="102">
        <v>14.97</v>
      </c>
      <c r="AX251" s="102">
        <v>22.46</v>
      </c>
      <c r="AY251" s="101">
        <v>3500.55</v>
      </c>
      <c r="AZ251" s="102">
        <v>14.97</v>
      </c>
      <c r="BA251" s="102">
        <v>37.43</v>
      </c>
      <c r="BB251" s="101">
        <v>4127.24</v>
      </c>
      <c r="BC251" s="102">
        <v>17.649999999999999</v>
      </c>
      <c r="BD251" s="102">
        <v>55.08</v>
      </c>
      <c r="BE251" s="101">
        <v>6002.62</v>
      </c>
      <c r="BF251" s="102">
        <v>25.67</v>
      </c>
      <c r="BG251" s="102">
        <v>80.75</v>
      </c>
      <c r="BH251" s="101">
        <v>4501.38</v>
      </c>
      <c r="BI251" s="102">
        <v>19.25</v>
      </c>
      <c r="BJ251" s="100">
        <v>100</v>
      </c>
      <c r="BK251" s="99"/>
      <c r="BL251" s="99"/>
      <c r="BM251" s="100">
        <v>100</v>
      </c>
      <c r="BN251" s="99"/>
      <c r="BO251" s="99"/>
      <c r="BP251" s="100">
        <v>100</v>
      </c>
      <c r="BQ251" s="99"/>
      <c r="BR251" s="99"/>
      <c r="BS251" s="100">
        <v>100</v>
      </c>
      <c r="BT251" s="99"/>
      <c r="BU251" s="99"/>
      <c r="BV251" s="100">
        <v>100</v>
      </c>
      <c r="BW251" s="99"/>
      <c r="BX251" s="99"/>
      <c r="BY251" s="100">
        <v>100</v>
      </c>
      <c r="BZ251" s="99"/>
      <c r="CA251" s="99"/>
      <c r="CB251" s="100">
        <v>100</v>
      </c>
      <c r="CC251" s="99"/>
      <c r="CD251" s="99"/>
      <c r="CE251" s="989">
        <v>100</v>
      </c>
      <c r="CF251" s="460"/>
      <c r="CG251" s="460"/>
      <c r="CH251" s="405"/>
      <c r="CI251" s="460"/>
      <c r="CJ251" s="460"/>
      <c r="CK251" s="405"/>
      <c r="CL251" s="460"/>
      <c r="CM251" s="460"/>
      <c r="CN251" s="460"/>
      <c r="CO251" s="467"/>
      <c r="CP251" s="467"/>
      <c r="CQ251" s="406"/>
      <c r="CR251" s="406"/>
      <c r="CS251" s="406"/>
      <c r="CT251" s="406"/>
      <c r="CU251" s="407"/>
      <c r="CV251" s="407"/>
      <c r="CW251" s="407"/>
      <c r="CX251" s="467"/>
      <c r="CY251" s="467"/>
      <c r="CZ251" s="406"/>
      <c r="DA251" s="407"/>
      <c r="DB251" s="467"/>
      <c r="DC251" s="467"/>
      <c r="DD251" s="467"/>
      <c r="DE251" s="467"/>
      <c r="DF251" s="407"/>
    </row>
    <row r="252" spans="1:110" ht="8.4499999999999993" customHeight="1" x14ac:dyDescent="0.2">
      <c r="A252" s="130" t="s">
        <v>2116</v>
      </c>
      <c r="B252" s="104">
        <v>237</v>
      </c>
      <c r="C252" s="82" t="s">
        <v>2564</v>
      </c>
      <c r="D252" s="104">
        <v>128</v>
      </c>
      <c r="E252" s="82" t="s">
        <v>2491</v>
      </c>
      <c r="F252" s="82" t="s">
        <v>2177</v>
      </c>
      <c r="G252" s="97">
        <v>11248.16</v>
      </c>
      <c r="H252" s="98">
        <v>0.13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101">
        <v>1049.45</v>
      </c>
      <c r="AT252" s="98">
        <v>9.33</v>
      </c>
      <c r="AU252" s="98">
        <v>9.33</v>
      </c>
      <c r="AV252" s="101">
        <v>2097.7800000000002</v>
      </c>
      <c r="AW252" s="102">
        <v>18.649999999999999</v>
      </c>
      <c r="AX252" s="102">
        <v>27.98</v>
      </c>
      <c r="AY252" s="101">
        <v>2097.7800000000002</v>
      </c>
      <c r="AZ252" s="102">
        <v>18.649999999999999</v>
      </c>
      <c r="BA252" s="102">
        <v>46.63</v>
      </c>
      <c r="BB252" s="101">
        <v>1970.68</v>
      </c>
      <c r="BC252" s="102">
        <v>17.52</v>
      </c>
      <c r="BD252" s="102">
        <v>64.150000000000006</v>
      </c>
      <c r="BE252" s="101">
        <v>1587.12</v>
      </c>
      <c r="BF252" s="102">
        <v>14.11</v>
      </c>
      <c r="BG252" s="102">
        <v>78.260000000000005</v>
      </c>
      <c r="BH252" s="101">
        <v>1627.61</v>
      </c>
      <c r="BI252" s="102">
        <v>14.47</v>
      </c>
      <c r="BJ252" s="102">
        <v>92.73</v>
      </c>
      <c r="BK252" s="100">
        <v>817.74</v>
      </c>
      <c r="BL252" s="98">
        <v>7.27</v>
      </c>
      <c r="BM252" s="100">
        <v>100</v>
      </c>
      <c r="BN252" s="99"/>
      <c r="BO252" s="99"/>
      <c r="BP252" s="100">
        <v>100</v>
      </c>
      <c r="BQ252" s="99"/>
      <c r="BR252" s="99"/>
      <c r="BS252" s="100">
        <v>100</v>
      </c>
      <c r="BT252" s="99"/>
      <c r="BU252" s="99"/>
      <c r="BV252" s="100">
        <v>100</v>
      </c>
      <c r="BW252" s="99"/>
      <c r="BX252" s="99"/>
      <c r="BY252" s="100">
        <v>100</v>
      </c>
      <c r="BZ252" s="99"/>
      <c r="CA252" s="99"/>
      <c r="CB252" s="100">
        <v>100</v>
      </c>
      <c r="CC252" s="99"/>
      <c r="CD252" s="99"/>
      <c r="CE252" s="989">
        <v>100</v>
      </c>
      <c r="CF252" s="406"/>
      <c r="CG252" s="406"/>
      <c r="CH252" s="407"/>
      <c r="CI252" s="406"/>
      <c r="CJ252" s="406"/>
      <c r="CK252" s="407"/>
      <c r="CL252" s="406"/>
      <c r="CM252" s="406"/>
      <c r="CN252" s="406"/>
      <c r="CO252" s="467"/>
      <c r="CP252" s="467"/>
      <c r="CQ252" s="406"/>
      <c r="CR252" s="406"/>
      <c r="CS252" s="406"/>
      <c r="CT252" s="406"/>
      <c r="CU252" s="407"/>
      <c r="CV252" s="407"/>
      <c r="CW252" s="407"/>
      <c r="CX252" s="467"/>
      <c r="CY252" s="467"/>
      <c r="CZ252" s="406"/>
      <c r="DA252" s="407"/>
      <c r="DB252" s="467"/>
      <c r="DC252" s="467"/>
      <c r="DD252" s="467"/>
      <c r="DE252" s="467"/>
      <c r="DF252" s="407"/>
    </row>
    <row r="253" spans="1:110" ht="8.4499999999999993" customHeight="1" x14ac:dyDescent="0.2">
      <c r="A253" s="130" t="s">
        <v>140</v>
      </c>
      <c r="B253" s="103">
        <v>238</v>
      </c>
      <c r="C253" s="87" t="s">
        <v>355</v>
      </c>
      <c r="D253" s="103">
        <v>214</v>
      </c>
      <c r="E253" s="87" t="s">
        <v>2565</v>
      </c>
      <c r="F253" s="87" t="s">
        <v>2566</v>
      </c>
      <c r="G253" s="105">
        <v>553372.31999999995</v>
      </c>
      <c r="H253" s="90">
        <v>6.29</v>
      </c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89">
        <v>19605.48</v>
      </c>
      <c r="AW253" s="90">
        <v>3.54</v>
      </c>
      <c r="AX253" s="90">
        <v>3.54</v>
      </c>
      <c r="AY253" s="89">
        <v>19605.48</v>
      </c>
      <c r="AZ253" s="90">
        <v>3.54</v>
      </c>
      <c r="BA253" s="90">
        <v>7.09</v>
      </c>
      <c r="BB253" s="94"/>
      <c r="BC253" s="94"/>
      <c r="BD253" s="90">
        <v>7.09</v>
      </c>
      <c r="BE253" s="94"/>
      <c r="BF253" s="94"/>
      <c r="BG253" s="90">
        <v>7.09</v>
      </c>
      <c r="BH253" s="94"/>
      <c r="BI253" s="94"/>
      <c r="BJ253" s="90">
        <v>7.09</v>
      </c>
      <c r="BK253" s="94"/>
      <c r="BL253" s="94"/>
      <c r="BM253" s="90">
        <v>7.09</v>
      </c>
      <c r="BN253" s="89">
        <v>81441.17</v>
      </c>
      <c r="BO253" s="91">
        <v>14.72</v>
      </c>
      <c r="BP253" s="91">
        <v>21.8</v>
      </c>
      <c r="BQ253" s="105">
        <v>154647.91</v>
      </c>
      <c r="BR253" s="91">
        <v>27.95</v>
      </c>
      <c r="BS253" s="91">
        <v>49.75</v>
      </c>
      <c r="BT253" s="105">
        <v>154647.91</v>
      </c>
      <c r="BU253" s="91">
        <v>27.95</v>
      </c>
      <c r="BV253" s="91">
        <v>77.7</v>
      </c>
      <c r="BW253" s="89">
        <v>77351.62</v>
      </c>
      <c r="BX253" s="91">
        <v>13.98</v>
      </c>
      <c r="BY253" s="91">
        <v>91.67</v>
      </c>
      <c r="BZ253" s="89">
        <v>46072.75</v>
      </c>
      <c r="CA253" s="90">
        <v>8.33</v>
      </c>
      <c r="CB253" s="93">
        <v>100</v>
      </c>
      <c r="CC253" s="94"/>
      <c r="CD253" s="94"/>
      <c r="CE253" s="988">
        <v>100</v>
      </c>
      <c r="CF253" s="406"/>
      <c r="CG253" s="406"/>
      <c r="CH253" s="407"/>
      <c r="CI253" s="406"/>
      <c r="CJ253" s="406"/>
      <c r="CK253" s="407"/>
      <c r="CL253" s="406"/>
      <c r="CM253" s="406"/>
      <c r="CN253" s="406"/>
      <c r="CO253" s="467"/>
      <c r="CP253" s="467"/>
      <c r="CQ253" s="406"/>
      <c r="CR253" s="406"/>
      <c r="CS253" s="406"/>
      <c r="CT253" s="406"/>
      <c r="CU253" s="407"/>
      <c r="CV253" s="407"/>
      <c r="CW253" s="407"/>
      <c r="CX253" s="467"/>
      <c r="CY253" s="467"/>
      <c r="CZ253" s="406"/>
      <c r="DA253" s="407"/>
      <c r="DB253" s="467"/>
      <c r="DC253" s="467"/>
      <c r="DD253" s="467"/>
      <c r="DE253" s="467"/>
      <c r="DF253" s="407"/>
    </row>
    <row r="254" spans="1:110" ht="8.4499999999999993" customHeight="1" x14ac:dyDescent="0.2">
      <c r="A254" s="130" t="s">
        <v>2117</v>
      </c>
      <c r="B254" s="103">
        <v>239</v>
      </c>
      <c r="C254" s="87" t="s">
        <v>2023</v>
      </c>
      <c r="D254" s="103">
        <v>214</v>
      </c>
      <c r="E254" s="87" t="s">
        <v>2565</v>
      </c>
      <c r="F254" s="87" t="s">
        <v>2566</v>
      </c>
      <c r="G254" s="105">
        <v>553372.31999999995</v>
      </c>
      <c r="H254" s="90">
        <v>6.29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89">
        <v>19605.48</v>
      </c>
      <c r="AW254" s="90">
        <v>3.54</v>
      </c>
      <c r="AX254" s="90">
        <v>3.54</v>
      </c>
      <c r="AY254" s="89">
        <v>19605.48</v>
      </c>
      <c r="AZ254" s="90">
        <v>3.54</v>
      </c>
      <c r="BA254" s="90">
        <v>7.09</v>
      </c>
      <c r="BB254" s="94"/>
      <c r="BC254" s="94"/>
      <c r="BD254" s="90">
        <v>7.09</v>
      </c>
      <c r="BE254" s="94"/>
      <c r="BF254" s="94"/>
      <c r="BG254" s="90">
        <v>7.09</v>
      </c>
      <c r="BH254" s="94"/>
      <c r="BI254" s="94"/>
      <c r="BJ254" s="90">
        <v>7.09</v>
      </c>
      <c r="BK254" s="94"/>
      <c r="BL254" s="94"/>
      <c r="BM254" s="90">
        <v>7.09</v>
      </c>
      <c r="BN254" s="89">
        <v>81441.17</v>
      </c>
      <c r="BO254" s="91">
        <v>14.72</v>
      </c>
      <c r="BP254" s="91">
        <v>21.8</v>
      </c>
      <c r="BQ254" s="105">
        <v>154647.91</v>
      </c>
      <c r="BR254" s="91">
        <v>27.95</v>
      </c>
      <c r="BS254" s="91">
        <v>49.75</v>
      </c>
      <c r="BT254" s="105">
        <v>154647.91</v>
      </c>
      <c r="BU254" s="91">
        <v>27.95</v>
      </c>
      <c r="BV254" s="91">
        <v>77.7</v>
      </c>
      <c r="BW254" s="89">
        <v>77351.62</v>
      </c>
      <c r="BX254" s="91">
        <v>13.98</v>
      </c>
      <c r="BY254" s="91">
        <v>91.67</v>
      </c>
      <c r="BZ254" s="89">
        <v>46072.75</v>
      </c>
      <c r="CA254" s="90">
        <v>8.33</v>
      </c>
      <c r="CB254" s="93">
        <v>100</v>
      </c>
      <c r="CC254" s="94"/>
      <c r="CD254" s="94"/>
      <c r="CE254" s="988">
        <v>100</v>
      </c>
      <c r="CF254" s="406"/>
      <c r="CG254" s="406"/>
      <c r="CH254" s="407"/>
      <c r="CI254" s="406"/>
      <c r="CJ254" s="406"/>
      <c r="CK254" s="407"/>
      <c r="CL254" s="406"/>
      <c r="CM254" s="406"/>
      <c r="CN254" s="406"/>
      <c r="CO254" s="467"/>
      <c r="CP254" s="467"/>
      <c r="CQ254" s="406"/>
      <c r="CR254" s="406"/>
      <c r="CS254" s="406"/>
      <c r="CT254" s="406"/>
      <c r="CU254" s="407"/>
      <c r="CV254" s="407"/>
      <c r="CW254" s="407"/>
      <c r="CX254" s="467"/>
      <c r="CY254" s="467"/>
      <c r="CZ254" s="406"/>
      <c r="DA254" s="407"/>
      <c r="DB254" s="467"/>
      <c r="DC254" s="467"/>
      <c r="DD254" s="467"/>
      <c r="DE254" s="467"/>
      <c r="DF254" s="407"/>
    </row>
    <row r="255" spans="1:110" ht="8.4499999999999993" customHeight="1" x14ac:dyDescent="0.2">
      <c r="A255" s="130" t="s">
        <v>2118</v>
      </c>
      <c r="B255" s="104">
        <v>240</v>
      </c>
      <c r="C255" s="82" t="s">
        <v>2567</v>
      </c>
      <c r="D255" s="104">
        <v>188</v>
      </c>
      <c r="E255" s="82" t="s">
        <v>2565</v>
      </c>
      <c r="F255" s="82" t="s">
        <v>2178</v>
      </c>
      <c r="G255" s="106">
        <v>392109.62</v>
      </c>
      <c r="H255" s="98">
        <v>4.46</v>
      </c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7">
        <v>19605.48</v>
      </c>
      <c r="AW255" s="98">
        <v>5</v>
      </c>
      <c r="AX255" s="98">
        <v>5</v>
      </c>
      <c r="AY255" s="97">
        <v>19605.48</v>
      </c>
      <c r="AZ255" s="98">
        <v>5</v>
      </c>
      <c r="BA255" s="102">
        <v>10</v>
      </c>
      <c r="BB255" s="99"/>
      <c r="BC255" s="99"/>
      <c r="BD255" s="102">
        <v>10</v>
      </c>
      <c r="BE255" s="99"/>
      <c r="BF255" s="99"/>
      <c r="BG255" s="102">
        <v>10</v>
      </c>
      <c r="BH255" s="99"/>
      <c r="BI255" s="99"/>
      <c r="BJ255" s="102">
        <v>10</v>
      </c>
      <c r="BK255" s="99"/>
      <c r="BL255" s="99"/>
      <c r="BM255" s="102">
        <v>10</v>
      </c>
      <c r="BN255" s="97">
        <v>81441.17</v>
      </c>
      <c r="BO255" s="102">
        <v>20.77</v>
      </c>
      <c r="BP255" s="102">
        <v>30.77</v>
      </c>
      <c r="BQ255" s="106">
        <v>108575.15</v>
      </c>
      <c r="BR255" s="102">
        <v>27.69</v>
      </c>
      <c r="BS255" s="102">
        <v>58.46</v>
      </c>
      <c r="BT255" s="106">
        <v>108575.15</v>
      </c>
      <c r="BU255" s="102">
        <v>27.69</v>
      </c>
      <c r="BV255" s="102">
        <v>86.15</v>
      </c>
      <c r="BW255" s="97">
        <v>54307.18</v>
      </c>
      <c r="BX255" s="102">
        <v>13.85</v>
      </c>
      <c r="BY255" s="100">
        <v>100</v>
      </c>
      <c r="BZ255" s="99"/>
      <c r="CA255" s="99"/>
      <c r="CB255" s="100">
        <v>100</v>
      </c>
      <c r="CC255" s="99"/>
      <c r="CD255" s="99"/>
      <c r="CE255" s="989">
        <v>100</v>
      </c>
      <c r="CF255" s="411"/>
      <c r="CG255" s="404"/>
      <c r="CH255" s="404"/>
      <c r="CI255" s="411"/>
      <c r="CJ255" s="404"/>
      <c r="CK255" s="405"/>
      <c r="CL255" s="460"/>
      <c r="CM255" s="460"/>
      <c r="CN255" s="460"/>
      <c r="CO255" s="467"/>
      <c r="CP255" s="467"/>
      <c r="CQ255" s="406"/>
      <c r="CR255" s="406"/>
      <c r="CS255" s="406"/>
      <c r="CT255" s="406"/>
      <c r="CU255" s="410"/>
      <c r="CV255" s="407"/>
      <c r="CW255" s="407"/>
      <c r="CX255" s="467"/>
      <c r="CY255" s="467"/>
      <c r="CZ255" s="406"/>
      <c r="DA255" s="407"/>
      <c r="DB255" s="467"/>
      <c r="DC255" s="467"/>
      <c r="DD255" s="467"/>
      <c r="DE255" s="467"/>
      <c r="DF255" s="407"/>
    </row>
    <row r="256" spans="1:110" ht="8.4499999999999993" customHeight="1" x14ac:dyDescent="0.2">
      <c r="A256" s="130" t="s">
        <v>2290</v>
      </c>
      <c r="B256" s="104">
        <v>241</v>
      </c>
      <c r="C256" s="82" t="s">
        <v>2568</v>
      </c>
      <c r="D256" s="96">
        <v>79</v>
      </c>
      <c r="E256" s="82" t="s">
        <v>2012</v>
      </c>
      <c r="F256" s="82" t="s">
        <v>2566</v>
      </c>
      <c r="G256" s="106">
        <v>161262.70000000001</v>
      </c>
      <c r="H256" s="98">
        <v>1.83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7">
        <v>46072.75</v>
      </c>
      <c r="BR256" s="102">
        <v>28.57</v>
      </c>
      <c r="BS256" s="102">
        <v>28.57</v>
      </c>
      <c r="BT256" s="97">
        <v>46072.75</v>
      </c>
      <c r="BU256" s="102">
        <v>28.57</v>
      </c>
      <c r="BV256" s="102">
        <v>57.14</v>
      </c>
      <c r="BW256" s="97">
        <v>23044.44</v>
      </c>
      <c r="BX256" s="102">
        <v>14.29</v>
      </c>
      <c r="BY256" s="102">
        <v>71.430000000000007</v>
      </c>
      <c r="BZ256" s="97">
        <v>46072.75</v>
      </c>
      <c r="CA256" s="102">
        <v>28.57</v>
      </c>
      <c r="CB256" s="100">
        <v>100</v>
      </c>
      <c r="CC256" s="99"/>
      <c r="CD256" s="99"/>
      <c r="CE256" s="989">
        <v>100</v>
      </c>
      <c r="CF256" s="412"/>
      <c r="CG256" s="409"/>
      <c r="CH256" s="409"/>
      <c r="CI256" s="412"/>
      <c r="CJ256" s="409"/>
      <c r="CK256" s="407"/>
      <c r="CL256" s="406"/>
      <c r="CM256" s="406"/>
      <c r="CN256" s="406"/>
      <c r="CO256" s="466"/>
      <c r="CP256" s="464"/>
      <c r="CQ256" s="404"/>
      <c r="CR256" s="411"/>
      <c r="CS256" s="404"/>
      <c r="CT256" s="405"/>
      <c r="CU256" s="460"/>
      <c r="CV256" s="460"/>
      <c r="CW256" s="405"/>
      <c r="CX256" s="464"/>
      <c r="CY256" s="464"/>
      <c r="CZ256" s="460"/>
      <c r="DA256" s="405"/>
      <c r="DB256" s="464"/>
      <c r="DC256" s="464"/>
      <c r="DD256" s="464"/>
      <c r="DE256" s="464"/>
      <c r="DF256" s="405"/>
    </row>
    <row r="257" spans="1:110" ht="8.4499999999999993" customHeight="1" x14ac:dyDescent="0.2">
      <c r="A257" s="130" t="s">
        <v>141</v>
      </c>
      <c r="B257" s="103">
        <v>242</v>
      </c>
      <c r="C257" s="87" t="s">
        <v>356</v>
      </c>
      <c r="D257" s="103">
        <v>363</v>
      </c>
      <c r="E257" s="87" t="s">
        <v>2569</v>
      </c>
      <c r="F257" s="87" t="s">
        <v>2195</v>
      </c>
      <c r="G257" s="89">
        <v>57592.480000000003</v>
      </c>
      <c r="H257" s="90">
        <v>0.65</v>
      </c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2">
        <v>2822.22</v>
      </c>
      <c r="AB257" s="90">
        <v>4.72</v>
      </c>
      <c r="AC257" s="90">
        <v>4.72</v>
      </c>
      <c r="AD257" s="94"/>
      <c r="AE257" s="94"/>
      <c r="AF257" s="90">
        <v>4.72</v>
      </c>
      <c r="AG257" s="94"/>
      <c r="AH257" s="94"/>
      <c r="AI257" s="90">
        <v>4.72</v>
      </c>
      <c r="AJ257" s="94"/>
      <c r="AK257" s="94"/>
      <c r="AL257" s="90">
        <v>4.72</v>
      </c>
      <c r="AM257" s="94"/>
      <c r="AN257" s="94"/>
      <c r="AO257" s="90">
        <v>4.72</v>
      </c>
      <c r="AP257" s="94"/>
      <c r="AQ257" s="94"/>
      <c r="AR257" s="90">
        <v>4.72</v>
      </c>
      <c r="AS257" s="94"/>
      <c r="AT257" s="94"/>
      <c r="AU257" s="90">
        <v>4.72</v>
      </c>
      <c r="AV257" s="92">
        <v>3559.77</v>
      </c>
      <c r="AW257" s="90">
        <v>6.39</v>
      </c>
      <c r="AX257" s="91">
        <v>11.11</v>
      </c>
      <c r="AY257" s="93">
        <v>547.23</v>
      </c>
      <c r="AZ257" s="90">
        <v>0.98</v>
      </c>
      <c r="BA257" s="91">
        <v>12.09</v>
      </c>
      <c r="BB257" s="94"/>
      <c r="BC257" s="94"/>
      <c r="BD257" s="91">
        <v>12.09</v>
      </c>
      <c r="BE257" s="94"/>
      <c r="BF257" s="94"/>
      <c r="BG257" s="91">
        <v>12.09</v>
      </c>
      <c r="BH257" s="94"/>
      <c r="BI257" s="94"/>
      <c r="BJ257" s="91">
        <v>12.09</v>
      </c>
      <c r="BK257" s="94"/>
      <c r="BL257" s="94"/>
      <c r="BM257" s="91">
        <v>12.09</v>
      </c>
      <c r="BN257" s="94"/>
      <c r="BO257" s="94"/>
      <c r="BP257" s="91">
        <v>12.09</v>
      </c>
      <c r="BQ257" s="92">
        <v>4766.38</v>
      </c>
      <c r="BR257" s="90">
        <v>7.45</v>
      </c>
      <c r="BS257" s="91">
        <v>19.54</v>
      </c>
      <c r="BT257" s="92">
        <v>6964.99</v>
      </c>
      <c r="BU257" s="91">
        <v>11.54</v>
      </c>
      <c r="BV257" s="91">
        <v>31.08</v>
      </c>
      <c r="BW257" s="89">
        <v>33931.89</v>
      </c>
      <c r="BX257" s="91">
        <v>59.95</v>
      </c>
      <c r="BY257" s="91">
        <v>91.03</v>
      </c>
      <c r="BZ257" s="92">
        <v>5000</v>
      </c>
      <c r="CA257" s="90">
        <v>8.9700000000000006</v>
      </c>
      <c r="CB257" s="93">
        <v>100</v>
      </c>
      <c r="CC257" s="94"/>
      <c r="CD257" s="94"/>
      <c r="CE257" s="988">
        <v>100</v>
      </c>
      <c r="CF257" s="412"/>
      <c r="CG257" s="409"/>
      <c r="CH257" s="409"/>
      <c r="CI257" s="412"/>
      <c r="CJ257" s="409"/>
      <c r="CK257" s="407"/>
      <c r="CL257" s="406"/>
      <c r="CM257" s="406"/>
      <c r="CN257" s="406"/>
      <c r="CO257" s="464"/>
      <c r="CP257" s="464"/>
      <c r="CQ257" s="405"/>
      <c r="CR257" s="460"/>
      <c r="CS257" s="460"/>
      <c r="CT257" s="405"/>
      <c r="CU257" s="460"/>
      <c r="CV257" s="460"/>
      <c r="CW257" s="405"/>
      <c r="CX257" s="464"/>
      <c r="CY257" s="464"/>
      <c r="CZ257" s="460"/>
      <c r="DA257" s="405"/>
      <c r="DB257" s="464"/>
      <c r="DC257" s="464"/>
      <c r="DD257" s="464"/>
      <c r="DE257" s="464"/>
      <c r="DF257" s="405"/>
    </row>
    <row r="258" spans="1:110" ht="8.4499999999999993" customHeight="1" x14ac:dyDescent="0.2">
      <c r="A258" s="130" t="s">
        <v>142</v>
      </c>
      <c r="B258" s="104">
        <v>243</v>
      </c>
      <c r="C258" s="82" t="s">
        <v>2570</v>
      </c>
      <c r="D258" s="96">
        <v>19</v>
      </c>
      <c r="E258" s="82" t="s">
        <v>2543</v>
      </c>
      <c r="F258" s="82" t="s">
        <v>2492</v>
      </c>
      <c r="G258" s="101">
        <v>8934.17</v>
      </c>
      <c r="H258" s="98">
        <v>0.1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101">
        <v>4766.38</v>
      </c>
      <c r="BR258" s="102">
        <v>53.35</v>
      </c>
      <c r="BS258" s="102">
        <v>53.35</v>
      </c>
      <c r="BT258" s="101">
        <v>4167.79</v>
      </c>
      <c r="BU258" s="102">
        <v>46.65</v>
      </c>
      <c r="BV258" s="100">
        <v>100</v>
      </c>
      <c r="BW258" s="99"/>
      <c r="BX258" s="99"/>
      <c r="BY258" s="100">
        <v>100</v>
      </c>
      <c r="BZ258" s="99"/>
      <c r="CA258" s="99"/>
      <c r="CB258" s="100">
        <v>100</v>
      </c>
      <c r="CC258" s="99"/>
      <c r="CD258" s="99"/>
      <c r="CE258" s="989">
        <v>100</v>
      </c>
      <c r="CF258" s="410"/>
      <c r="CG258" s="409"/>
      <c r="CH258" s="409"/>
      <c r="CI258" s="410"/>
      <c r="CJ258" s="409"/>
      <c r="CK258" s="407"/>
      <c r="CL258" s="406"/>
      <c r="CM258" s="406"/>
      <c r="CN258" s="406"/>
      <c r="CO258" s="467"/>
      <c r="CP258" s="467"/>
      <c r="CQ258" s="407"/>
      <c r="CR258" s="406"/>
      <c r="CS258" s="406"/>
      <c r="CT258" s="407"/>
      <c r="CU258" s="406"/>
      <c r="CV258" s="406"/>
      <c r="CW258" s="407"/>
      <c r="CX258" s="467"/>
      <c r="CY258" s="467"/>
      <c r="CZ258" s="406"/>
      <c r="DA258" s="407"/>
      <c r="DB258" s="467"/>
      <c r="DC258" s="467"/>
      <c r="DD258" s="467"/>
      <c r="DE258" s="467"/>
      <c r="DF258" s="407"/>
    </row>
    <row r="259" spans="1:110" ht="8.4499999999999993" customHeight="1" x14ac:dyDescent="0.2">
      <c r="A259" s="130" t="s">
        <v>143</v>
      </c>
      <c r="B259" s="104">
        <v>244</v>
      </c>
      <c r="C259" s="82" t="s">
        <v>2571</v>
      </c>
      <c r="D259" s="96">
        <v>11</v>
      </c>
      <c r="E259" s="82" t="s">
        <v>2569</v>
      </c>
      <c r="F259" s="82" t="s">
        <v>1952</v>
      </c>
      <c r="G259" s="101">
        <v>1790.12</v>
      </c>
      <c r="H259" s="98">
        <v>0.02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101">
        <v>1790.12</v>
      </c>
      <c r="AB259" s="100">
        <v>100</v>
      </c>
      <c r="AC259" s="100">
        <v>100</v>
      </c>
      <c r="AD259" s="99"/>
      <c r="AE259" s="99"/>
      <c r="AF259" s="100">
        <v>100</v>
      </c>
      <c r="AG259" s="99"/>
      <c r="AH259" s="99"/>
      <c r="AI259" s="100">
        <v>100</v>
      </c>
      <c r="AJ259" s="99"/>
      <c r="AK259" s="99"/>
      <c r="AL259" s="100">
        <v>100</v>
      </c>
      <c r="AM259" s="99"/>
      <c r="AN259" s="99"/>
      <c r="AO259" s="100">
        <v>100</v>
      </c>
      <c r="AP259" s="99"/>
      <c r="AQ259" s="99"/>
      <c r="AR259" s="100">
        <v>100</v>
      </c>
      <c r="AS259" s="99"/>
      <c r="AT259" s="99"/>
      <c r="AU259" s="100">
        <v>100</v>
      </c>
      <c r="AV259" s="99"/>
      <c r="AW259" s="99"/>
      <c r="AX259" s="100">
        <v>100</v>
      </c>
      <c r="AY259" s="99"/>
      <c r="AZ259" s="99"/>
      <c r="BA259" s="100">
        <v>100</v>
      </c>
      <c r="BB259" s="99"/>
      <c r="BC259" s="99"/>
      <c r="BD259" s="100">
        <v>100</v>
      </c>
      <c r="BE259" s="99"/>
      <c r="BF259" s="99"/>
      <c r="BG259" s="100">
        <v>100</v>
      </c>
      <c r="BH259" s="99"/>
      <c r="BI259" s="99"/>
      <c r="BJ259" s="100">
        <v>100</v>
      </c>
      <c r="BK259" s="99"/>
      <c r="BL259" s="99"/>
      <c r="BM259" s="100">
        <v>100</v>
      </c>
      <c r="BN259" s="99"/>
      <c r="BO259" s="99"/>
      <c r="BP259" s="100">
        <v>100</v>
      </c>
      <c r="BQ259" s="99"/>
      <c r="BR259" s="99"/>
      <c r="BS259" s="100">
        <v>100</v>
      </c>
      <c r="BT259" s="99"/>
      <c r="BU259" s="99"/>
      <c r="BV259" s="100">
        <v>100</v>
      </c>
      <c r="BW259" s="99"/>
      <c r="BX259" s="99"/>
      <c r="BY259" s="100">
        <v>100</v>
      </c>
      <c r="BZ259" s="99"/>
      <c r="CA259" s="99"/>
      <c r="CB259" s="100">
        <v>100</v>
      </c>
      <c r="CC259" s="99"/>
      <c r="CD259" s="99"/>
      <c r="CE259" s="989">
        <v>100</v>
      </c>
      <c r="CF259" s="412"/>
      <c r="CG259" s="409"/>
      <c r="CH259" s="409"/>
      <c r="CI259" s="412"/>
      <c r="CJ259" s="409"/>
      <c r="CK259" s="407"/>
      <c r="CL259" s="406"/>
      <c r="CM259" s="406"/>
      <c r="CN259" s="406"/>
      <c r="CO259" s="467"/>
      <c r="CP259" s="467"/>
      <c r="CQ259" s="407"/>
      <c r="CR259" s="406"/>
      <c r="CS259" s="406"/>
      <c r="CT259" s="407"/>
      <c r="CU259" s="406"/>
      <c r="CV259" s="406"/>
      <c r="CW259" s="407"/>
      <c r="CX259" s="467"/>
      <c r="CY259" s="467"/>
      <c r="CZ259" s="406"/>
      <c r="DA259" s="407"/>
      <c r="DB259" s="467"/>
      <c r="DC259" s="467"/>
      <c r="DD259" s="467"/>
      <c r="DE259" s="467"/>
      <c r="DF259" s="407"/>
    </row>
    <row r="260" spans="1:110" ht="8.4499999999999993" customHeight="1" x14ac:dyDescent="0.2">
      <c r="A260" s="130" t="s">
        <v>144</v>
      </c>
      <c r="B260" s="104">
        <v>245</v>
      </c>
      <c r="C260" s="82" t="s">
        <v>2572</v>
      </c>
      <c r="D260" s="96">
        <v>11</v>
      </c>
      <c r="E260" s="82" t="s">
        <v>2569</v>
      </c>
      <c r="F260" s="82" t="s">
        <v>1952</v>
      </c>
      <c r="G260" s="101">
        <v>1032.0999999999999</v>
      </c>
      <c r="H260" s="98">
        <v>0.01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101">
        <v>1032.0999999999999</v>
      </c>
      <c r="AB260" s="100">
        <v>100</v>
      </c>
      <c r="AC260" s="100">
        <v>100</v>
      </c>
      <c r="AD260" s="99"/>
      <c r="AE260" s="99"/>
      <c r="AF260" s="100">
        <v>100</v>
      </c>
      <c r="AG260" s="99"/>
      <c r="AH260" s="99"/>
      <c r="AI260" s="100">
        <v>100</v>
      </c>
      <c r="AJ260" s="99"/>
      <c r="AK260" s="99"/>
      <c r="AL260" s="100">
        <v>100</v>
      </c>
      <c r="AM260" s="99"/>
      <c r="AN260" s="99"/>
      <c r="AO260" s="100">
        <v>100</v>
      </c>
      <c r="AP260" s="99"/>
      <c r="AQ260" s="99"/>
      <c r="AR260" s="100">
        <v>100</v>
      </c>
      <c r="AS260" s="99"/>
      <c r="AT260" s="99"/>
      <c r="AU260" s="100">
        <v>100</v>
      </c>
      <c r="AV260" s="99"/>
      <c r="AW260" s="99"/>
      <c r="AX260" s="100">
        <v>100</v>
      </c>
      <c r="AY260" s="99"/>
      <c r="AZ260" s="99"/>
      <c r="BA260" s="100">
        <v>100</v>
      </c>
      <c r="BB260" s="99"/>
      <c r="BC260" s="99"/>
      <c r="BD260" s="100">
        <v>100</v>
      </c>
      <c r="BE260" s="99"/>
      <c r="BF260" s="99"/>
      <c r="BG260" s="100">
        <v>100</v>
      </c>
      <c r="BH260" s="99"/>
      <c r="BI260" s="99"/>
      <c r="BJ260" s="100">
        <v>100</v>
      </c>
      <c r="BK260" s="99"/>
      <c r="BL260" s="99"/>
      <c r="BM260" s="100">
        <v>100</v>
      </c>
      <c r="BN260" s="99"/>
      <c r="BO260" s="99"/>
      <c r="BP260" s="100">
        <v>100</v>
      </c>
      <c r="BQ260" s="99"/>
      <c r="BR260" s="99"/>
      <c r="BS260" s="100">
        <v>100</v>
      </c>
      <c r="BT260" s="99"/>
      <c r="BU260" s="99"/>
      <c r="BV260" s="100">
        <v>100</v>
      </c>
      <c r="BW260" s="99"/>
      <c r="BX260" s="99"/>
      <c r="BY260" s="100">
        <v>100</v>
      </c>
      <c r="BZ260" s="99"/>
      <c r="CA260" s="99"/>
      <c r="CB260" s="100">
        <v>100</v>
      </c>
      <c r="CC260" s="99"/>
      <c r="CD260" s="99"/>
      <c r="CE260" s="989">
        <v>100</v>
      </c>
      <c r="CF260" s="410"/>
      <c r="CG260" s="409"/>
      <c r="CH260" s="409"/>
      <c r="CI260" s="410"/>
      <c r="CJ260" s="409"/>
      <c r="CK260" s="407"/>
      <c r="CL260" s="406"/>
      <c r="CM260" s="406"/>
      <c r="CN260" s="406"/>
      <c r="CO260" s="464"/>
      <c r="CP260" s="464"/>
      <c r="CQ260" s="405"/>
      <c r="CR260" s="460"/>
      <c r="CS260" s="460"/>
      <c r="CT260" s="405"/>
      <c r="CU260" s="460"/>
      <c r="CV260" s="460"/>
      <c r="CW260" s="405"/>
      <c r="CX260" s="464"/>
      <c r="CY260" s="464"/>
      <c r="CZ260" s="460"/>
      <c r="DA260" s="405"/>
      <c r="DB260" s="464"/>
      <c r="DC260" s="464"/>
      <c r="DD260" s="464"/>
      <c r="DE260" s="464"/>
      <c r="DF260" s="405"/>
    </row>
    <row r="261" spans="1:110" ht="8.4499999999999993" customHeight="1" x14ac:dyDescent="0.2">
      <c r="A261" s="130" t="s">
        <v>666</v>
      </c>
      <c r="B261" s="104">
        <v>246</v>
      </c>
      <c r="C261" s="82" t="s">
        <v>2573</v>
      </c>
      <c r="D261" s="104">
        <v>200</v>
      </c>
      <c r="E261" s="82" t="s">
        <v>2165</v>
      </c>
      <c r="F261" s="82" t="s">
        <v>2178</v>
      </c>
      <c r="G261" s="97">
        <v>11100</v>
      </c>
      <c r="H261" s="98">
        <v>0.13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101">
        <v>3559.77</v>
      </c>
      <c r="AW261" s="102">
        <v>32.07</v>
      </c>
      <c r="AX261" s="102">
        <v>32.07</v>
      </c>
      <c r="AY261" s="100">
        <v>547.23</v>
      </c>
      <c r="AZ261" s="98">
        <v>4.93</v>
      </c>
      <c r="BA261" s="102">
        <v>37</v>
      </c>
      <c r="BB261" s="99"/>
      <c r="BC261" s="99"/>
      <c r="BD261" s="102">
        <v>37</v>
      </c>
      <c r="BE261" s="99"/>
      <c r="BF261" s="99"/>
      <c r="BG261" s="102">
        <v>37</v>
      </c>
      <c r="BH261" s="99"/>
      <c r="BI261" s="99"/>
      <c r="BJ261" s="102">
        <v>37</v>
      </c>
      <c r="BK261" s="99"/>
      <c r="BL261" s="99"/>
      <c r="BM261" s="102">
        <v>37</v>
      </c>
      <c r="BN261" s="99"/>
      <c r="BO261" s="99"/>
      <c r="BP261" s="102">
        <v>37</v>
      </c>
      <c r="BQ261" s="99"/>
      <c r="BR261" s="99"/>
      <c r="BS261" s="102">
        <v>37</v>
      </c>
      <c r="BT261" s="101">
        <v>2797.2</v>
      </c>
      <c r="BU261" s="102">
        <v>25.2</v>
      </c>
      <c r="BV261" s="102">
        <v>62.2</v>
      </c>
      <c r="BW261" s="101">
        <v>4195.8</v>
      </c>
      <c r="BX261" s="102">
        <v>37.799999999999997</v>
      </c>
      <c r="BY261" s="100">
        <v>100</v>
      </c>
      <c r="BZ261" s="99"/>
      <c r="CA261" s="99"/>
      <c r="CB261" s="100">
        <v>100</v>
      </c>
      <c r="CC261" s="99"/>
      <c r="CD261" s="99"/>
      <c r="CE261" s="989">
        <v>100</v>
      </c>
      <c r="CF261" s="460"/>
      <c r="CG261" s="460"/>
      <c r="CH261" s="405"/>
      <c r="CI261" s="460"/>
      <c r="CJ261" s="460"/>
      <c r="CK261" s="405"/>
      <c r="CL261" s="460"/>
      <c r="CM261" s="460"/>
      <c r="CN261" s="460"/>
      <c r="CO261" s="467"/>
      <c r="CP261" s="467"/>
      <c r="CQ261" s="407"/>
      <c r="CR261" s="406"/>
      <c r="CS261" s="406"/>
      <c r="CT261" s="407"/>
      <c r="CU261" s="406"/>
      <c r="CV261" s="406"/>
      <c r="CW261" s="407"/>
      <c r="CX261" s="467"/>
      <c r="CY261" s="467"/>
      <c r="CZ261" s="406"/>
      <c r="DA261" s="407"/>
      <c r="DB261" s="467"/>
      <c r="DC261" s="467"/>
      <c r="DD261" s="467"/>
      <c r="DE261" s="467"/>
      <c r="DF261" s="407"/>
    </row>
    <row r="262" spans="1:110" ht="8.4499999999999993" customHeight="1" x14ac:dyDescent="0.2">
      <c r="A262" s="130" t="s">
        <v>667</v>
      </c>
      <c r="B262" s="104">
        <v>247</v>
      </c>
      <c r="C262" s="82" t="s">
        <v>2574</v>
      </c>
      <c r="D262" s="96">
        <v>11</v>
      </c>
      <c r="E262" s="82" t="s">
        <v>2196</v>
      </c>
      <c r="F262" s="82" t="s">
        <v>2026</v>
      </c>
      <c r="G262" s="97">
        <v>12383.85</v>
      </c>
      <c r="H262" s="98">
        <v>0.14000000000000001</v>
      </c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7">
        <v>12383.85</v>
      </c>
      <c r="BX262" s="100">
        <v>100</v>
      </c>
      <c r="BY262" s="100">
        <v>100</v>
      </c>
      <c r="BZ262" s="99"/>
      <c r="CA262" s="99"/>
      <c r="CB262" s="100">
        <v>100</v>
      </c>
      <c r="CC262" s="99"/>
      <c r="CD262" s="99"/>
      <c r="CE262" s="989">
        <v>100</v>
      </c>
      <c r="CF262" s="460"/>
      <c r="CG262" s="460"/>
      <c r="CH262" s="405"/>
      <c r="CI262" s="460"/>
      <c r="CJ262" s="460"/>
      <c r="CK262" s="405"/>
      <c r="CL262" s="460"/>
      <c r="CM262" s="460"/>
      <c r="CN262" s="460"/>
      <c r="CO262" s="467"/>
      <c r="CP262" s="467"/>
      <c r="CQ262" s="407"/>
      <c r="CR262" s="406"/>
      <c r="CS262" s="406"/>
      <c r="CT262" s="407"/>
      <c r="CU262" s="406"/>
      <c r="CV262" s="406"/>
      <c r="CW262" s="407"/>
      <c r="CX262" s="467"/>
      <c r="CY262" s="467"/>
      <c r="CZ262" s="406"/>
      <c r="DA262" s="407"/>
      <c r="DB262" s="467"/>
      <c r="DC262" s="467"/>
      <c r="DD262" s="467"/>
      <c r="DE262" s="467"/>
      <c r="DF262" s="407"/>
    </row>
    <row r="263" spans="1:110" ht="8.4499999999999993" customHeight="1" x14ac:dyDescent="0.2">
      <c r="A263" s="130" t="s">
        <v>668</v>
      </c>
      <c r="B263" s="104">
        <v>248</v>
      </c>
      <c r="C263" s="82" t="s">
        <v>2575</v>
      </c>
      <c r="D263" s="96">
        <v>11</v>
      </c>
      <c r="E263" s="82" t="s">
        <v>2196</v>
      </c>
      <c r="F263" s="82" t="s">
        <v>2026</v>
      </c>
      <c r="G263" s="101">
        <v>3294</v>
      </c>
      <c r="H263" s="98">
        <v>0.04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101">
        <v>3294</v>
      </c>
      <c r="BX263" s="100">
        <v>100</v>
      </c>
      <c r="BY263" s="100">
        <v>100</v>
      </c>
      <c r="BZ263" s="99"/>
      <c r="CA263" s="99"/>
      <c r="CB263" s="100">
        <v>100</v>
      </c>
      <c r="CC263" s="99"/>
      <c r="CD263" s="99"/>
      <c r="CE263" s="989">
        <v>100</v>
      </c>
      <c r="CF263" s="406"/>
      <c r="CG263" s="406"/>
      <c r="CH263" s="407"/>
      <c r="CI263" s="406"/>
      <c r="CJ263" s="406"/>
      <c r="CK263" s="407"/>
      <c r="CL263" s="406"/>
      <c r="CM263" s="406"/>
      <c r="CN263" s="406"/>
      <c r="CO263" s="467"/>
      <c r="CP263" s="467"/>
      <c r="CQ263" s="407"/>
      <c r="CR263" s="406"/>
      <c r="CS263" s="406"/>
      <c r="CT263" s="407"/>
      <c r="CU263" s="406"/>
      <c r="CV263" s="406"/>
      <c r="CW263" s="407"/>
      <c r="CX263" s="467"/>
      <c r="CY263" s="467"/>
      <c r="CZ263" s="406"/>
      <c r="DA263" s="407"/>
      <c r="DB263" s="467"/>
      <c r="DC263" s="467"/>
      <c r="DD263" s="467"/>
      <c r="DE263" s="467"/>
      <c r="DF263" s="407"/>
    </row>
    <row r="264" spans="1:110" ht="8.4499999999999993" customHeight="1" x14ac:dyDescent="0.2">
      <c r="A264" s="130" t="s">
        <v>669</v>
      </c>
      <c r="B264" s="104">
        <v>249</v>
      </c>
      <c r="C264" s="82" t="s">
        <v>2576</v>
      </c>
      <c r="D264" s="96">
        <v>11</v>
      </c>
      <c r="E264" s="82" t="s">
        <v>2034</v>
      </c>
      <c r="F264" s="82" t="s">
        <v>2195</v>
      </c>
      <c r="G264" s="101">
        <v>1000</v>
      </c>
      <c r="H264" s="98">
        <v>0.01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101">
        <v>1000</v>
      </c>
      <c r="CA264" s="100">
        <v>100</v>
      </c>
      <c r="CB264" s="100">
        <v>100</v>
      </c>
      <c r="CC264" s="99"/>
      <c r="CD264" s="99"/>
      <c r="CE264" s="989">
        <v>100</v>
      </c>
      <c r="CF264" s="406"/>
      <c r="CG264" s="406"/>
      <c r="CH264" s="407"/>
      <c r="CI264" s="406"/>
      <c r="CJ264" s="406"/>
      <c r="CK264" s="407"/>
      <c r="CL264" s="406"/>
      <c r="CM264" s="406"/>
      <c r="CN264" s="406"/>
      <c r="CO264" s="467"/>
      <c r="CP264" s="467"/>
      <c r="CQ264" s="407"/>
      <c r="CR264" s="406"/>
      <c r="CS264" s="406"/>
      <c r="CT264" s="407"/>
      <c r="CU264" s="406"/>
      <c r="CV264" s="406"/>
      <c r="CW264" s="407"/>
      <c r="CX264" s="467"/>
      <c r="CY264" s="467"/>
      <c r="CZ264" s="406"/>
      <c r="DA264" s="407"/>
      <c r="DB264" s="467"/>
      <c r="DC264" s="467"/>
      <c r="DD264" s="467"/>
      <c r="DE264" s="467"/>
      <c r="DF264" s="407"/>
    </row>
    <row r="265" spans="1:110" ht="8.4499999999999993" customHeight="1" x14ac:dyDescent="0.2">
      <c r="A265" s="130" t="s">
        <v>2120</v>
      </c>
      <c r="B265" s="104">
        <v>250</v>
      </c>
      <c r="C265" s="82" t="s">
        <v>2577</v>
      </c>
      <c r="D265" s="96">
        <v>23</v>
      </c>
      <c r="E265" s="82" t="s">
        <v>2196</v>
      </c>
      <c r="F265" s="82" t="s">
        <v>2195</v>
      </c>
      <c r="G265" s="101">
        <v>8000</v>
      </c>
      <c r="H265" s="98">
        <v>0.09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101">
        <v>4000</v>
      </c>
      <c r="BX265" s="102">
        <v>50</v>
      </c>
      <c r="BY265" s="102">
        <v>50</v>
      </c>
      <c r="BZ265" s="101">
        <v>4000</v>
      </c>
      <c r="CA265" s="102">
        <v>50</v>
      </c>
      <c r="CB265" s="100">
        <v>100</v>
      </c>
      <c r="CC265" s="99"/>
      <c r="CD265" s="99"/>
      <c r="CE265" s="989">
        <v>100</v>
      </c>
      <c r="CF265" s="406"/>
      <c r="CG265" s="406"/>
      <c r="CH265" s="407"/>
      <c r="CI265" s="406"/>
      <c r="CJ265" s="406"/>
      <c r="CK265" s="407"/>
      <c r="CL265" s="406"/>
      <c r="CM265" s="406"/>
      <c r="CN265" s="406"/>
      <c r="CO265" s="464"/>
      <c r="CP265" s="464"/>
      <c r="CQ265" s="405"/>
      <c r="CR265" s="460"/>
      <c r="CS265" s="460"/>
      <c r="CT265" s="405"/>
      <c r="CU265" s="460"/>
      <c r="CV265" s="460"/>
      <c r="CW265" s="405"/>
      <c r="CX265" s="464"/>
      <c r="CY265" s="464"/>
      <c r="CZ265" s="460"/>
      <c r="DA265" s="405"/>
      <c r="DB265" s="464"/>
      <c r="DC265" s="464"/>
      <c r="DD265" s="464"/>
      <c r="DE265" s="464"/>
      <c r="DF265" s="405"/>
    </row>
    <row r="266" spans="1:110" ht="8.4499999999999993" customHeight="1" x14ac:dyDescent="0.2">
      <c r="A266" s="130" t="s">
        <v>2295</v>
      </c>
      <c r="B266" s="104">
        <v>251</v>
      </c>
      <c r="C266" s="82" t="s">
        <v>2578</v>
      </c>
      <c r="D266" s="96">
        <v>21</v>
      </c>
      <c r="E266" s="82" t="s">
        <v>2025</v>
      </c>
      <c r="F266" s="82" t="s">
        <v>2026</v>
      </c>
      <c r="G266" s="97">
        <v>10058.24</v>
      </c>
      <c r="H266" s="98">
        <v>0.11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7">
        <v>10058.24</v>
      </c>
      <c r="BX266" s="100">
        <v>100</v>
      </c>
      <c r="BY266" s="100">
        <v>100</v>
      </c>
      <c r="BZ266" s="99"/>
      <c r="CA266" s="99"/>
      <c r="CB266" s="100">
        <v>100</v>
      </c>
      <c r="CC266" s="99"/>
      <c r="CD266" s="99"/>
      <c r="CE266" s="989">
        <v>100</v>
      </c>
      <c r="CF266" s="406"/>
      <c r="CG266" s="406"/>
      <c r="CH266" s="407"/>
      <c r="CI266" s="406"/>
      <c r="CJ266" s="406"/>
      <c r="CK266" s="407"/>
      <c r="CL266" s="406"/>
      <c r="CM266" s="406"/>
      <c r="CN266" s="406"/>
      <c r="CO266" s="467"/>
      <c r="CP266" s="467"/>
      <c r="CQ266" s="407"/>
      <c r="CR266" s="406"/>
      <c r="CS266" s="406"/>
      <c r="CT266" s="407"/>
      <c r="CU266" s="406"/>
      <c r="CV266" s="406"/>
      <c r="CW266" s="407"/>
      <c r="CX266" s="467"/>
      <c r="CY266" s="467"/>
      <c r="CZ266" s="406"/>
      <c r="DA266" s="407"/>
      <c r="DB266" s="467"/>
      <c r="DC266" s="467"/>
      <c r="DD266" s="467"/>
      <c r="DE266" s="467"/>
      <c r="DF266" s="407"/>
    </row>
    <row r="267" spans="1:110" ht="8.4499999999999993" customHeight="1" x14ac:dyDescent="0.2">
      <c r="A267" s="130" t="s">
        <v>145</v>
      </c>
      <c r="B267" s="103">
        <v>252</v>
      </c>
      <c r="C267" s="87" t="s">
        <v>357</v>
      </c>
      <c r="D267" s="88">
        <v>53</v>
      </c>
      <c r="E267" s="87" t="s">
        <v>2012</v>
      </c>
      <c r="F267" s="87" t="s">
        <v>2178</v>
      </c>
      <c r="G267" s="89">
        <v>70971.149999999994</v>
      </c>
      <c r="H267" s="90">
        <v>0.81</v>
      </c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89">
        <v>34217.61</v>
      </c>
      <c r="BR267" s="91">
        <v>48.21</v>
      </c>
      <c r="BS267" s="91">
        <v>48.21</v>
      </c>
      <c r="BT267" s="89">
        <v>34386</v>
      </c>
      <c r="BU267" s="91">
        <v>48.45</v>
      </c>
      <c r="BV267" s="91">
        <v>96.66</v>
      </c>
      <c r="BW267" s="92">
        <v>2367.54</v>
      </c>
      <c r="BX267" s="90">
        <v>3.34</v>
      </c>
      <c r="BY267" s="93">
        <v>100</v>
      </c>
      <c r="BZ267" s="94"/>
      <c r="CA267" s="94"/>
      <c r="CB267" s="93">
        <v>100</v>
      </c>
      <c r="CC267" s="94"/>
      <c r="CD267" s="94"/>
      <c r="CE267" s="988">
        <v>100</v>
      </c>
      <c r="CF267" s="406"/>
      <c r="CG267" s="406"/>
      <c r="CH267" s="407"/>
      <c r="CI267" s="406"/>
      <c r="CJ267" s="406"/>
      <c r="CK267" s="407"/>
      <c r="CL267" s="406"/>
      <c r="CM267" s="406"/>
      <c r="CN267" s="406"/>
      <c r="CO267" s="467"/>
      <c r="CP267" s="467"/>
      <c r="CQ267" s="407"/>
      <c r="CR267" s="406"/>
      <c r="CS267" s="406"/>
      <c r="CT267" s="407"/>
      <c r="CU267" s="406"/>
      <c r="CV267" s="406"/>
      <c r="CW267" s="407"/>
      <c r="CX267" s="467"/>
      <c r="CY267" s="467"/>
      <c r="CZ267" s="406"/>
      <c r="DA267" s="407"/>
      <c r="DB267" s="467"/>
      <c r="DC267" s="467"/>
      <c r="DD267" s="467"/>
      <c r="DE267" s="467"/>
      <c r="DF267" s="407"/>
    </row>
    <row r="268" spans="1:110" ht="8.4499999999999993" customHeight="1" x14ac:dyDescent="0.2">
      <c r="A268" s="130" t="s">
        <v>244</v>
      </c>
      <c r="B268" s="103">
        <v>253</v>
      </c>
      <c r="C268" s="87" t="s">
        <v>266</v>
      </c>
      <c r="D268" s="88">
        <v>53</v>
      </c>
      <c r="E268" s="87" t="s">
        <v>2012</v>
      </c>
      <c r="F268" s="87" t="s">
        <v>2178</v>
      </c>
      <c r="G268" s="89">
        <v>60668.89</v>
      </c>
      <c r="H268" s="90">
        <v>0.69</v>
      </c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94"/>
      <c r="BJ268" s="94"/>
      <c r="BK268" s="94"/>
      <c r="BL268" s="94"/>
      <c r="BM268" s="94"/>
      <c r="BN268" s="94"/>
      <c r="BO268" s="94"/>
      <c r="BP268" s="94"/>
      <c r="BQ268" s="89">
        <v>29241.91</v>
      </c>
      <c r="BR268" s="91">
        <v>48.2</v>
      </c>
      <c r="BS268" s="91">
        <v>48.2</v>
      </c>
      <c r="BT268" s="89">
        <v>29387.23</v>
      </c>
      <c r="BU268" s="91">
        <v>48.44</v>
      </c>
      <c r="BV268" s="91">
        <v>96.64</v>
      </c>
      <c r="BW268" s="92">
        <v>2039.75</v>
      </c>
      <c r="BX268" s="90">
        <v>3.36</v>
      </c>
      <c r="BY268" s="93">
        <v>100</v>
      </c>
      <c r="BZ268" s="94"/>
      <c r="CA268" s="94"/>
      <c r="CB268" s="93">
        <v>100</v>
      </c>
      <c r="CC268" s="94"/>
      <c r="CD268" s="94"/>
      <c r="CE268" s="988">
        <v>100</v>
      </c>
      <c r="CF268" s="406"/>
      <c r="CG268" s="406"/>
      <c r="CH268" s="407"/>
      <c r="CI268" s="406"/>
      <c r="CJ268" s="406"/>
      <c r="CK268" s="407"/>
      <c r="CL268" s="406"/>
      <c r="CM268" s="406"/>
      <c r="CN268" s="406"/>
      <c r="CO268" s="474"/>
      <c r="CP268" s="464"/>
      <c r="CQ268" s="405"/>
      <c r="CR268" s="460"/>
      <c r="CS268" s="460"/>
      <c r="CT268" s="405"/>
      <c r="CU268" s="460"/>
      <c r="CV268" s="460"/>
      <c r="CW268" s="405"/>
      <c r="CX268" s="464"/>
      <c r="CY268" s="464"/>
      <c r="CZ268" s="460"/>
      <c r="DA268" s="405"/>
      <c r="DB268" s="464"/>
      <c r="DC268" s="464"/>
      <c r="DD268" s="464"/>
      <c r="DE268" s="464"/>
      <c r="DF268" s="405"/>
    </row>
    <row r="269" spans="1:110" ht="8.4499999999999993" customHeight="1" x14ac:dyDescent="0.2">
      <c r="A269" s="130" t="s">
        <v>245</v>
      </c>
      <c r="B269" s="104">
        <v>254</v>
      </c>
      <c r="C269" s="82" t="s">
        <v>2579</v>
      </c>
      <c r="D269" s="96">
        <v>53</v>
      </c>
      <c r="E269" s="82" t="s">
        <v>2012</v>
      </c>
      <c r="F269" s="82" t="s">
        <v>2178</v>
      </c>
      <c r="G269" s="97">
        <v>10525.12</v>
      </c>
      <c r="H269" s="98">
        <v>0.12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101">
        <v>4355.29</v>
      </c>
      <c r="BR269" s="102">
        <v>41.38</v>
      </c>
      <c r="BS269" s="102">
        <v>41.38</v>
      </c>
      <c r="BT269" s="101">
        <v>5226.7700000000004</v>
      </c>
      <c r="BU269" s="102">
        <v>49.66</v>
      </c>
      <c r="BV269" s="102">
        <v>91.04</v>
      </c>
      <c r="BW269" s="100">
        <v>943.05</v>
      </c>
      <c r="BX269" s="98">
        <v>8.9600000000000009</v>
      </c>
      <c r="BY269" s="100">
        <v>100</v>
      </c>
      <c r="BZ269" s="99"/>
      <c r="CA269" s="99"/>
      <c r="CB269" s="100">
        <v>100</v>
      </c>
      <c r="CC269" s="99"/>
      <c r="CD269" s="99"/>
      <c r="CE269" s="989">
        <v>100</v>
      </c>
      <c r="CF269" s="406"/>
      <c r="CG269" s="406"/>
      <c r="CH269" s="407"/>
      <c r="CI269" s="406"/>
      <c r="CJ269" s="406"/>
      <c r="CK269" s="407"/>
      <c r="CL269" s="406"/>
      <c r="CM269" s="406"/>
      <c r="CN269" s="406"/>
      <c r="CO269" s="468"/>
      <c r="CP269" s="467"/>
      <c r="CQ269" s="407"/>
      <c r="CR269" s="406"/>
      <c r="CS269" s="406"/>
      <c r="CT269" s="407"/>
      <c r="CU269" s="406"/>
      <c r="CV269" s="406"/>
      <c r="CW269" s="407"/>
      <c r="CX269" s="467"/>
      <c r="CY269" s="467"/>
      <c r="CZ269" s="406"/>
      <c r="DA269" s="407"/>
      <c r="DB269" s="467"/>
      <c r="DC269" s="467"/>
      <c r="DD269" s="467"/>
      <c r="DE269" s="467"/>
      <c r="DF269" s="407"/>
    </row>
    <row r="270" spans="1:110" ht="8.4499999999999993" customHeight="1" x14ac:dyDescent="0.2">
      <c r="A270" s="130" t="s">
        <v>246</v>
      </c>
      <c r="B270" s="104">
        <v>255</v>
      </c>
      <c r="C270" s="82" t="s">
        <v>2580</v>
      </c>
      <c r="D270" s="96">
        <v>43</v>
      </c>
      <c r="E270" s="82" t="s">
        <v>2012</v>
      </c>
      <c r="F270" s="82" t="s">
        <v>2010</v>
      </c>
      <c r="G270" s="97">
        <v>29760.67</v>
      </c>
      <c r="H270" s="98">
        <v>0.34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7">
        <v>15243.42</v>
      </c>
      <c r="BR270" s="102">
        <v>51.22</v>
      </c>
      <c r="BS270" s="102">
        <v>51.22</v>
      </c>
      <c r="BT270" s="97">
        <v>14517.25</v>
      </c>
      <c r="BU270" s="102">
        <v>48.78</v>
      </c>
      <c r="BV270" s="100">
        <v>100</v>
      </c>
      <c r="BW270" s="99"/>
      <c r="BX270" s="99"/>
      <c r="BY270" s="100">
        <v>100</v>
      </c>
      <c r="BZ270" s="99"/>
      <c r="CA270" s="99"/>
      <c r="CB270" s="100">
        <v>100</v>
      </c>
      <c r="CC270" s="99"/>
      <c r="CD270" s="99"/>
      <c r="CE270" s="989">
        <v>100</v>
      </c>
      <c r="CF270" s="406"/>
      <c r="CG270" s="406"/>
      <c r="CH270" s="407"/>
      <c r="CI270" s="406"/>
      <c r="CJ270" s="406"/>
      <c r="CK270" s="407"/>
      <c r="CL270" s="406"/>
      <c r="CM270" s="406"/>
      <c r="CN270" s="406"/>
      <c r="CO270" s="467"/>
      <c r="CP270" s="467"/>
      <c r="CQ270" s="407"/>
      <c r="CR270" s="406"/>
      <c r="CS270" s="406"/>
      <c r="CT270" s="407"/>
      <c r="CU270" s="406"/>
      <c r="CV270" s="406"/>
      <c r="CW270" s="407"/>
      <c r="CX270" s="467"/>
      <c r="CY270" s="467"/>
      <c r="CZ270" s="406"/>
      <c r="DA270" s="407"/>
      <c r="DB270" s="467"/>
      <c r="DC270" s="467"/>
      <c r="DD270" s="467"/>
      <c r="DE270" s="467"/>
      <c r="DF270" s="407"/>
    </row>
    <row r="271" spans="1:110" ht="8.4499999999999993" customHeight="1" x14ac:dyDescent="0.2">
      <c r="A271" s="130" t="s">
        <v>671</v>
      </c>
      <c r="B271" s="104">
        <v>256</v>
      </c>
      <c r="C271" s="82" t="s">
        <v>2581</v>
      </c>
      <c r="D271" s="96">
        <v>53</v>
      </c>
      <c r="E271" s="82" t="s">
        <v>2012</v>
      </c>
      <c r="F271" s="82" t="s">
        <v>2178</v>
      </c>
      <c r="G271" s="101">
        <v>7124.98</v>
      </c>
      <c r="H271" s="98">
        <v>0.08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101">
        <v>3288.18</v>
      </c>
      <c r="BR271" s="102">
        <v>46.15</v>
      </c>
      <c r="BS271" s="102">
        <v>46.15</v>
      </c>
      <c r="BT271" s="101">
        <v>3288.18</v>
      </c>
      <c r="BU271" s="102">
        <v>46.15</v>
      </c>
      <c r="BV271" s="102">
        <v>92.3</v>
      </c>
      <c r="BW271" s="100">
        <v>548.62</v>
      </c>
      <c r="BX271" s="98">
        <v>7.7</v>
      </c>
      <c r="BY271" s="100">
        <v>100</v>
      </c>
      <c r="BZ271" s="99"/>
      <c r="CA271" s="99"/>
      <c r="CB271" s="100">
        <v>100</v>
      </c>
      <c r="CC271" s="99"/>
      <c r="CD271" s="99"/>
      <c r="CE271" s="989">
        <v>100</v>
      </c>
      <c r="CF271" s="406"/>
      <c r="CG271" s="406"/>
      <c r="CH271" s="407"/>
      <c r="CI271" s="406"/>
      <c r="CJ271" s="406"/>
      <c r="CK271" s="407"/>
      <c r="CL271" s="406"/>
      <c r="CM271" s="406"/>
      <c r="CN271" s="406"/>
      <c r="CO271" s="466"/>
      <c r="CP271" s="464"/>
      <c r="CQ271" s="405"/>
      <c r="CR271" s="460"/>
      <c r="CS271" s="460"/>
      <c r="CT271" s="405"/>
      <c r="CU271" s="460"/>
      <c r="CV271" s="460"/>
      <c r="CW271" s="405"/>
      <c r="CX271" s="464"/>
      <c r="CY271" s="464"/>
      <c r="CZ271" s="460"/>
      <c r="DA271" s="405"/>
      <c r="DB271" s="464"/>
      <c r="DC271" s="464"/>
      <c r="DD271" s="464"/>
      <c r="DE271" s="464"/>
      <c r="DF271" s="405"/>
    </row>
    <row r="272" spans="1:110" ht="8.4499999999999993" customHeight="1" x14ac:dyDescent="0.2">
      <c r="A272" s="130" t="s">
        <v>672</v>
      </c>
      <c r="B272" s="104">
        <v>257</v>
      </c>
      <c r="C272" s="82" t="s">
        <v>2582</v>
      </c>
      <c r="D272" s="96">
        <v>10</v>
      </c>
      <c r="E272" s="82" t="s">
        <v>2025</v>
      </c>
      <c r="F272" s="82" t="s">
        <v>2178</v>
      </c>
      <c r="G272" s="100">
        <v>548.08000000000004</v>
      </c>
      <c r="H272" s="98">
        <v>0.01</v>
      </c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100">
        <v>548.08000000000004</v>
      </c>
      <c r="BX272" s="100">
        <v>100</v>
      </c>
      <c r="BY272" s="100">
        <v>100</v>
      </c>
      <c r="BZ272" s="99"/>
      <c r="CA272" s="99"/>
      <c r="CB272" s="100">
        <v>100</v>
      </c>
      <c r="CC272" s="99"/>
      <c r="CD272" s="99"/>
      <c r="CE272" s="989">
        <v>100</v>
      </c>
      <c r="CF272" s="460"/>
      <c r="CG272" s="460"/>
      <c r="CH272" s="405"/>
      <c r="CI272" s="460"/>
      <c r="CJ272" s="460"/>
      <c r="CK272" s="405"/>
      <c r="CL272" s="460"/>
      <c r="CM272" s="460"/>
      <c r="CN272" s="460"/>
      <c r="CO272" s="467"/>
      <c r="CP272" s="467"/>
      <c r="CQ272" s="407"/>
      <c r="CR272" s="406"/>
      <c r="CS272" s="406"/>
      <c r="CT272" s="407"/>
      <c r="CU272" s="406"/>
      <c r="CV272" s="406"/>
      <c r="CW272" s="407"/>
      <c r="CX272" s="467"/>
      <c r="CY272" s="467"/>
      <c r="CZ272" s="406"/>
      <c r="DA272" s="407"/>
      <c r="DB272" s="467"/>
      <c r="DC272" s="467"/>
      <c r="DD272" s="467"/>
      <c r="DE272" s="467"/>
      <c r="DF272" s="407"/>
    </row>
    <row r="273" spans="1:110" ht="8.4499999999999993" customHeight="1" x14ac:dyDescent="0.2">
      <c r="A273" s="130" t="s">
        <v>673</v>
      </c>
      <c r="B273" s="104">
        <v>258</v>
      </c>
      <c r="C273" s="82" t="s">
        <v>2583</v>
      </c>
      <c r="D273" s="96">
        <v>43</v>
      </c>
      <c r="E273" s="82" t="s">
        <v>2012</v>
      </c>
      <c r="F273" s="82" t="s">
        <v>2010</v>
      </c>
      <c r="G273" s="97">
        <v>12710.04</v>
      </c>
      <c r="H273" s="98">
        <v>0.14000000000000001</v>
      </c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101">
        <v>6355.02</v>
      </c>
      <c r="BR273" s="102">
        <v>50</v>
      </c>
      <c r="BS273" s="102">
        <v>50</v>
      </c>
      <c r="BT273" s="101">
        <v>6355.02</v>
      </c>
      <c r="BU273" s="102">
        <v>50</v>
      </c>
      <c r="BV273" s="100">
        <v>100</v>
      </c>
      <c r="BW273" s="99"/>
      <c r="BX273" s="99"/>
      <c r="BY273" s="100">
        <v>100</v>
      </c>
      <c r="BZ273" s="99"/>
      <c r="CA273" s="99"/>
      <c r="CB273" s="100">
        <v>100</v>
      </c>
      <c r="CC273" s="99"/>
      <c r="CD273" s="99"/>
      <c r="CE273" s="989">
        <v>100</v>
      </c>
      <c r="CF273" s="460"/>
      <c r="CG273" s="460"/>
      <c r="CH273" s="405"/>
      <c r="CI273" s="460"/>
      <c r="CJ273" s="460"/>
      <c r="CK273" s="405"/>
      <c r="CL273" s="460"/>
      <c r="CM273" s="460"/>
      <c r="CN273" s="460"/>
      <c r="CO273" s="467"/>
      <c r="CP273" s="467"/>
      <c r="CQ273" s="407"/>
      <c r="CR273" s="406"/>
      <c r="CS273" s="406"/>
      <c r="CT273" s="407"/>
      <c r="CU273" s="406"/>
      <c r="CV273" s="406"/>
      <c r="CW273" s="407"/>
      <c r="CX273" s="467"/>
      <c r="CY273" s="467"/>
      <c r="CZ273" s="406"/>
      <c r="DA273" s="407"/>
      <c r="DB273" s="467"/>
      <c r="DC273" s="467"/>
      <c r="DD273" s="467"/>
      <c r="DE273" s="467"/>
      <c r="DF273" s="407"/>
    </row>
    <row r="274" spans="1:110" ht="8.4499999999999993" customHeight="1" x14ac:dyDescent="0.2">
      <c r="A274" s="130" t="s">
        <v>247</v>
      </c>
      <c r="B274" s="103">
        <v>259</v>
      </c>
      <c r="C274" s="87" t="s">
        <v>267</v>
      </c>
      <c r="D274" s="88">
        <v>53</v>
      </c>
      <c r="E274" s="87" t="s">
        <v>2012</v>
      </c>
      <c r="F274" s="87" t="s">
        <v>2178</v>
      </c>
      <c r="G274" s="89">
        <v>10302.26</v>
      </c>
      <c r="H274" s="90">
        <v>0.12</v>
      </c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2">
        <v>4975.7</v>
      </c>
      <c r="BR274" s="91">
        <v>48.3</v>
      </c>
      <c r="BS274" s="91">
        <v>48.3</v>
      </c>
      <c r="BT274" s="92">
        <v>4998.7700000000004</v>
      </c>
      <c r="BU274" s="91">
        <v>48.52</v>
      </c>
      <c r="BV274" s="91">
        <v>96.82</v>
      </c>
      <c r="BW274" s="93">
        <v>327.79</v>
      </c>
      <c r="BX274" s="90">
        <v>3.18</v>
      </c>
      <c r="BY274" s="93">
        <v>100</v>
      </c>
      <c r="BZ274" s="94"/>
      <c r="CA274" s="94"/>
      <c r="CB274" s="93">
        <v>100</v>
      </c>
      <c r="CC274" s="94"/>
      <c r="CD274" s="94"/>
      <c r="CE274" s="988">
        <v>100</v>
      </c>
      <c r="CF274" s="406"/>
      <c r="CG274" s="406"/>
      <c r="CH274" s="407"/>
      <c r="CI274" s="406"/>
      <c r="CJ274" s="406"/>
      <c r="CK274" s="407"/>
      <c r="CL274" s="406"/>
      <c r="CM274" s="406"/>
      <c r="CN274" s="406"/>
      <c r="CO274" s="467"/>
      <c r="CP274" s="467"/>
      <c r="CQ274" s="407"/>
      <c r="CR274" s="406"/>
      <c r="CS274" s="406"/>
      <c r="CT274" s="407"/>
      <c r="CU274" s="406"/>
      <c r="CV274" s="406"/>
      <c r="CW274" s="407"/>
      <c r="CX274" s="467"/>
      <c r="CY274" s="467"/>
      <c r="CZ274" s="406"/>
      <c r="DA274" s="407"/>
      <c r="DB274" s="467"/>
      <c r="DC274" s="467"/>
      <c r="DD274" s="467"/>
      <c r="DE274" s="467"/>
      <c r="DF274" s="407"/>
    </row>
    <row r="275" spans="1:110" ht="8.4499999999999993" customHeight="1" x14ac:dyDescent="0.2">
      <c r="A275" s="130" t="s">
        <v>248</v>
      </c>
      <c r="B275" s="104">
        <v>260</v>
      </c>
      <c r="C275" s="82" t="s">
        <v>2584</v>
      </c>
      <c r="D275" s="96">
        <v>53</v>
      </c>
      <c r="E275" s="82" t="s">
        <v>2012</v>
      </c>
      <c r="F275" s="82" t="s">
        <v>2178</v>
      </c>
      <c r="G275" s="100">
        <v>874.14</v>
      </c>
      <c r="H275" s="98">
        <v>0.01</v>
      </c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100">
        <v>403.42</v>
      </c>
      <c r="BR275" s="102">
        <v>46.15</v>
      </c>
      <c r="BS275" s="102">
        <v>46.15</v>
      </c>
      <c r="BT275" s="100">
        <v>403.42</v>
      </c>
      <c r="BU275" s="102">
        <v>46.15</v>
      </c>
      <c r="BV275" s="102">
        <v>92.3</v>
      </c>
      <c r="BW275" s="102">
        <v>67.31</v>
      </c>
      <c r="BX275" s="98">
        <v>7.7</v>
      </c>
      <c r="BY275" s="100">
        <v>100</v>
      </c>
      <c r="BZ275" s="99"/>
      <c r="CA275" s="99"/>
      <c r="CB275" s="100">
        <v>100</v>
      </c>
      <c r="CC275" s="99"/>
      <c r="CD275" s="99"/>
      <c r="CE275" s="989">
        <v>100</v>
      </c>
      <c r="CF275" s="460"/>
      <c r="CG275" s="460"/>
      <c r="CH275" s="405"/>
      <c r="CI275" s="460"/>
      <c r="CJ275" s="460"/>
      <c r="CK275" s="405"/>
      <c r="CL275" s="460"/>
      <c r="CM275" s="460"/>
      <c r="CN275" s="460"/>
      <c r="CO275" s="467"/>
      <c r="CP275" s="467"/>
      <c r="CQ275" s="407"/>
      <c r="CR275" s="406"/>
      <c r="CS275" s="406"/>
      <c r="CT275" s="407"/>
      <c r="CU275" s="406"/>
      <c r="CV275" s="406"/>
      <c r="CW275" s="407"/>
      <c r="CX275" s="467"/>
      <c r="CY275" s="467"/>
      <c r="CZ275" s="406"/>
      <c r="DA275" s="407"/>
      <c r="DB275" s="467"/>
      <c r="DC275" s="467"/>
      <c r="DD275" s="467"/>
      <c r="DE275" s="467"/>
      <c r="DF275" s="407"/>
    </row>
    <row r="276" spans="1:110" ht="8.4499999999999993" customHeight="1" x14ac:dyDescent="0.2">
      <c r="A276" s="130" t="s">
        <v>249</v>
      </c>
      <c r="B276" s="104">
        <v>261</v>
      </c>
      <c r="C276" s="82" t="s">
        <v>2585</v>
      </c>
      <c r="D276" s="96">
        <v>10</v>
      </c>
      <c r="E276" s="82" t="s">
        <v>2025</v>
      </c>
      <c r="F276" s="82" t="s">
        <v>2178</v>
      </c>
      <c r="G276" s="102">
        <v>41.45</v>
      </c>
      <c r="H276" s="98">
        <v>0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102">
        <v>41.45</v>
      </c>
      <c r="BX276" s="100">
        <v>100</v>
      </c>
      <c r="BY276" s="100">
        <v>100</v>
      </c>
      <c r="BZ276" s="99"/>
      <c r="CA276" s="99"/>
      <c r="CB276" s="100">
        <v>100</v>
      </c>
      <c r="CC276" s="99"/>
      <c r="CD276" s="99"/>
      <c r="CE276" s="989">
        <v>100</v>
      </c>
      <c r="CF276" s="406"/>
      <c r="CG276" s="406"/>
      <c r="CH276" s="407"/>
      <c r="CI276" s="406"/>
      <c r="CJ276" s="406"/>
      <c r="CK276" s="407"/>
      <c r="CL276" s="406"/>
      <c r="CM276" s="406"/>
      <c r="CN276" s="406"/>
      <c r="CO276" s="467"/>
      <c r="CP276" s="467"/>
      <c r="CQ276" s="407"/>
      <c r="CR276" s="406"/>
      <c r="CS276" s="406"/>
      <c r="CT276" s="407"/>
      <c r="CU276" s="406"/>
      <c r="CV276" s="406"/>
      <c r="CW276" s="407"/>
      <c r="CX276" s="467"/>
      <c r="CY276" s="467"/>
      <c r="CZ276" s="406"/>
      <c r="DA276" s="407"/>
      <c r="DB276" s="467"/>
      <c r="DC276" s="467"/>
      <c r="DD276" s="467"/>
      <c r="DE276" s="467"/>
      <c r="DF276" s="407"/>
    </row>
    <row r="277" spans="1:110" ht="8.4499999999999993" customHeight="1" x14ac:dyDescent="0.2">
      <c r="A277" s="130" t="s">
        <v>674</v>
      </c>
      <c r="B277" s="104">
        <v>262</v>
      </c>
      <c r="C277" s="82" t="s">
        <v>2586</v>
      </c>
      <c r="D277" s="96">
        <v>43</v>
      </c>
      <c r="E277" s="82" t="s">
        <v>2012</v>
      </c>
      <c r="F277" s="82" t="s">
        <v>2010</v>
      </c>
      <c r="G277" s="101">
        <v>2331.29</v>
      </c>
      <c r="H277" s="98">
        <v>0.03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101">
        <v>1165.6500000000001</v>
      </c>
      <c r="BR277" s="102">
        <v>50</v>
      </c>
      <c r="BS277" s="102">
        <v>50</v>
      </c>
      <c r="BT277" s="101">
        <v>1165.6500000000001</v>
      </c>
      <c r="BU277" s="102">
        <v>50</v>
      </c>
      <c r="BV277" s="100">
        <v>100</v>
      </c>
      <c r="BW277" s="99"/>
      <c r="BX277" s="99"/>
      <c r="BY277" s="100">
        <v>100</v>
      </c>
      <c r="BZ277" s="99"/>
      <c r="CA277" s="99"/>
      <c r="CB277" s="100">
        <v>100</v>
      </c>
      <c r="CC277" s="99"/>
      <c r="CD277" s="99"/>
      <c r="CE277" s="989">
        <v>100</v>
      </c>
      <c r="CF277" s="406"/>
      <c r="CG277" s="406"/>
      <c r="CH277" s="407"/>
      <c r="CI277" s="406"/>
      <c r="CJ277" s="406"/>
      <c r="CK277" s="407"/>
      <c r="CL277" s="406"/>
      <c r="CM277" s="406"/>
      <c r="CN277" s="406"/>
      <c r="CO277" s="473"/>
      <c r="CP277" s="467"/>
      <c r="CQ277" s="407"/>
      <c r="CR277" s="406"/>
      <c r="CS277" s="406"/>
      <c r="CT277" s="407"/>
      <c r="CU277" s="406"/>
      <c r="CV277" s="406"/>
      <c r="CW277" s="407"/>
      <c r="CX277" s="467"/>
      <c r="CY277" s="467"/>
      <c r="CZ277" s="406"/>
      <c r="DA277" s="407"/>
      <c r="DB277" s="467"/>
      <c r="DC277" s="467"/>
      <c r="DD277" s="467"/>
      <c r="DE277" s="467"/>
      <c r="DF277" s="407"/>
    </row>
    <row r="278" spans="1:110" ht="8.4499999999999993" customHeight="1" x14ac:dyDescent="0.2">
      <c r="A278" s="130" t="s">
        <v>675</v>
      </c>
      <c r="B278" s="104">
        <v>263</v>
      </c>
      <c r="C278" s="82" t="s">
        <v>2587</v>
      </c>
      <c r="D278" s="96">
        <v>53</v>
      </c>
      <c r="E278" s="82" t="s">
        <v>2012</v>
      </c>
      <c r="F278" s="82" t="s">
        <v>2178</v>
      </c>
      <c r="G278" s="101">
        <v>2114.0500000000002</v>
      </c>
      <c r="H278" s="98">
        <v>0.02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100">
        <v>994.87</v>
      </c>
      <c r="BR278" s="102">
        <v>47.06</v>
      </c>
      <c r="BS278" s="102">
        <v>47.06</v>
      </c>
      <c r="BT278" s="101">
        <v>1011.36</v>
      </c>
      <c r="BU278" s="102">
        <v>47.84</v>
      </c>
      <c r="BV278" s="102">
        <v>94.9</v>
      </c>
      <c r="BW278" s="100">
        <v>107.82</v>
      </c>
      <c r="BX278" s="98">
        <v>5.0999999999999996</v>
      </c>
      <c r="BY278" s="100">
        <v>100</v>
      </c>
      <c r="BZ278" s="99"/>
      <c r="CA278" s="99"/>
      <c r="CB278" s="100">
        <v>100</v>
      </c>
      <c r="CC278" s="99"/>
      <c r="CD278" s="99"/>
      <c r="CE278" s="989">
        <v>100</v>
      </c>
      <c r="CF278" s="406"/>
      <c r="CG278" s="406"/>
      <c r="CH278" s="407"/>
      <c r="CI278" s="406"/>
      <c r="CJ278" s="406"/>
      <c r="CK278" s="407"/>
      <c r="CL278" s="406"/>
      <c r="CM278" s="406"/>
      <c r="CN278" s="406"/>
      <c r="CO278" s="464"/>
      <c r="CP278" s="464"/>
      <c r="CQ278" s="460"/>
      <c r="CR278" s="411"/>
      <c r="CS278" s="405"/>
      <c r="CT278" s="405"/>
      <c r="CU278" s="460"/>
      <c r="CV278" s="460"/>
      <c r="CW278" s="405"/>
      <c r="CX278" s="464"/>
      <c r="CY278" s="464"/>
      <c r="CZ278" s="460"/>
      <c r="DA278" s="405"/>
      <c r="DB278" s="464"/>
      <c r="DC278" s="464"/>
      <c r="DD278" s="464"/>
      <c r="DE278" s="464"/>
      <c r="DF278" s="405"/>
    </row>
    <row r="279" spans="1:110" ht="8.4499999999999993" customHeight="1" x14ac:dyDescent="0.2">
      <c r="A279" s="130" t="s">
        <v>676</v>
      </c>
      <c r="B279" s="104">
        <v>264</v>
      </c>
      <c r="C279" s="82" t="s">
        <v>2588</v>
      </c>
      <c r="D279" s="96">
        <v>43</v>
      </c>
      <c r="E279" s="82" t="s">
        <v>2012</v>
      </c>
      <c r="F279" s="82" t="s">
        <v>2010</v>
      </c>
      <c r="G279" s="101">
        <v>1077.5999999999999</v>
      </c>
      <c r="H279" s="98">
        <v>0.01</v>
      </c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100">
        <v>538.79999999999995</v>
      </c>
      <c r="BR279" s="102">
        <v>50</v>
      </c>
      <c r="BS279" s="102">
        <v>50</v>
      </c>
      <c r="BT279" s="100">
        <v>538.79999999999995</v>
      </c>
      <c r="BU279" s="102">
        <v>50</v>
      </c>
      <c r="BV279" s="100">
        <v>100</v>
      </c>
      <c r="BW279" s="99"/>
      <c r="BX279" s="99"/>
      <c r="BY279" s="100">
        <v>100</v>
      </c>
      <c r="BZ279" s="99"/>
      <c r="CA279" s="99"/>
      <c r="CB279" s="100">
        <v>100</v>
      </c>
      <c r="CC279" s="99"/>
      <c r="CD279" s="99"/>
      <c r="CE279" s="989">
        <v>100</v>
      </c>
      <c r="CF279" s="460"/>
      <c r="CG279" s="460"/>
      <c r="CH279" s="405"/>
      <c r="CI279" s="460"/>
      <c r="CJ279" s="460"/>
      <c r="CK279" s="405"/>
      <c r="CL279" s="460"/>
      <c r="CM279" s="460"/>
      <c r="CN279" s="460"/>
      <c r="CO279" s="467"/>
      <c r="CP279" s="467"/>
      <c r="CQ279" s="406"/>
      <c r="CR279" s="412"/>
      <c r="CS279" s="407"/>
      <c r="CT279" s="407"/>
      <c r="CU279" s="406"/>
      <c r="CV279" s="406"/>
      <c r="CW279" s="407"/>
      <c r="CX279" s="467"/>
      <c r="CY279" s="467"/>
      <c r="CZ279" s="406"/>
      <c r="DA279" s="407"/>
      <c r="DB279" s="467"/>
      <c r="DC279" s="467"/>
      <c r="DD279" s="467"/>
      <c r="DE279" s="467"/>
      <c r="DF279" s="407"/>
    </row>
    <row r="280" spans="1:110" ht="8.4499999999999993" customHeight="1" x14ac:dyDescent="0.2">
      <c r="A280" s="130" t="s">
        <v>2301</v>
      </c>
      <c r="B280" s="104">
        <v>265</v>
      </c>
      <c r="C280" s="82" t="s">
        <v>2589</v>
      </c>
      <c r="D280" s="96">
        <v>53</v>
      </c>
      <c r="E280" s="82" t="s">
        <v>2012</v>
      </c>
      <c r="F280" s="82" t="s">
        <v>2178</v>
      </c>
      <c r="G280" s="101">
        <v>1937.5</v>
      </c>
      <c r="H280" s="98">
        <v>0.02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100">
        <v>909.85</v>
      </c>
      <c r="BR280" s="102">
        <v>46.96</v>
      </c>
      <c r="BS280" s="102">
        <v>46.96</v>
      </c>
      <c r="BT280" s="100">
        <v>916.44</v>
      </c>
      <c r="BU280" s="102">
        <v>47.3</v>
      </c>
      <c r="BV280" s="102">
        <v>94.26</v>
      </c>
      <c r="BW280" s="100">
        <v>111.21</v>
      </c>
      <c r="BX280" s="98">
        <v>5.74</v>
      </c>
      <c r="BY280" s="100">
        <v>100</v>
      </c>
      <c r="BZ280" s="99"/>
      <c r="CA280" s="99"/>
      <c r="CB280" s="100">
        <v>100</v>
      </c>
      <c r="CC280" s="99"/>
      <c r="CD280" s="99"/>
      <c r="CE280" s="989">
        <v>100</v>
      </c>
      <c r="CF280" s="406"/>
      <c r="CG280" s="406"/>
      <c r="CH280" s="407"/>
      <c r="CI280" s="406"/>
      <c r="CJ280" s="406"/>
      <c r="CK280" s="407"/>
      <c r="CL280" s="406"/>
      <c r="CM280" s="406"/>
      <c r="CN280" s="406"/>
      <c r="CO280" s="467"/>
      <c r="CP280" s="467"/>
      <c r="CQ280" s="406"/>
      <c r="CR280" s="412"/>
      <c r="CS280" s="407"/>
      <c r="CT280" s="407"/>
      <c r="CU280" s="406"/>
      <c r="CV280" s="406"/>
      <c r="CW280" s="407"/>
      <c r="CX280" s="467"/>
      <c r="CY280" s="467"/>
      <c r="CZ280" s="406"/>
      <c r="DA280" s="407"/>
      <c r="DB280" s="467"/>
      <c r="DC280" s="467"/>
      <c r="DD280" s="467"/>
      <c r="DE280" s="467"/>
      <c r="DF280" s="407"/>
    </row>
    <row r="281" spans="1:110" ht="8.4499999999999993" customHeight="1" x14ac:dyDescent="0.2">
      <c r="A281" s="130" t="s">
        <v>2303</v>
      </c>
      <c r="B281" s="104">
        <v>266</v>
      </c>
      <c r="C281" s="82" t="s">
        <v>2590</v>
      </c>
      <c r="D281" s="96">
        <v>43</v>
      </c>
      <c r="E281" s="82" t="s">
        <v>2012</v>
      </c>
      <c r="F281" s="82" t="s">
        <v>2010</v>
      </c>
      <c r="G281" s="101">
        <v>1926.23</v>
      </c>
      <c r="H281" s="98">
        <v>0.02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100">
        <v>963.12</v>
      </c>
      <c r="BR281" s="102">
        <v>50</v>
      </c>
      <c r="BS281" s="102">
        <v>50</v>
      </c>
      <c r="BT281" s="100">
        <v>963.12</v>
      </c>
      <c r="BU281" s="102">
        <v>50</v>
      </c>
      <c r="BV281" s="100">
        <v>100</v>
      </c>
      <c r="BW281" s="99"/>
      <c r="BX281" s="99"/>
      <c r="BY281" s="100">
        <v>100</v>
      </c>
      <c r="BZ281" s="99"/>
      <c r="CA281" s="99"/>
      <c r="CB281" s="100">
        <v>100</v>
      </c>
      <c r="CC281" s="99"/>
      <c r="CD281" s="99"/>
      <c r="CE281" s="989">
        <v>100</v>
      </c>
      <c r="CF281" s="406"/>
      <c r="CG281" s="406"/>
      <c r="CH281" s="407"/>
      <c r="CI281" s="406"/>
      <c r="CJ281" s="406"/>
      <c r="CK281" s="407"/>
      <c r="CL281" s="406"/>
      <c r="CM281" s="406"/>
      <c r="CN281" s="406"/>
      <c r="CO281" s="466"/>
      <c r="CP281" s="464"/>
      <c r="CQ281" s="404"/>
      <c r="CR281" s="403"/>
      <c r="CS281" s="404"/>
      <c r="CT281" s="404"/>
      <c r="CU281" s="403"/>
      <c r="CV281" s="462"/>
      <c r="CW281" s="405"/>
      <c r="CX281" s="464"/>
      <c r="CY281" s="464"/>
      <c r="CZ281" s="460"/>
      <c r="DA281" s="405"/>
      <c r="DB281" s="464"/>
      <c r="DC281" s="464"/>
      <c r="DD281" s="464"/>
      <c r="DE281" s="464"/>
      <c r="DF281" s="405"/>
    </row>
    <row r="282" spans="1:110" ht="8.4499999999999993" customHeight="1" x14ac:dyDescent="0.2">
      <c r="A282" s="130" t="s">
        <v>146</v>
      </c>
      <c r="B282" s="103">
        <v>267</v>
      </c>
      <c r="C282" s="87" t="s">
        <v>358</v>
      </c>
      <c r="D282" s="103">
        <v>426</v>
      </c>
      <c r="E282" s="87" t="s">
        <v>1950</v>
      </c>
      <c r="F282" s="87" t="s">
        <v>2380</v>
      </c>
      <c r="G282" s="105">
        <v>936245.66</v>
      </c>
      <c r="H282" s="91">
        <v>10.64</v>
      </c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2">
        <v>2135.3200000000002</v>
      </c>
      <c r="Y282" s="90">
        <v>0.21</v>
      </c>
      <c r="Z282" s="90">
        <v>0.21</v>
      </c>
      <c r="AA282" s="92">
        <v>2135.3200000000002</v>
      </c>
      <c r="AB282" s="90">
        <v>0.21</v>
      </c>
      <c r="AC282" s="90">
        <v>0.42</v>
      </c>
      <c r="AD282" s="92">
        <v>1708.26</v>
      </c>
      <c r="AE282" s="90">
        <v>0.17</v>
      </c>
      <c r="AF282" s="90">
        <v>0.59</v>
      </c>
      <c r="AG282" s="92">
        <v>2562.39</v>
      </c>
      <c r="AH282" s="90">
        <v>0.25</v>
      </c>
      <c r="AI282" s="90">
        <v>0.85</v>
      </c>
      <c r="AJ282" s="92">
        <v>4911.24</v>
      </c>
      <c r="AK282" s="90">
        <v>0.49</v>
      </c>
      <c r="AL282" s="90">
        <v>1.33</v>
      </c>
      <c r="AM282" s="89">
        <v>34019.339999999997</v>
      </c>
      <c r="AN282" s="90">
        <v>3.3</v>
      </c>
      <c r="AO282" s="90">
        <v>4.63</v>
      </c>
      <c r="AP282" s="89">
        <v>20944.060000000001</v>
      </c>
      <c r="AQ282" s="90">
        <v>2.04</v>
      </c>
      <c r="AR282" s="90">
        <v>6.67</v>
      </c>
      <c r="AS282" s="89">
        <v>51803.39</v>
      </c>
      <c r="AT282" s="90">
        <v>5.03</v>
      </c>
      <c r="AU282" s="91">
        <v>11.7</v>
      </c>
      <c r="AV282" s="89">
        <v>76684.47</v>
      </c>
      <c r="AW282" s="90">
        <v>7.51</v>
      </c>
      <c r="AX282" s="91">
        <v>19.21</v>
      </c>
      <c r="AY282" s="89">
        <v>71074.13</v>
      </c>
      <c r="AZ282" s="90">
        <v>7.28</v>
      </c>
      <c r="BA282" s="91">
        <v>26.49</v>
      </c>
      <c r="BB282" s="89">
        <v>98501.08</v>
      </c>
      <c r="BC282" s="91">
        <v>11.49</v>
      </c>
      <c r="BD282" s="91">
        <v>37.97</v>
      </c>
      <c r="BE282" s="89">
        <v>90061.95</v>
      </c>
      <c r="BF282" s="91">
        <v>10.37</v>
      </c>
      <c r="BG282" s="91">
        <v>48.34</v>
      </c>
      <c r="BH282" s="89">
        <v>93444.67</v>
      </c>
      <c r="BI282" s="91">
        <v>10.94</v>
      </c>
      <c r="BJ282" s="91">
        <v>59.28</v>
      </c>
      <c r="BK282" s="89">
        <v>19677.919999999998</v>
      </c>
      <c r="BL282" s="90">
        <v>2.0499999999999998</v>
      </c>
      <c r="BM282" s="91">
        <v>61.33</v>
      </c>
      <c r="BN282" s="89">
        <v>91856.53</v>
      </c>
      <c r="BO282" s="90">
        <v>9.43</v>
      </c>
      <c r="BP282" s="91">
        <v>70.760000000000005</v>
      </c>
      <c r="BQ282" s="89">
        <v>70120.72</v>
      </c>
      <c r="BR282" s="90">
        <v>7.08</v>
      </c>
      <c r="BS282" s="91">
        <v>77.84</v>
      </c>
      <c r="BT282" s="89">
        <v>26392.13</v>
      </c>
      <c r="BU282" s="90">
        <v>2.63</v>
      </c>
      <c r="BV282" s="91">
        <v>80.47</v>
      </c>
      <c r="BW282" s="89">
        <v>59655.4</v>
      </c>
      <c r="BX282" s="90">
        <v>6.12</v>
      </c>
      <c r="BY282" s="91">
        <v>86.59</v>
      </c>
      <c r="BZ282" s="89">
        <v>54685.83</v>
      </c>
      <c r="CA282" s="90">
        <v>5.63</v>
      </c>
      <c r="CB282" s="91">
        <v>92.23</v>
      </c>
      <c r="CC282" s="92">
        <v>5086.5</v>
      </c>
      <c r="CD282" s="90">
        <v>0.62</v>
      </c>
      <c r="CE282" s="990">
        <v>92.84</v>
      </c>
      <c r="CF282" s="460"/>
      <c r="CG282" s="460"/>
      <c r="CH282" s="405"/>
      <c r="CI282" s="460"/>
      <c r="CJ282" s="460"/>
      <c r="CK282" s="405"/>
      <c r="CL282" s="460"/>
      <c r="CM282" s="460"/>
      <c r="CN282" s="460"/>
      <c r="CO282" s="466"/>
      <c r="CP282" s="464"/>
      <c r="CQ282" s="404"/>
      <c r="CR282" s="403"/>
      <c r="CS282" s="404"/>
      <c r="CT282" s="404"/>
      <c r="CU282" s="403"/>
      <c r="CV282" s="462"/>
      <c r="CW282" s="405"/>
      <c r="CX282" s="464"/>
      <c r="CY282" s="464"/>
      <c r="CZ282" s="460"/>
      <c r="DA282" s="405"/>
      <c r="DB282" s="464"/>
      <c r="DC282" s="464"/>
      <c r="DD282" s="464"/>
      <c r="DE282" s="464"/>
      <c r="DF282" s="405"/>
    </row>
    <row r="283" spans="1:110" ht="8.4499999999999993" customHeight="1" x14ac:dyDescent="0.2">
      <c r="A283" s="130" t="s">
        <v>677</v>
      </c>
      <c r="B283" s="104">
        <v>268</v>
      </c>
      <c r="C283" s="82" t="s">
        <v>2591</v>
      </c>
      <c r="D283" s="104">
        <v>394</v>
      </c>
      <c r="E283" s="82" t="s">
        <v>1950</v>
      </c>
      <c r="F283" s="82" t="s">
        <v>2195</v>
      </c>
      <c r="G283" s="106">
        <v>158666</v>
      </c>
      <c r="H283" s="98">
        <v>1.8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101">
        <v>1110.6600000000001</v>
      </c>
      <c r="Y283" s="98">
        <v>0.7</v>
      </c>
      <c r="Z283" s="98">
        <v>0.7</v>
      </c>
      <c r="AA283" s="101">
        <v>1110.6600000000001</v>
      </c>
      <c r="AB283" s="98">
        <v>0.7</v>
      </c>
      <c r="AC283" s="98">
        <v>1.4</v>
      </c>
      <c r="AD283" s="100">
        <v>888.53</v>
      </c>
      <c r="AE283" s="98">
        <v>0.56000000000000005</v>
      </c>
      <c r="AF283" s="98">
        <v>1.96</v>
      </c>
      <c r="AG283" s="101">
        <v>1332.79</v>
      </c>
      <c r="AH283" s="98">
        <v>0.84</v>
      </c>
      <c r="AI283" s="98">
        <v>2.8</v>
      </c>
      <c r="AJ283" s="101">
        <v>2554.52</v>
      </c>
      <c r="AK283" s="98">
        <v>1.61</v>
      </c>
      <c r="AL283" s="98">
        <v>4.41</v>
      </c>
      <c r="AM283" s="101">
        <v>3236.79</v>
      </c>
      <c r="AN283" s="98">
        <v>2.04</v>
      </c>
      <c r="AO283" s="98">
        <v>6.45</v>
      </c>
      <c r="AP283" s="101">
        <v>4045.98</v>
      </c>
      <c r="AQ283" s="98">
        <v>2.5499999999999998</v>
      </c>
      <c r="AR283" s="98">
        <v>9</v>
      </c>
      <c r="AS283" s="101">
        <v>7552.5</v>
      </c>
      <c r="AT283" s="98">
        <v>4.76</v>
      </c>
      <c r="AU283" s="102">
        <v>13.76</v>
      </c>
      <c r="AV283" s="101">
        <v>1729.46</v>
      </c>
      <c r="AW283" s="98">
        <v>1.0900000000000001</v>
      </c>
      <c r="AX283" s="102">
        <v>14.85</v>
      </c>
      <c r="AY283" s="102">
        <v>95.2</v>
      </c>
      <c r="AZ283" s="98">
        <v>0.06</v>
      </c>
      <c r="BA283" s="102">
        <v>14.91</v>
      </c>
      <c r="BB283" s="101">
        <v>7917.43</v>
      </c>
      <c r="BC283" s="98">
        <v>4.99</v>
      </c>
      <c r="BD283" s="102">
        <v>19.899999999999999</v>
      </c>
      <c r="BE283" s="97">
        <v>13185.14</v>
      </c>
      <c r="BF283" s="98">
        <v>8.31</v>
      </c>
      <c r="BG283" s="102">
        <v>28.21</v>
      </c>
      <c r="BH283" s="101">
        <v>9662.76</v>
      </c>
      <c r="BI283" s="98">
        <v>6.09</v>
      </c>
      <c r="BJ283" s="102">
        <v>34.299999999999997</v>
      </c>
      <c r="BK283" s="101">
        <v>1761.19</v>
      </c>
      <c r="BL283" s="98">
        <v>1.1100000000000001</v>
      </c>
      <c r="BM283" s="102">
        <v>35.409999999999997</v>
      </c>
      <c r="BN283" s="97">
        <v>24736.03</v>
      </c>
      <c r="BO283" s="102">
        <v>15.59</v>
      </c>
      <c r="BP283" s="102">
        <v>51</v>
      </c>
      <c r="BQ283" s="97">
        <v>33351.589999999997</v>
      </c>
      <c r="BR283" s="102">
        <v>21.02</v>
      </c>
      <c r="BS283" s="102">
        <v>72.02</v>
      </c>
      <c r="BT283" s="97">
        <v>10852.75</v>
      </c>
      <c r="BU283" s="98">
        <v>6.84</v>
      </c>
      <c r="BV283" s="102">
        <v>78.86</v>
      </c>
      <c r="BW283" s="97">
        <v>14581.41</v>
      </c>
      <c r="BX283" s="98">
        <v>9.19</v>
      </c>
      <c r="BY283" s="102">
        <v>88.05</v>
      </c>
      <c r="BZ283" s="97">
        <v>18960.59</v>
      </c>
      <c r="CA283" s="102">
        <v>11.95</v>
      </c>
      <c r="CB283" s="100">
        <v>100</v>
      </c>
      <c r="CC283" s="99"/>
      <c r="CD283" s="99"/>
      <c r="CE283" s="989">
        <v>100</v>
      </c>
      <c r="CF283" s="406"/>
      <c r="CG283" s="406"/>
      <c r="CH283" s="407"/>
      <c r="CI283" s="406"/>
      <c r="CJ283" s="406"/>
      <c r="CK283" s="407"/>
      <c r="CL283" s="406"/>
      <c r="CM283" s="406"/>
      <c r="CN283" s="406"/>
      <c r="CO283" s="473"/>
      <c r="CP283" s="467"/>
      <c r="CQ283" s="409"/>
      <c r="CR283" s="410"/>
      <c r="CS283" s="409"/>
      <c r="CT283" s="407"/>
      <c r="CU283" s="406"/>
      <c r="CV283" s="406"/>
      <c r="CW283" s="407"/>
      <c r="CX283" s="467"/>
      <c r="CY283" s="467"/>
      <c r="CZ283" s="406"/>
      <c r="DA283" s="407"/>
      <c r="DB283" s="467"/>
      <c r="DC283" s="467"/>
      <c r="DD283" s="467"/>
      <c r="DE283" s="467"/>
      <c r="DF283" s="407"/>
    </row>
    <row r="284" spans="1:110" ht="8.4499999999999993" customHeight="1" x14ac:dyDescent="0.2">
      <c r="A284" s="130" t="s">
        <v>678</v>
      </c>
      <c r="B284" s="104">
        <v>269</v>
      </c>
      <c r="C284" s="82" t="s">
        <v>2592</v>
      </c>
      <c r="D284" s="104">
        <v>394</v>
      </c>
      <c r="E284" s="82" t="s">
        <v>1950</v>
      </c>
      <c r="F284" s="82" t="s">
        <v>2195</v>
      </c>
      <c r="G284" s="106">
        <v>146380.24</v>
      </c>
      <c r="H284" s="98">
        <v>1.66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101">
        <v>1024.6600000000001</v>
      </c>
      <c r="Y284" s="98">
        <v>0.7</v>
      </c>
      <c r="Z284" s="98">
        <v>0.7</v>
      </c>
      <c r="AA284" s="101">
        <v>1024.6600000000001</v>
      </c>
      <c r="AB284" s="98">
        <v>0.7</v>
      </c>
      <c r="AC284" s="98">
        <v>1.4</v>
      </c>
      <c r="AD284" s="100">
        <v>819.73</v>
      </c>
      <c r="AE284" s="98">
        <v>0.56000000000000005</v>
      </c>
      <c r="AF284" s="98">
        <v>1.96</v>
      </c>
      <c r="AG284" s="101">
        <v>1229.5899999999999</v>
      </c>
      <c r="AH284" s="98">
        <v>0.84</v>
      </c>
      <c r="AI284" s="98">
        <v>2.8</v>
      </c>
      <c r="AJ284" s="101">
        <v>2356.7199999999998</v>
      </c>
      <c r="AK284" s="98">
        <v>1.61</v>
      </c>
      <c r="AL284" s="98">
        <v>4.41</v>
      </c>
      <c r="AM284" s="101">
        <v>2986.16</v>
      </c>
      <c r="AN284" s="98">
        <v>2.04</v>
      </c>
      <c r="AO284" s="98">
        <v>6.45</v>
      </c>
      <c r="AP284" s="101">
        <v>3732.7</v>
      </c>
      <c r="AQ284" s="98">
        <v>2.5499999999999998</v>
      </c>
      <c r="AR284" s="98">
        <v>9</v>
      </c>
      <c r="AS284" s="101">
        <v>6967.7</v>
      </c>
      <c r="AT284" s="98">
        <v>4.76</v>
      </c>
      <c r="AU284" s="102">
        <v>13.76</v>
      </c>
      <c r="AV284" s="101">
        <v>1595.54</v>
      </c>
      <c r="AW284" s="98">
        <v>1.0900000000000001</v>
      </c>
      <c r="AX284" s="102">
        <v>14.85</v>
      </c>
      <c r="AY284" s="102">
        <v>87.83</v>
      </c>
      <c r="AZ284" s="98">
        <v>0.06</v>
      </c>
      <c r="BA284" s="102">
        <v>14.91</v>
      </c>
      <c r="BB284" s="101">
        <v>7304.37</v>
      </c>
      <c r="BC284" s="98">
        <v>4.99</v>
      </c>
      <c r="BD284" s="102">
        <v>19.899999999999999</v>
      </c>
      <c r="BE284" s="97">
        <v>12164.2</v>
      </c>
      <c r="BF284" s="98">
        <v>8.31</v>
      </c>
      <c r="BG284" s="102">
        <v>28.21</v>
      </c>
      <c r="BH284" s="101">
        <v>8914.56</v>
      </c>
      <c r="BI284" s="98">
        <v>6.09</v>
      </c>
      <c r="BJ284" s="102">
        <v>34.299999999999997</v>
      </c>
      <c r="BK284" s="101">
        <v>1624.82</v>
      </c>
      <c r="BL284" s="98">
        <v>1.1100000000000001</v>
      </c>
      <c r="BM284" s="102">
        <v>35.409999999999997</v>
      </c>
      <c r="BN284" s="97">
        <v>22820.68</v>
      </c>
      <c r="BO284" s="102">
        <v>15.59</v>
      </c>
      <c r="BP284" s="102">
        <v>51</v>
      </c>
      <c r="BQ284" s="97">
        <v>30769.13</v>
      </c>
      <c r="BR284" s="102">
        <v>21.02</v>
      </c>
      <c r="BS284" s="102">
        <v>72.02</v>
      </c>
      <c r="BT284" s="97">
        <v>10012.41</v>
      </c>
      <c r="BU284" s="98">
        <v>6.84</v>
      </c>
      <c r="BV284" s="102">
        <v>78.86</v>
      </c>
      <c r="BW284" s="97">
        <v>13452.34</v>
      </c>
      <c r="BX284" s="98">
        <v>9.19</v>
      </c>
      <c r="BY284" s="102">
        <v>88.05</v>
      </c>
      <c r="BZ284" s="97">
        <v>17492.439999999999</v>
      </c>
      <c r="CA284" s="102">
        <v>11.95</v>
      </c>
      <c r="CB284" s="100">
        <v>100</v>
      </c>
      <c r="CC284" s="99"/>
      <c r="CD284" s="99"/>
      <c r="CE284" s="989">
        <v>100</v>
      </c>
      <c r="CF284" s="406"/>
      <c r="CG284" s="406"/>
      <c r="CH284" s="407"/>
      <c r="CI284" s="406"/>
      <c r="CJ284" s="406"/>
      <c r="CK284" s="407"/>
      <c r="CL284" s="406"/>
      <c r="CM284" s="406"/>
      <c r="CN284" s="406"/>
      <c r="CO284" s="473"/>
      <c r="CP284" s="467"/>
      <c r="CQ284" s="409"/>
      <c r="CR284" s="410"/>
      <c r="CS284" s="409"/>
      <c r="CT284" s="407"/>
      <c r="CU284" s="406"/>
      <c r="CV284" s="406"/>
      <c r="CW284" s="407"/>
      <c r="CX284" s="467"/>
      <c r="CY284" s="467"/>
      <c r="CZ284" s="406"/>
      <c r="DA284" s="407"/>
      <c r="DB284" s="467"/>
      <c r="DC284" s="467"/>
      <c r="DD284" s="467"/>
      <c r="DE284" s="467"/>
      <c r="DF284" s="407"/>
    </row>
    <row r="285" spans="1:110" ht="16.899999999999999" customHeight="1" x14ac:dyDescent="0.2">
      <c r="A285" s="130" t="s">
        <v>679</v>
      </c>
      <c r="B285" s="104">
        <v>270</v>
      </c>
      <c r="C285" s="82" t="s">
        <v>2593</v>
      </c>
      <c r="D285" s="104">
        <v>281</v>
      </c>
      <c r="E285" s="82" t="s">
        <v>2594</v>
      </c>
      <c r="F285" s="82" t="s">
        <v>2566</v>
      </c>
      <c r="G285" s="106">
        <v>123116.2</v>
      </c>
      <c r="H285" s="98">
        <v>1.4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7">
        <v>13542.78</v>
      </c>
      <c r="AN285" s="102">
        <v>11</v>
      </c>
      <c r="AO285" s="102">
        <v>11</v>
      </c>
      <c r="AP285" s="101">
        <v>6414.35</v>
      </c>
      <c r="AQ285" s="98">
        <v>5.21</v>
      </c>
      <c r="AR285" s="102">
        <v>16.21</v>
      </c>
      <c r="AS285" s="97">
        <v>14355.35</v>
      </c>
      <c r="AT285" s="102">
        <v>11.66</v>
      </c>
      <c r="AU285" s="102">
        <v>27.87</v>
      </c>
      <c r="AV285" s="97">
        <v>29055.42</v>
      </c>
      <c r="AW285" s="102">
        <v>23.6</v>
      </c>
      <c r="AX285" s="102">
        <v>51.47</v>
      </c>
      <c r="AY285" s="97">
        <v>23256.65</v>
      </c>
      <c r="AZ285" s="102">
        <v>18.89</v>
      </c>
      <c r="BA285" s="102">
        <v>70.36</v>
      </c>
      <c r="BB285" s="101">
        <v>2757.8</v>
      </c>
      <c r="BC285" s="98">
        <v>2.2400000000000002</v>
      </c>
      <c r="BD285" s="102">
        <v>72.599999999999994</v>
      </c>
      <c r="BE285" s="99"/>
      <c r="BF285" s="99"/>
      <c r="BG285" s="102">
        <v>72.599999999999994</v>
      </c>
      <c r="BH285" s="99"/>
      <c r="BI285" s="99"/>
      <c r="BJ285" s="102">
        <v>72.599999999999994</v>
      </c>
      <c r="BK285" s="101">
        <v>5170.88</v>
      </c>
      <c r="BL285" s="98">
        <v>4.2</v>
      </c>
      <c r="BM285" s="102">
        <v>76.8</v>
      </c>
      <c r="BN285" s="97">
        <v>13038.01</v>
      </c>
      <c r="BO285" s="102">
        <v>10.59</v>
      </c>
      <c r="BP285" s="102">
        <v>87.39</v>
      </c>
      <c r="BQ285" s="99"/>
      <c r="BR285" s="99"/>
      <c r="BS285" s="102">
        <v>87.39</v>
      </c>
      <c r="BT285" s="101">
        <v>2092.98</v>
      </c>
      <c r="BU285" s="98">
        <v>1.7</v>
      </c>
      <c r="BV285" s="102">
        <v>89.09</v>
      </c>
      <c r="BW285" s="101">
        <v>9676.93</v>
      </c>
      <c r="BX285" s="98">
        <v>7.86</v>
      </c>
      <c r="BY285" s="102">
        <v>96.95</v>
      </c>
      <c r="BZ285" s="101">
        <v>3755.04</v>
      </c>
      <c r="CA285" s="98">
        <v>3.05</v>
      </c>
      <c r="CB285" s="100">
        <v>100</v>
      </c>
      <c r="CC285" s="99"/>
      <c r="CD285" s="99"/>
      <c r="CE285" s="989">
        <v>100</v>
      </c>
      <c r="CF285" s="406"/>
      <c r="CG285" s="406"/>
      <c r="CH285" s="407"/>
      <c r="CI285" s="406"/>
      <c r="CJ285" s="406"/>
      <c r="CK285" s="407"/>
      <c r="CL285" s="406"/>
      <c r="CM285" s="406"/>
      <c r="CN285" s="406"/>
      <c r="CO285" s="467"/>
      <c r="CP285" s="467"/>
      <c r="CQ285" s="406"/>
      <c r="CR285" s="410"/>
      <c r="CS285" s="409"/>
      <c r="CT285" s="409"/>
      <c r="CU285" s="410"/>
      <c r="CV285" s="409"/>
      <c r="CW285" s="407"/>
      <c r="CX285" s="467"/>
      <c r="CY285" s="467"/>
      <c r="CZ285" s="406"/>
      <c r="DA285" s="407"/>
      <c r="DB285" s="467"/>
      <c r="DC285" s="467"/>
      <c r="DD285" s="467"/>
      <c r="DE285" s="467"/>
      <c r="DF285" s="407"/>
    </row>
    <row r="286" spans="1:110" ht="8.4499999999999993" customHeight="1" x14ac:dyDescent="0.2">
      <c r="A286" s="130" t="s">
        <v>680</v>
      </c>
      <c r="B286" s="104">
        <v>271</v>
      </c>
      <c r="C286" s="82" t="s">
        <v>2595</v>
      </c>
      <c r="D286" s="104">
        <v>281</v>
      </c>
      <c r="E286" s="82" t="s">
        <v>2594</v>
      </c>
      <c r="F286" s="82" t="s">
        <v>2566</v>
      </c>
      <c r="G286" s="106">
        <v>129578.31</v>
      </c>
      <c r="H286" s="98">
        <v>1.47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7">
        <v>14253.61</v>
      </c>
      <c r="AN286" s="102">
        <v>11</v>
      </c>
      <c r="AO286" s="102">
        <v>11</v>
      </c>
      <c r="AP286" s="101">
        <v>6751.03</v>
      </c>
      <c r="AQ286" s="98">
        <v>5.21</v>
      </c>
      <c r="AR286" s="102">
        <v>16.21</v>
      </c>
      <c r="AS286" s="97">
        <v>15108.83</v>
      </c>
      <c r="AT286" s="102">
        <v>11.66</v>
      </c>
      <c r="AU286" s="102">
        <v>27.87</v>
      </c>
      <c r="AV286" s="97">
        <v>30580.48</v>
      </c>
      <c r="AW286" s="102">
        <v>23.6</v>
      </c>
      <c r="AX286" s="102">
        <v>51.47</v>
      </c>
      <c r="AY286" s="97">
        <v>24477.34</v>
      </c>
      <c r="AZ286" s="102">
        <v>18.89</v>
      </c>
      <c r="BA286" s="102">
        <v>70.36</v>
      </c>
      <c r="BB286" s="101">
        <v>2902.55</v>
      </c>
      <c r="BC286" s="98">
        <v>2.2400000000000002</v>
      </c>
      <c r="BD286" s="102">
        <v>72.599999999999994</v>
      </c>
      <c r="BE286" s="99"/>
      <c r="BF286" s="99"/>
      <c r="BG286" s="102">
        <v>72.599999999999994</v>
      </c>
      <c r="BH286" s="99"/>
      <c r="BI286" s="99"/>
      <c r="BJ286" s="102">
        <v>72.599999999999994</v>
      </c>
      <c r="BK286" s="101">
        <v>5442.29</v>
      </c>
      <c r="BL286" s="98">
        <v>4.2</v>
      </c>
      <c r="BM286" s="102">
        <v>76.8</v>
      </c>
      <c r="BN286" s="97">
        <v>13722.34</v>
      </c>
      <c r="BO286" s="102">
        <v>10.59</v>
      </c>
      <c r="BP286" s="102">
        <v>87.39</v>
      </c>
      <c r="BQ286" s="99"/>
      <c r="BR286" s="99"/>
      <c r="BS286" s="102">
        <v>87.39</v>
      </c>
      <c r="BT286" s="101">
        <v>2202.83</v>
      </c>
      <c r="BU286" s="98">
        <v>1.7</v>
      </c>
      <c r="BV286" s="102">
        <v>89.09</v>
      </c>
      <c r="BW286" s="97">
        <v>10184.86</v>
      </c>
      <c r="BX286" s="98">
        <v>7.86</v>
      </c>
      <c r="BY286" s="102">
        <v>96.95</v>
      </c>
      <c r="BZ286" s="101">
        <v>3952.14</v>
      </c>
      <c r="CA286" s="98">
        <v>3.05</v>
      </c>
      <c r="CB286" s="100">
        <v>100</v>
      </c>
      <c r="CC286" s="99"/>
      <c r="CD286" s="99"/>
      <c r="CE286" s="989">
        <v>100</v>
      </c>
      <c r="CF286" s="406"/>
      <c r="CG286" s="406"/>
      <c r="CH286" s="407"/>
      <c r="CI286" s="406"/>
      <c r="CJ286" s="406"/>
      <c r="CK286" s="407"/>
      <c r="CL286" s="406"/>
      <c r="CM286" s="406"/>
      <c r="CN286" s="406"/>
      <c r="CO286" s="467"/>
      <c r="CP286" s="467"/>
      <c r="CQ286" s="407"/>
      <c r="CR286" s="406"/>
      <c r="CS286" s="406"/>
      <c r="CT286" s="407"/>
      <c r="CU286" s="406"/>
      <c r="CV286" s="406"/>
      <c r="CW286" s="407"/>
      <c r="CX286" s="467"/>
      <c r="CY286" s="467"/>
      <c r="CZ286" s="406"/>
      <c r="DA286" s="407"/>
      <c r="DB286" s="467"/>
      <c r="DC286" s="467"/>
      <c r="DD286" s="467"/>
      <c r="DE286" s="467"/>
      <c r="DF286" s="407"/>
    </row>
    <row r="287" spans="1:110" ht="8.4499999999999993" customHeight="1" x14ac:dyDescent="0.2">
      <c r="A287" s="130" t="s">
        <v>681</v>
      </c>
      <c r="B287" s="104">
        <v>272</v>
      </c>
      <c r="C287" s="82" t="s">
        <v>2596</v>
      </c>
      <c r="D287" s="96">
        <v>57</v>
      </c>
      <c r="E287" s="82" t="s">
        <v>2179</v>
      </c>
      <c r="F287" s="82" t="s">
        <v>2597</v>
      </c>
      <c r="G287" s="97">
        <v>18808.91</v>
      </c>
      <c r="H287" s="98">
        <v>0.21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101">
        <v>6269.01</v>
      </c>
      <c r="AT287" s="102">
        <v>33.33</v>
      </c>
      <c r="AU287" s="102">
        <v>33.33</v>
      </c>
      <c r="AV287" s="101">
        <v>7523.56</v>
      </c>
      <c r="AW287" s="102">
        <v>40</v>
      </c>
      <c r="AX287" s="102">
        <v>73.33</v>
      </c>
      <c r="AY287" s="101">
        <v>5016.34</v>
      </c>
      <c r="AZ287" s="102">
        <v>26.67</v>
      </c>
      <c r="BA287" s="100">
        <v>100</v>
      </c>
      <c r="BB287" s="99"/>
      <c r="BC287" s="99"/>
      <c r="BD287" s="100">
        <v>100</v>
      </c>
      <c r="BE287" s="99"/>
      <c r="BF287" s="99"/>
      <c r="BG287" s="100">
        <v>100</v>
      </c>
      <c r="BH287" s="99"/>
      <c r="BI287" s="99"/>
      <c r="BJ287" s="100">
        <v>100</v>
      </c>
      <c r="BK287" s="99"/>
      <c r="BL287" s="99"/>
      <c r="BM287" s="100">
        <v>100</v>
      </c>
      <c r="BN287" s="99"/>
      <c r="BO287" s="99"/>
      <c r="BP287" s="100">
        <v>100</v>
      </c>
      <c r="BQ287" s="99"/>
      <c r="BR287" s="99"/>
      <c r="BS287" s="100">
        <v>100</v>
      </c>
      <c r="BT287" s="99"/>
      <c r="BU287" s="99"/>
      <c r="BV287" s="100">
        <v>100</v>
      </c>
      <c r="BW287" s="99"/>
      <c r="BX287" s="99"/>
      <c r="BY287" s="100">
        <v>100</v>
      </c>
      <c r="BZ287" s="99"/>
      <c r="CA287" s="99"/>
      <c r="CB287" s="100">
        <v>100</v>
      </c>
      <c r="CC287" s="99"/>
      <c r="CD287" s="99"/>
      <c r="CE287" s="989">
        <v>100</v>
      </c>
      <c r="CF287" s="406"/>
      <c r="CG287" s="406"/>
      <c r="CH287" s="407"/>
      <c r="CI287" s="406"/>
      <c r="CJ287" s="406"/>
      <c r="CK287" s="407"/>
      <c r="CL287" s="406"/>
      <c r="CM287" s="406"/>
      <c r="CN287" s="406"/>
      <c r="CO287" s="467"/>
      <c r="CP287" s="467"/>
      <c r="CQ287" s="407"/>
      <c r="CR287" s="406"/>
      <c r="CS287" s="406"/>
      <c r="CT287" s="407"/>
      <c r="CU287" s="406"/>
      <c r="CV287" s="406"/>
      <c r="CW287" s="407"/>
      <c r="CX287" s="467"/>
      <c r="CY287" s="467"/>
      <c r="CZ287" s="406"/>
      <c r="DA287" s="407"/>
      <c r="DB287" s="467"/>
      <c r="DC287" s="467"/>
      <c r="DD287" s="467"/>
      <c r="DE287" s="467"/>
      <c r="DF287" s="407"/>
    </row>
    <row r="288" spans="1:110" ht="8.4499999999999993" customHeight="1" x14ac:dyDescent="0.2">
      <c r="A288" s="130" t="s">
        <v>682</v>
      </c>
      <c r="B288" s="104">
        <v>273</v>
      </c>
      <c r="C288" s="82" t="s">
        <v>2598</v>
      </c>
      <c r="D288" s="96">
        <v>31</v>
      </c>
      <c r="E288" s="82" t="s">
        <v>2009</v>
      </c>
      <c r="F288" s="82" t="s">
        <v>2543</v>
      </c>
      <c r="G288" s="97">
        <v>15000</v>
      </c>
      <c r="H288" s="98">
        <v>0.17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101">
        <v>9000</v>
      </c>
      <c r="BO288" s="102">
        <v>60</v>
      </c>
      <c r="BP288" s="102">
        <v>60</v>
      </c>
      <c r="BQ288" s="101">
        <v>6000</v>
      </c>
      <c r="BR288" s="102">
        <v>40</v>
      </c>
      <c r="BS288" s="100">
        <v>100</v>
      </c>
      <c r="BT288" s="99"/>
      <c r="BU288" s="99"/>
      <c r="BV288" s="100">
        <v>100</v>
      </c>
      <c r="BW288" s="99"/>
      <c r="BX288" s="99"/>
      <c r="BY288" s="100">
        <v>100</v>
      </c>
      <c r="BZ288" s="99"/>
      <c r="CA288" s="99"/>
      <c r="CB288" s="100">
        <v>100</v>
      </c>
      <c r="CC288" s="99"/>
      <c r="CD288" s="99"/>
      <c r="CE288" s="989">
        <v>100</v>
      </c>
      <c r="CF288" s="406"/>
      <c r="CG288" s="406"/>
      <c r="CH288" s="407"/>
      <c r="CI288" s="406"/>
      <c r="CJ288" s="406"/>
      <c r="CK288" s="407"/>
      <c r="CL288" s="406"/>
      <c r="CM288" s="406"/>
      <c r="CN288" s="406"/>
      <c r="CO288" s="464"/>
      <c r="CP288" s="464"/>
      <c r="CQ288" s="405"/>
      <c r="CR288" s="460"/>
      <c r="CS288" s="460"/>
      <c r="CT288" s="405"/>
      <c r="CU288" s="460"/>
      <c r="CV288" s="460"/>
      <c r="CW288" s="405"/>
      <c r="CX288" s="464"/>
      <c r="CY288" s="464"/>
      <c r="CZ288" s="460"/>
      <c r="DA288" s="405"/>
      <c r="DB288" s="464"/>
      <c r="DC288" s="464"/>
      <c r="DD288" s="464"/>
      <c r="DE288" s="464"/>
      <c r="DF288" s="405"/>
    </row>
    <row r="289" spans="1:110" ht="8.4499999999999993" customHeight="1" x14ac:dyDescent="0.2">
      <c r="A289" s="130" t="s">
        <v>683</v>
      </c>
      <c r="B289" s="104">
        <v>274</v>
      </c>
      <c r="C289" s="82" t="s">
        <v>2599</v>
      </c>
      <c r="D289" s="104">
        <v>113</v>
      </c>
      <c r="E289" s="82" t="s">
        <v>2597</v>
      </c>
      <c r="F289" s="82" t="s">
        <v>2008</v>
      </c>
      <c r="G289" s="97">
        <v>22320</v>
      </c>
      <c r="H289" s="98">
        <v>0.25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1">
        <v>6278.62</v>
      </c>
      <c r="AZ289" s="102">
        <v>28.13</v>
      </c>
      <c r="BA289" s="102">
        <v>28.13</v>
      </c>
      <c r="BB289" s="97">
        <v>13811.62</v>
      </c>
      <c r="BC289" s="102">
        <v>61.88</v>
      </c>
      <c r="BD289" s="102">
        <v>90.01</v>
      </c>
      <c r="BE289" s="99"/>
      <c r="BF289" s="99"/>
      <c r="BG289" s="102">
        <v>90.01</v>
      </c>
      <c r="BH289" s="99"/>
      <c r="BI289" s="99"/>
      <c r="BJ289" s="102">
        <v>90.01</v>
      </c>
      <c r="BK289" s="99"/>
      <c r="BL289" s="99"/>
      <c r="BM289" s="102">
        <v>90.01</v>
      </c>
      <c r="BN289" s="101">
        <v>2229.77</v>
      </c>
      <c r="BO289" s="98">
        <v>9.99</v>
      </c>
      <c r="BP289" s="100">
        <v>100</v>
      </c>
      <c r="BQ289" s="99"/>
      <c r="BR289" s="99"/>
      <c r="BS289" s="100">
        <v>100</v>
      </c>
      <c r="BT289" s="99"/>
      <c r="BU289" s="99"/>
      <c r="BV289" s="100">
        <v>100</v>
      </c>
      <c r="BW289" s="99"/>
      <c r="BX289" s="99"/>
      <c r="BY289" s="100">
        <v>100</v>
      </c>
      <c r="BZ289" s="99"/>
      <c r="CA289" s="99"/>
      <c r="CB289" s="100">
        <v>100</v>
      </c>
      <c r="CC289" s="99"/>
      <c r="CD289" s="99"/>
      <c r="CE289" s="989">
        <v>100</v>
      </c>
      <c r="CF289" s="406"/>
      <c r="CG289" s="406"/>
      <c r="CH289" s="407"/>
      <c r="CI289" s="406"/>
      <c r="CJ289" s="406"/>
      <c r="CK289" s="407"/>
      <c r="CL289" s="406"/>
      <c r="CM289" s="406"/>
      <c r="CN289" s="406"/>
      <c r="CO289" s="467"/>
      <c r="CP289" s="467"/>
      <c r="CQ289" s="407"/>
      <c r="CR289" s="406"/>
      <c r="CS289" s="406"/>
      <c r="CT289" s="407"/>
      <c r="CU289" s="406"/>
      <c r="CV289" s="406"/>
      <c r="CW289" s="407"/>
      <c r="CX289" s="467"/>
      <c r="CY289" s="467"/>
      <c r="CZ289" s="406"/>
      <c r="DA289" s="407"/>
      <c r="DB289" s="467"/>
      <c r="DC289" s="467"/>
      <c r="DD289" s="467"/>
      <c r="DE289" s="467"/>
      <c r="DF289" s="407"/>
    </row>
    <row r="290" spans="1:110" ht="16.899999999999999" customHeight="1" x14ac:dyDescent="0.2">
      <c r="A290" s="130" t="s">
        <v>684</v>
      </c>
      <c r="B290" s="104">
        <v>275</v>
      </c>
      <c r="C290" s="82" t="s">
        <v>2600</v>
      </c>
      <c r="D290" s="104">
        <v>151</v>
      </c>
      <c r="E290" s="82" t="s">
        <v>2601</v>
      </c>
      <c r="F290" s="82" t="s">
        <v>2195</v>
      </c>
      <c r="G290" s="97">
        <v>30779.05</v>
      </c>
      <c r="H290" s="98">
        <v>0.35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101">
        <v>4733.82</v>
      </c>
      <c r="BF290" s="102">
        <v>15.38</v>
      </c>
      <c r="BG290" s="102">
        <v>15.38</v>
      </c>
      <c r="BH290" s="101">
        <v>8519.64</v>
      </c>
      <c r="BI290" s="102">
        <v>27.68</v>
      </c>
      <c r="BJ290" s="102">
        <v>43.06</v>
      </c>
      <c r="BK290" s="101">
        <v>5678.73</v>
      </c>
      <c r="BL290" s="102">
        <v>18.45</v>
      </c>
      <c r="BM290" s="102">
        <v>61.51</v>
      </c>
      <c r="BN290" s="101">
        <v>6309.71</v>
      </c>
      <c r="BO290" s="102">
        <v>20.5</v>
      </c>
      <c r="BP290" s="102">
        <v>82.01</v>
      </c>
      <c r="BQ290" s="99"/>
      <c r="BR290" s="99"/>
      <c r="BS290" s="102">
        <v>82.01</v>
      </c>
      <c r="BT290" s="101">
        <v>1231.1600000000001</v>
      </c>
      <c r="BU290" s="98">
        <v>4</v>
      </c>
      <c r="BV290" s="102">
        <v>86.01</v>
      </c>
      <c r="BW290" s="101">
        <v>2770.11</v>
      </c>
      <c r="BX290" s="98">
        <v>9</v>
      </c>
      <c r="BY290" s="102">
        <v>95.01</v>
      </c>
      <c r="BZ290" s="101">
        <v>1535.87</v>
      </c>
      <c r="CA290" s="98">
        <v>4.99</v>
      </c>
      <c r="CB290" s="100">
        <v>100</v>
      </c>
      <c r="CC290" s="99"/>
      <c r="CD290" s="99"/>
      <c r="CE290" s="989">
        <v>100</v>
      </c>
      <c r="CF290" s="406"/>
      <c r="CG290" s="406"/>
      <c r="CH290" s="407"/>
      <c r="CI290" s="406"/>
      <c r="CJ290" s="406"/>
      <c r="CK290" s="407"/>
      <c r="CL290" s="406"/>
      <c r="CM290" s="406"/>
      <c r="CN290" s="406"/>
      <c r="CO290" s="464"/>
      <c r="CP290" s="464"/>
      <c r="CQ290" s="405"/>
      <c r="CR290" s="460"/>
      <c r="CS290" s="460"/>
      <c r="CT290" s="405"/>
      <c r="CU290" s="460"/>
      <c r="CV290" s="460"/>
      <c r="CW290" s="405"/>
      <c r="CX290" s="464"/>
      <c r="CY290" s="464"/>
      <c r="CZ290" s="460"/>
      <c r="DA290" s="405"/>
      <c r="DB290" s="464"/>
      <c r="DC290" s="464"/>
      <c r="DD290" s="464"/>
      <c r="DE290" s="464"/>
      <c r="DF290" s="405"/>
    </row>
    <row r="291" spans="1:110" ht="8.4499999999999993" customHeight="1" x14ac:dyDescent="0.2">
      <c r="A291" s="130" t="s">
        <v>685</v>
      </c>
      <c r="B291" s="104">
        <v>276</v>
      </c>
      <c r="C291" s="82" t="s">
        <v>2602</v>
      </c>
      <c r="D291" s="96">
        <v>21</v>
      </c>
      <c r="E291" s="82" t="s">
        <v>2388</v>
      </c>
      <c r="F291" s="82" t="s">
        <v>2380</v>
      </c>
      <c r="G291" s="101">
        <v>5086.5</v>
      </c>
      <c r="H291" s="98">
        <v>0.06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101">
        <v>5086.5</v>
      </c>
      <c r="CD291" s="100">
        <v>100</v>
      </c>
      <c r="CE291" s="989">
        <v>100</v>
      </c>
      <c r="CF291" s="406"/>
      <c r="CG291" s="406"/>
      <c r="CH291" s="407"/>
      <c r="CI291" s="406"/>
      <c r="CJ291" s="406"/>
      <c r="CK291" s="407"/>
      <c r="CL291" s="406"/>
      <c r="CM291" s="406"/>
      <c r="CN291" s="406"/>
      <c r="CO291" s="467"/>
      <c r="CP291" s="467"/>
      <c r="CQ291" s="407"/>
      <c r="CR291" s="406"/>
      <c r="CS291" s="406"/>
      <c r="CT291" s="407"/>
      <c r="CU291" s="406"/>
      <c r="CV291" s="406"/>
      <c r="CW291" s="407"/>
      <c r="CX291" s="467"/>
      <c r="CY291" s="467"/>
      <c r="CZ291" s="406"/>
      <c r="DA291" s="407"/>
      <c r="DB291" s="467"/>
      <c r="DC291" s="467"/>
      <c r="DD291" s="467"/>
      <c r="DE291" s="467"/>
      <c r="DF291" s="407"/>
    </row>
    <row r="292" spans="1:110" ht="8.4499999999999993" customHeight="1" x14ac:dyDescent="0.2">
      <c r="A292" s="130" t="s">
        <v>686</v>
      </c>
      <c r="B292" s="104">
        <v>277</v>
      </c>
      <c r="C292" s="82" t="s">
        <v>2603</v>
      </c>
      <c r="D292" s="96">
        <v>33</v>
      </c>
      <c r="E292" s="82" t="s">
        <v>2025</v>
      </c>
      <c r="F292" s="82" t="s">
        <v>2195</v>
      </c>
      <c r="G292" s="97">
        <v>17979.5</v>
      </c>
      <c r="H292" s="98">
        <v>0.2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101">
        <v>8989.75</v>
      </c>
      <c r="BX292" s="102">
        <v>50</v>
      </c>
      <c r="BY292" s="102">
        <v>50</v>
      </c>
      <c r="BZ292" s="101">
        <v>8989.75</v>
      </c>
      <c r="CA292" s="102">
        <v>50</v>
      </c>
      <c r="CB292" s="100">
        <v>100</v>
      </c>
      <c r="CC292" s="99"/>
      <c r="CD292" s="99"/>
      <c r="CE292" s="989">
        <v>100</v>
      </c>
      <c r="CF292" s="406"/>
      <c r="CG292" s="406"/>
      <c r="CH292" s="407"/>
      <c r="CI292" s="406"/>
      <c r="CJ292" s="406"/>
      <c r="CK292" s="407"/>
      <c r="CL292" s="406"/>
      <c r="CM292" s="406"/>
      <c r="CN292" s="406"/>
      <c r="CO292" s="467"/>
      <c r="CP292" s="467"/>
      <c r="CQ292" s="407"/>
      <c r="CR292" s="406"/>
      <c r="CS292" s="406"/>
      <c r="CT292" s="407"/>
      <c r="CU292" s="406"/>
      <c r="CV292" s="406"/>
      <c r="CW292" s="407"/>
      <c r="CX292" s="467"/>
      <c r="CY292" s="467"/>
      <c r="CZ292" s="406"/>
      <c r="DA292" s="407"/>
      <c r="DB292" s="467"/>
      <c r="DC292" s="467"/>
      <c r="DD292" s="467"/>
      <c r="DE292" s="467"/>
      <c r="DF292" s="407"/>
    </row>
    <row r="293" spans="1:110" ht="8.4499999999999993" customHeight="1" x14ac:dyDescent="0.2">
      <c r="A293" s="130" t="s">
        <v>687</v>
      </c>
      <c r="B293" s="104">
        <v>278</v>
      </c>
      <c r="C293" s="82" t="s">
        <v>2604</v>
      </c>
      <c r="D293" s="96">
        <v>65</v>
      </c>
      <c r="E293" s="82" t="s">
        <v>2014</v>
      </c>
      <c r="F293" s="82" t="s">
        <v>2605</v>
      </c>
      <c r="G293" s="106">
        <v>197345.95</v>
      </c>
      <c r="H293" s="98">
        <v>2.2400000000000002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101">
        <v>8762.16</v>
      </c>
      <c r="AZ293" s="98">
        <v>4.4400000000000004</v>
      </c>
      <c r="BA293" s="98">
        <v>4.4400000000000004</v>
      </c>
      <c r="BB293" s="97">
        <v>63032.3</v>
      </c>
      <c r="BC293" s="102">
        <v>31.94</v>
      </c>
      <c r="BD293" s="102">
        <v>36.380000000000003</v>
      </c>
      <c r="BE293" s="97">
        <v>59203.79</v>
      </c>
      <c r="BF293" s="102">
        <v>30</v>
      </c>
      <c r="BG293" s="102">
        <v>66.38</v>
      </c>
      <c r="BH293" s="97">
        <v>66347.710000000006</v>
      </c>
      <c r="BI293" s="102">
        <v>33.619999999999997</v>
      </c>
      <c r="BJ293" s="100">
        <v>100</v>
      </c>
      <c r="BK293" s="99"/>
      <c r="BL293" s="99"/>
      <c r="BM293" s="100">
        <v>100</v>
      </c>
      <c r="BN293" s="99"/>
      <c r="BO293" s="99"/>
      <c r="BP293" s="100">
        <v>100</v>
      </c>
      <c r="BQ293" s="99"/>
      <c r="BR293" s="99"/>
      <c r="BS293" s="100">
        <v>100</v>
      </c>
      <c r="BT293" s="99"/>
      <c r="BU293" s="99"/>
      <c r="BV293" s="100">
        <v>100</v>
      </c>
      <c r="BW293" s="99"/>
      <c r="BX293" s="99"/>
      <c r="BY293" s="100">
        <v>100</v>
      </c>
      <c r="BZ293" s="99"/>
      <c r="CA293" s="99"/>
      <c r="CB293" s="100">
        <v>100</v>
      </c>
      <c r="CC293" s="99"/>
      <c r="CD293" s="99"/>
      <c r="CE293" s="989">
        <v>100</v>
      </c>
      <c r="CF293" s="460"/>
      <c r="CG293" s="460"/>
      <c r="CH293" s="405"/>
      <c r="CI293" s="460"/>
      <c r="CJ293" s="460"/>
      <c r="CK293" s="405"/>
      <c r="CL293" s="460"/>
      <c r="CM293" s="460"/>
      <c r="CN293" s="460"/>
      <c r="CO293" s="467"/>
      <c r="CP293" s="467"/>
      <c r="CQ293" s="407"/>
      <c r="CR293" s="406"/>
      <c r="CS293" s="406"/>
      <c r="CT293" s="407"/>
      <c r="CU293" s="406"/>
      <c r="CV293" s="406"/>
      <c r="CW293" s="407"/>
      <c r="CX293" s="467"/>
      <c r="CY293" s="467"/>
      <c r="CZ293" s="406"/>
      <c r="DA293" s="407"/>
      <c r="DB293" s="467"/>
      <c r="DC293" s="467"/>
      <c r="DD293" s="467"/>
      <c r="DE293" s="467"/>
      <c r="DF293" s="407"/>
    </row>
    <row r="294" spans="1:110" ht="8.4499999999999993" customHeight="1" x14ac:dyDescent="0.2">
      <c r="A294" s="130" t="s">
        <v>688</v>
      </c>
      <c r="B294" s="104">
        <v>279</v>
      </c>
      <c r="C294" s="82" t="s">
        <v>2606</v>
      </c>
      <c r="D294" s="82"/>
      <c r="E294" s="82"/>
      <c r="F294" s="82"/>
      <c r="G294" s="101">
        <v>3000</v>
      </c>
      <c r="H294" s="98">
        <v>0.03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1"/>
      <c r="CF294" s="406"/>
      <c r="CG294" s="406"/>
      <c r="CH294" s="407"/>
      <c r="CI294" s="406"/>
      <c r="CJ294" s="406"/>
      <c r="CK294" s="407"/>
      <c r="CL294" s="406"/>
      <c r="CM294" s="406"/>
      <c r="CN294" s="406"/>
      <c r="CO294" s="464"/>
      <c r="CP294" s="464"/>
      <c r="CQ294" s="405"/>
      <c r="CR294" s="460"/>
      <c r="CS294" s="460"/>
      <c r="CT294" s="405"/>
      <c r="CU294" s="460"/>
      <c r="CV294" s="460"/>
      <c r="CW294" s="405"/>
      <c r="CX294" s="464"/>
      <c r="CY294" s="464"/>
      <c r="CZ294" s="460"/>
      <c r="DA294" s="405"/>
      <c r="DB294" s="464"/>
      <c r="DC294" s="464"/>
      <c r="DD294" s="464"/>
      <c r="DE294" s="464"/>
      <c r="DF294" s="405"/>
    </row>
    <row r="295" spans="1:110" ht="8.4499999999999993" customHeight="1" x14ac:dyDescent="0.2">
      <c r="A295" s="130" t="s">
        <v>689</v>
      </c>
      <c r="B295" s="104">
        <v>280</v>
      </c>
      <c r="C295" s="82" t="s">
        <v>2608</v>
      </c>
      <c r="D295" s="82"/>
      <c r="E295" s="82"/>
      <c r="F295" s="82"/>
      <c r="G295" s="97">
        <v>15000</v>
      </c>
      <c r="H295" s="98">
        <v>0.17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1"/>
      <c r="CF295" s="406"/>
      <c r="CG295" s="406"/>
      <c r="CH295" s="407"/>
      <c r="CI295" s="406"/>
      <c r="CJ295" s="406"/>
      <c r="CK295" s="407"/>
      <c r="CL295" s="406"/>
      <c r="CM295" s="406"/>
      <c r="CN295" s="406"/>
      <c r="CO295" s="467"/>
      <c r="CP295" s="467"/>
      <c r="CQ295" s="407"/>
      <c r="CR295" s="406"/>
      <c r="CS295" s="406"/>
      <c r="CT295" s="407"/>
      <c r="CU295" s="406"/>
      <c r="CV295" s="406"/>
      <c r="CW295" s="407"/>
      <c r="CX295" s="467"/>
      <c r="CY295" s="467"/>
      <c r="CZ295" s="406"/>
      <c r="DA295" s="407"/>
      <c r="DB295" s="467"/>
      <c r="DC295" s="467"/>
      <c r="DD295" s="467"/>
      <c r="DE295" s="467"/>
      <c r="DF295" s="407"/>
    </row>
    <row r="296" spans="1:110" ht="8.4499999999999993" customHeight="1" x14ac:dyDescent="0.2">
      <c r="A296" s="130" t="s">
        <v>690</v>
      </c>
      <c r="B296" s="104">
        <v>281</v>
      </c>
      <c r="C296" s="82" t="s">
        <v>2609</v>
      </c>
      <c r="D296" s="82"/>
      <c r="E296" s="82"/>
      <c r="F296" s="82"/>
      <c r="G296" s="97">
        <v>10000</v>
      </c>
      <c r="H296" s="98">
        <v>0.11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1"/>
      <c r="CF296" s="406"/>
      <c r="CG296" s="406"/>
      <c r="CH296" s="407"/>
      <c r="CI296" s="406"/>
      <c r="CJ296" s="406"/>
      <c r="CK296" s="407"/>
      <c r="CL296" s="406"/>
      <c r="CM296" s="406"/>
      <c r="CN296" s="406"/>
      <c r="CO296" s="467"/>
      <c r="CP296" s="467"/>
      <c r="CQ296" s="407"/>
      <c r="CR296" s="406"/>
      <c r="CS296" s="406"/>
      <c r="CT296" s="407"/>
      <c r="CU296" s="406"/>
      <c r="CV296" s="406"/>
      <c r="CW296" s="407"/>
      <c r="CX296" s="467"/>
      <c r="CY296" s="467"/>
      <c r="CZ296" s="406"/>
      <c r="DA296" s="407"/>
      <c r="DB296" s="467"/>
      <c r="DC296" s="467"/>
      <c r="DD296" s="467"/>
      <c r="DE296" s="467"/>
      <c r="DF296" s="407"/>
    </row>
    <row r="297" spans="1:110" ht="8.4499999999999993" customHeight="1" x14ac:dyDescent="0.2">
      <c r="A297" s="130" t="s">
        <v>1370</v>
      </c>
      <c r="B297" s="104">
        <v>282</v>
      </c>
      <c r="C297" s="82" t="s">
        <v>2610</v>
      </c>
      <c r="D297" s="96">
        <v>81</v>
      </c>
      <c r="E297" s="82" t="s">
        <v>2611</v>
      </c>
      <c r="F297" s="82" t="s">
        <v>2500</v>
      </c>
      <c r="G297" s="97">
        <v>12400</v>
      </c>
      <c r="H297" s="98">
        <v>0.14000000000000001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101">
        <v>1550</v>
      </c>
      <c r="AT297" s="102">
        <v>12.5</v>
      </c>
      <c r="AU297" s="102">
        <v>12.5</v>
      </c>
      <c r="AV297" s="101">
        <v>6200</v>
      </c>
      <c r="AW297" s="102">
        <v>50</v>
      </c>
      <c r="AX297" s="102">
        <v>62.5</v>
      </c>
      <c r="AY297" s="101">
        <v>3100</v>
      </c>
      <c r="AZ297" s="102">
        <v>25</v>
      </c>
      <c r="BA297" s="102">
        <v>87.5</v>
      </c>
      <c r="BB297" s="100">
        <v>775</v>
      </c>
      <c r="BC297" s="98">
        <v>6.25</v>
      </c>
      <c r="BD297" s="102">
        <v>93.75</v>
      </c>
      <c r="BE297" s="100">
        <v>775</v>
      </c>
      <c r="BF297" s="98">
        <v>6.25</v>
      </c>
      <c r="BG297" s="100">
        <v>100</v>
      </c>
      <c r="BH297" s="99"/>
      <c r="BI297" s="99"/>
      <c r="BJ297" s="100">
        <v>100</v>
      </c>
      <c r="BK297" s="99"/>
      <c r="BL297" s="99"/>
      <c r="BM297" s="100">
        <v>100</v>
      </c>
      <c r="BN297" s="99"/>
      <c r="BO297" s="99"/>
      <c r="BP297" s="100">
        <v>100</v>
      </c>
      <c r="BQ297" s="99"/>
      <c r="BR297" s="99"/>
      <c r="BS297" s="100">
        <v>100</v>
      </c>
      <c r="BT297" s="99"/>
      <c r="BU297" s="99"/>
      <c r="BV297" s="100">
        <v>100</v>
      </c>
      <c r="BW297" s="99"/>
      <c r="BX297" s="99"/>
      <c r="BY297" s="100">
        <v>100</v>
      </c>
      <c r="BZ297" s="99"/>
      <c r="CA297" s="99"/>
      <c r="CB297" s="100">
        <v>100</v>
      </c>
      <c r="CC297" s="99"/>
      <c r="CD297" s="99"/>
      <c r="CE297" s="989">
        <v>100</v>
      </c>
      <c r="CF297" s="406"/>
      <c r="CG297" s="406"/>
      <c r="CH297" s="407"/>
      <c r="CI297" s="406"/>
      <c r="CJ297" s="406"/>
      <c r="CK297" s="407"/>
      <c r="CL297" s="406"/>
      <c r="CM297" s="406"/>
      <c r="CN297" s="406"/>
      <c r="CO297" s="467"/>
      <c r="CP297" s="467"/>
      <c r="CQ297" s="407"/>
      <c r="CR297" s="406"/>
      <c r="CS297" s="406"/>
      <c r="CT297" s="407"/>
      <c r="CU297" s="406"/>
      <c r="CV297" s="406"/>
      <c r="CW297" s="407"/>
      <c r="CX297" s="467"/>
      <c r="CY297" s="467"/>
      <c r="CZ297" s="406"/>
      <c r="DA297" s="407"/>
      <c r="DB297" s="467"/>
      <c r="DC297" s="467"/>
      <c r="DD297" s="467"/>
      <c r="DE297" s="467"/>
      <c r="DF297" s="407"/>
    </row>
    <row r="298" spans="1:110" ht="8.4499999999999993" customHeight="1" x14ac:dyDescent="0.2">
      <c r="A298" s="130" t="s">
        <v>1970</v>
      </c>
      <c r="B298" s="104">
        <v>283</v>
      </c>
      <c r="C298" s="82" t="s">
        <v>2612</v>
      </c>
      <c r="D298" s="82"/>
      <c r="E298" s="82"/>
      <c r="F298" s="82"/>
      <c r="G298" s="101">
        <v>4785</v>
      </c>
      <c r="H298" s="98">
        <v>0.05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1"/>
      <c r="CF298" s="406"/>
      <c r="CG298" s="406"/>
      <c r="CH298" s="407"/>
      <c r="CI298" s="406"/>
      <c r="CJ298" s="406"/>
      <c r="CK298" s="407"/>
      <c r="CL298" s="406"/>
      <c r="CM298" s="406"/>
      <c r="CN298" s="406"/>
      <c r="CO298" s="464"/>
      <c r="CP298" s="464"/>
      <c r="CQ298" s="405"/>
      <c r="CR298" s="460"/>
      <c r="CS298" s="460"/>
      <c r="CT298" s="405"/>
      <c r="CU298" s="460"/>
      <c r="CV298" s="460"/>
      <c r="CW298" s="405"/>
      <c r="CX298" s="464"/>
      <c r="CY298" s="464"/>
      <c r="CZ298" s="460"/>
      <c r="DA298" s="405"/>
      <c r="DB298" s="464"/>
      <c r="DC298" s="464"/>
      <c r="DD298" s="464"/>
      <c r="DE298" s="464"/>
      <c r="DF298" s="405"/>
    </row>
    <row r="299" spans="1:110" ht="8.4499999999999993" customHeight="1" x14ac:dyDescent="0.2">
      <c r="A299" s="130" t="s">
        <v>1971</v>
      </c>
      <c r="B299" s="104">
        <v>284</v>
      </c>
      <c r="C299" s="82" t="s">
        <v>2613</v>
      </c>
      <c r="D299" s="82"/>
      <c r="E299" s="82"/>
      <c r="F299" s="82"/>
      <c r="G299" s="101">
        <v>1000</v>
      </c>
      <c r="H299" s="98">
        <v>0.01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1"/>
      <c r="CF299" s="406"/>
      <c r="CG299" s="406"/>
      <c r="CH299" s="407"/>
      <c r="CI299" s="406"/>
      <c r="CJ299" s="406"/>
      <c r="CK299" s="407"/>
      <c r="CL299" s="406"/>
      <c r="CM299" s="406"/>
      <c r="CN299" s="406"/>
      <c r="CO299" s="467"/>
      <c r="CP299" s="467"/>
      <c r="CQ299" s="407"/>
      <c r="CR299" s="406"/>
      <c r="CS299" s="406"/>
      <c r="CT299" s="407"/>
      <c r="CU299" s="406"/>
      <c r="CV299" s="406"/>
      <c r="CW299" s="407"/>
      <c r="CX299" s="467"/>
      <c r="CY299" s="467"/>
      <c r="CZ299" s="406"/>
      <c r="DA299" s="407"/>
      <c r="DB299" s="467"/>
      <c r="DC299" s="467"/>
      <c r="DD299" s="467"/>
      <c r="DE299" s="467"/>
      <c r="DF299" s="407"/>
    </row>
    <row r="300" spans="1:110" ht="8.4499999999999993" customHeight="1" x14ac:dyDescent="0.2">
      <c r="A300" s="130" t="s">
        <v>2126</v>
      </c>
      <c r="B300" s="104">
        <v>285</v>
      </c>
      <c r="C300" s="82" t="s">
        <v>2614</v>
      </c>
      <c r="D300" s="82"/>
      <c r="E300" s="82"/>
      <c r="F300" s="82"/>
      <c r="G300" s="97">
        <v>25000</v>
      </c>
      <c r="H300" s="98">
        <v>0.28000000000000003</v>
      </c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1"/>
      <c r="CF300" s="461"/>
      <c r="CG300" s="404"/>
      <c r="CH300" s="404"/>
      <c r="CI300" s="461"/>
      <c r="CJ300" s="404"/>
      <c r="CK300" s="405"/>
      <c r="CL300" s="460"/>
      <c r="CM300" s="460"/>
      <c r="CN300" s="460"/>
      <c r="CO300" s="467"/>
      <c r="CP300" s="467"/>
      <c r="CQ300" s="407"/>
      <c r="CR300" s="406"/>
      <c r="CS300" s="406"/>
      <c r="CT300" s="407"/>
      <c r="CU300" s="406"/>
      <c r="CV300" s="406"/>
      <c r="CW300" s="407"/>
      <c r="CX300" s="467"/>
      <c r="CY300" s="467"/>
      <c r="CZ300" s="406"/>
      <c r="DA300" s="407"/>
      <c r="DB300" s="467"/>
      <c r="DC300" s="467"/>
      <c r="DD300" s="467"/>
      <c r="DE300" s="467"/>
      <c r="DF300" s="407"/>
    </row>
    <row r="301" spans="1:110" ht="8.4499999999999993" customHeight="1" x14ac:dyDescent="0.2">
      <c r="A301" s="130" t="s">
        <v>147</v>
      </c>
      <c r="B301" s="103">
        <v>286</v>
      </c>
      <c r="C301" s="87" t="s">
        <v>359</v>
      </c>
      <c r="D301" s="88">
        <v>50</v>
      </c>
      <c r="E301" s="87" t="s">
        <v>2615</v>
      </c>
      <c r="F301" s="87" t="s">
        <v>2181</v>
      </c>
      <c r="G301" s="89">
        <v>83170.31</v>
      </c>
      <c r="H301" s="90">
        <v>0.95</v>
      </c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94"/>
      <c r="BJ301" s="94"/>
      <c r="BK301" s="94"/>
      <c r="BL301" s="94"/>
      <c r="BM301" s="94"/>
      <c r="BN301" s="89">
        <v>34451.480000000003</v>
      </c>
      <c r="BO301" s="91">
        <v>41.42</v>
      </c>
      <c r="BP301" s="91">
        <v>41.42</v>
      </c>
      <c r="BQ301" s="89">
        <v>35196.959999999999</v>
      </c>
      <c r="BR301" s="91">
        <v>42.32</v>
      </c>
      <c r="BS301" s="91">
        <v>83.74</v>
      </c>
      <c r="BT301" s="89">
        <v>13521.88</v>
      </c>
      <c r="BU301" s="91">
        <v>16.260000000000002</v>
      </c>
      <c r="BV301" s="93">
        <v>100</v>
      </c>
      <c r="BW301" s="94"/>
      <c r="BX301" s="94"/>
      <c r="BY301" s="93">
        <v>100</v>
      </c>
      <c r="BZ301" s="94"/>
      <c r="CA301" s="94"/>
      <c r="CB301" s="93">
        <v>100</v>
      </c>
      <c r="CC301" s="94"/>
      <c r="CD301" s="94"/>
      <c r="CE301" s="988">
        <v>100</v>
      </c>
      <c r="CF301" s="460"/>
      <c r="CG301" s="460"/>
      <c r="CH301" s="405"/>
      <c r="CI301" s="460"/>
      <c r="CJ301" s="460"/>
      <c r="CK301" s="405"/>
      <c r="CL301" s="460"/>
      <c r="CM301" s="460"/>
      <c r="CN301" s="460"/>
      <c r="CO301" s="467"/>
      <c r="CP301" s="467"/>
      <c r="CQ301" s="407"/>
      <c r="CR301" s="406"/>
      <c r="CS301" s="406"/>
      <c r="CT301" s="407"/>
      <c r="CU301" s="406"/>
      <c r="CV301" s="406"/>
      <c r="CW301" s="407"/>
      <c r="CX301" s="467"/>
      <c r="CY301" s="467"/>
      <c r="CZ301" s="406"/>
      <c r="DA301" s="407"/>
      <c r="DB301" s="467"/>
      <c r="DC301" s="467"/>
      <c r="DD301" s="467"/>
      <c r="DE301" s="467"/>
      <c r="DF301" s="407"/>
    </row>
    <row r="302" spans="1:110" ht="8.4499999999999993" customHeight="1" x14ac:dyDescent="0.2">
      <c r="A302" s="130" t="s">
        <v>254</v>
      </c>
      <c r="B302" s="104">
        <v>287</v>
      </c>
      <c r="C302" s="82" t="s">
        <v>2616</v>
      </c>
      <c r="D302" s="96">
        <v>50</v>
      </c>
      <c r="E302" s="82" t="s">
        <v>2615</v>
      </c>
      <c r="F302" s="82" t="s">
        <v>2181</v>
      </c>
      <c r="G302" s="97">
        <v>42766.879999999997</v>
      </c>
      <c r="H302" s="98">
        <v>0.49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7">
        <v>17401.84</v>
      </c>
      <c r="BO302" s="102">
        <v>40.69</v>
      </c>
      <c r="BP302" s="102">
        <v>40.69</v>
      </c>
      <c r="BQ302" s="97">
        <v>17752.53</v>
      </c>
      <c r="BR302" s="102">
        <v>41.51</v>
      </c>
      <c r="BS302" s="102">
        <v>82.2</v>
      </c>
      <c r="BT302" s="101">
        <v>7612.5</v>
      </c>
      <c r="BU302" s="102">
        <v>17.8</v>
      </c>
      <c r="BV302" s="100">
        <v>100</v>
      </c>
      <c r="BW302" s="99"/>
      <c r="BX302" s="99"/>
      <c r="BY302" s="100">
        <v>100</v>
      </c>
      <c r="BZ302" s="99"/>
      <c r="CA302" s="99"/>
      <c r="CB302" s="100">
        <v>100</v>
      </c>
      <c r="CC302" s="99"/>
      <c r="CD302" s="99"/>
      <c r="CE302" s="989">
        <v>100</v>
      </c>
      <c r="CF302" s="406"/>
      <c r="CG302" s="406"/>
      <c r="CH302" s="407"/>
      <c r="CI302" s="406"/>
      <c r="CJ302" s="406"/>
      <c r="CK302" s="407"/>
      <c r="CL302" s="406"/>
      <c r="CM302" s="406"/>
      <c r="CN302" s="406"/>
      <c r="CO302" s="467"/>
      <c r="CP302" s="467"/>
      <c r="CQ302" s="407"/>
      <c r="CR302" s="406"/>
      <c r="CS302" s="406"/>
      <c r="CT302" s="407"/>
      <c r="CU302" s="406"/>
      <c r="CV302" s="406"/>
      <c r="CW302" s="407"/>
      <c r="CX302" s="467"/>
      <c r="CY302" s="467"/>
      <c r="CZ302" s="406"/>
      <c r="DA302" s="407"/>
      <c r="DB302" s="467"/>
      <c r="DC302" s="467"/>
      <c r="DD302" s="467"/>
      <c r="DE302" s="467"/>
      <c r="DF302" s="407"/>
    </row>
    <row r="303" spans="1:110" ht="8.4499999999999993" customHeight="1" x14ac:dyDescent="0.2">
      <c r="A303" s="130" t="s">
        <v>255</v>
      </c>
      <c r="B303" s="104">
        <v>288</v>
      </c>
      <c r="C303" s="82" t="s">
        <v>2617</v>
      </c>
      <c r="D303" s="96">
        <v>11</v>
      </c>
      <c r="E303" s="82" t="s">
        <v>2033</v>
      </c>
      <c r="F303" s="82" t="s">
        <v>2181</v>
      </c>
      <c r="G303" s="101">
        <v>2439.8000000000002</v>
      </c>
      <c r="H303" s="98">
        <v>0.03</v>
      </c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101">
        <v>2439.8000000000002</v>
      </c>
      <c r="BU303" s="100">
        <v>100</v>
      </c>
      <c r="BV303" s="100">
        <v>100</v>
      </c>
      <c r="BW303" s="99"/>
      <c r="BX303" s="99"/>
      <c r="BY303" s="100">
        <v>100</v>
      </c>
      <c r="BZ303" s="99"/>
      <c r="CA303" s="99"/>
      <c r="CB303" s="100">
        <v>100</v>
      </c>
      <c r="CC303" s="99"/>
      <c r="CD303" s="99"/>
      <c r="CE303" s="989">
        <v>100</v>
      </c>
      <c r="CF303" s="461"/>
      <c r="CG303" s="404"/>
      <c r="CH303" s="404"/>
      <c r="CI303" s="461"/>
      <c r="CJ303" s="404"/>
      <c r="CK303" s="405"/>
      <c r="CL303" s="460"/>
      <c r="CM303" s="460"/>
      <c r="CN303" s="460"/>
      <c r="CO303" s="467"/>
      <c r="CP303" s="467"/>
      <c r="CQ303" s="407"/>
      <c r="CR303" s="406"/>
      <c r="CS303" s="406"/>
      <c r="CT303" s="407"/>
      <c r="CU303" s="406"/>
      <c r="CV303" s="406"/>
      <c r="CW303" s="407"/>
      <c r="CX303" s="467"/>
      <c r="CY303" s="467"/>
      <c r="CZ303" s="406"/>
      <c r="DA303" s="407"/>
      <c r="DB303" s="467"/>
      <c r="DC303" s="467"/>
      <c r="DD303" s="467"/>
      <c r="DE303" s="467"/>
      <c r="DF303" s="407"/>
    </row>
    <row r="304" spans="1:110" ht="8.4499999999999993" customHeight="1" x14ac:dyDescent="0.2">
      <c r="A304" s="130" t="s">
        <v>256</v>
      </c>
      <c r="B304" s="104">
        <v>289</v>
      </c>
      <c r="C304" s="82" t="s">
        <v>2618</v>
      </c>
      <c r="D304" s="96">
        <v>50</v>
      </c>
      <c r="E304" s="82" t="s">
        <v>2615</v>
      </c>
      <c r="F304" s="82" t="s">
        <v>2181</v>
      </c>
      <c r="G304" s="97">
        <v>27403.63</v>
      </c>
      <c r="H304" s="98">
        <v>0.31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7">
        <v>12441.25</v>
      </c>
      <c r="BO304" s="102">
        <v>45.4</v>
      </c>
      <c r="BP304" s="102">
        <v>45.4</v>
      </c>
      <c r="BQ304" s="97">
        <v>12739.95</v>
      </c>
      <c r="BR304" s="102">
        <v>46.49</v>
      </c>
      <c r="BS304" s="102">
        <v>91.89</v>
      </c>
      <c r="BT304" s="101">
        <v>2222.4299999999998</v>
      </c>
      <c r="BU304" s="98">
        <v>8.11</v>
      </c>
      <c r="BV304" s="100">
        <v>100</v>
      </c>
      <c r="BW304" s="99"/>
      <c r="BX304" s="99"/>
      <c r="BY304" s="100">
        <v>100</v>
      </c>
      <c r="BZ304" s="99"/>
      <c r="CA304" s="99"/>
      <c r="CB304" s="100">
        <v>100</v>
      </c>
      <c r="CC304" s="99"/>
      <c r="CD304" s="99"/>
      <c r="CE304" s="989">
        <v>100</v>
      </c>
      <c r="CF304" s="478"/>
      <c r="CG304" s="409"/>
      <c r="CH304" s="409"/>
      <c r="CI304" s="478"/>
      <c r="CJ304" s="409"/>
      <c r="CK304" s="407"/>
      <c r="CL304" s="406"/>
      <c r="CM304" s="406"/>
      <c r="CN304" s="406"/>
      <c r="CO304" s="464"/>
      <c r="CP304" s="464"/>
      <c r="CQ304" s="405"/>
      <c r="CR304" s="460"/>
      <c r="CS304" s="460"/>
      <c r="CT304" s="405"/>
      <c r="CU304" s="460"/>
      <c r="CV304" s="460"/>
      <c r="CW304" s="405"/>
      <c r="CX304" s="464"/>
      <c r="CY304" s="464"/>
      <c r="CZ304" s="460"/>
      <c r="DA304" s="405"/>
      <c r="DB304" s="464"/>
      <c r="DC304" s="464"/>
      <c r="DD304" s="464"/>
      <c r="DE304" s="464"/>
      <c r="DF304" s="405"/>
    </row>
    <row r="305" spans="1:110" ht="8.4499999999999993" customHeight="1" x14ac:dyDescent="0.2">
      <c r="A305" s="130" t="s">
        <v>692</v>
      </c>
      <c r="B305" s="104">
        <v>290</v>
      </c>
      <c r="C305" s="82" t="s">
        <v>2619</v>
      </c>
      <c r="D305" s="96">
        <v>50</v>
      </c>
      <c r="E305" s="82" t="s">
        <v>2615</v>
      </c>
      <c r="F305" s="82" t="s">
        <v>2181</v>
      </c>
      <c r="G305" s="97">
        <v>10560</v>
      </c>
      <c r="H305" s="98">
        <v>0.12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101">
        <v>4608.38</v>
      </c>
      <c r="BO305" s="102">
        <v>43.64</v>
      </c>
      <c r="BP305" s="102">
        <v>43.64</v>
      </c>
      <c r="BQ305" s="101">
        <v>4704.4799999999996</v>
      </c>
      <c r="BR305" s="102">
        <v>44.55</v>
      </c>
      <c r="BS305" s="102">
        <v>88.19</v>
      </c>
      <c r="BT305" s="101">
        <v>1247.1400000000001</v>
      </c>
      <c r="BU305" s="102">
        <v>11.81</v>
      </c>
      <c r="BV305" s="100">
        <v>100</v>
      </c>
      <c r="BW305" s="99"/>
      <c r="BX305" s="99"/>
      <c r="BY305" s="100">
        <v>100</v>
      </c>
      <c r="BZ305" s="99"/>
      <c r="CA305" s="99"/>
      <c r="CB305" s="100">
        <v>100</v>
      </c>
      <c r="CC305" s="99"/>
      <c r="CD305" s="99"/>
      <c r="CE305" s="989">
        <v>100</v>
      </c>
      <c r="CF305" s="406"/>
      <c r="CG305" s="406"/>
      <c r="CH305" s="407"/>
      <c r="CI305" s="406"/>
      <c r="CJ305" s="406"/>
      <c r="CK305" s="407"/>
      <c r="CL305" s="406"/>
      <c r="CM305" s="406"/>
      <c r="CN305" s="406"/>
      <c r="CO305" s="467"/>
      <c r="CP305" s="467"/>
      <c r="CQ305" s="407"/>
      <c r="CR305" s="406"/>
      <c r="CS305" s="406"/>
      <c r="CT305" s="407"/>
      <c r="CU305" s="406"/>
      <c r="CV305" s="406"/>
      <c r="CW305" s="407"/>
      <c r="CX305" s="467"/>
      <c r="CY305" s="467"/>
      <c r="CZ305" s="406"/>
      <c r="DA305" s="407"/>
      <c r="DB305" s="467"/>
      <c r="DC305" s="467"/>
      <c r="DD305" s="467"/>
      <c r="DE305" s="467"/>
      <c r="DF305" s="407"/>
    </row>
    <row r="306" spans="1:110" ht="8.4499999999999993" customHeight="1" x14ac:dyDescent="0.2">
      <c r="A306" s="130" t="s">
        <v>148</v>
      </c>
      <c r="B306" s="103">
        <v>291</v>
      </c>
      <c r="C306" s="87" t="s">
        <v>360</v>
      </c>
      <c r="D306" s="103">
        <v>124</v>
      </c>
      <c r="E306" s="87" t="s">
        <v>2615</v>
      </c>
      <c r="F306" s="87" t="s">
        <v>2380</v>
      </c>
      <c r="G306" s="105">
        <v>111578.37</v>
      </c>
      <c r="H306" s="90">
        <v>1.27</v>
      </c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94"/>
      <c r="BJ306" s="94"/>
      <c r="BK306" s="94"/>
      <c r="BL306" s="94"/>
      <c r="BM306" s="94"/>
      <c r="BN306" s="92">
        <v>1578.84</v>
      </c>
      <c r="BO306" s="90">
        <v>1.42</v>
      </c>
      <c r="BP306" s="90">
        <v>1.42</v>
      </c>
      <c r="BQ306" s="92">
        <v>1578.84</v>
      </c>
      <c r="BR306" s="90">
        <v>1.42</v>
      </c>
      <c r="BS306" s="90">
        <v>2.83</v>
      </c>
      <c r="BT306" s="89">
        <v>53916.82</v>
      </c>
      <c r="BU306" s="91">
        <v>48.32</v>
      </c>
      <c r="BV306" s="91">
        <v>51.15</v>
      </c>
      <c r="BW306" s="89">
        <v>36350.07</v>
      </c>
      <c r="BX306" s="91">
        <v>32.58</v>
      </c>
      <c r="BY306" s="91">
        <v>83.73</v>
      </c>
      <c r="BZ306" s="89">
        <v>17907.96</v>
      </c>
      <c r="CA306" s="91">
        <v>16.05</v>
      </c>
      <c r="CB306" s="91">
        <v>99.78</v>
      </c>
      <c r="CC306" s="93">
        <v>245.84</v>
      </c>
      <c r="CD306" s="90">
        <v>0.22</v>
      </c>
      <c r="CE306" s="988">
        <v>100</v>
      </c>
      <c r="CF306" s="406"/>
      <c r="CG306" s="406"/>
      <c r="CH306" s="407"/>
      <c r="CI306" s="406"/>
      <c r="CJ306" s="406"/>
      <c r="CK306" s="407"/>
      <c r="CL306" s="406"/>
      <c r="CM306" s="406"/>
      <c r="CN306" s="406"/>
      <c r="CO306" s="467"/>
      <c r="CP306" s="467"/>
      <c r="CQ306" s="407"/>
      <c r="CR306" s="406"/>
      <c r="CS306" s="406"/>
      <c r="CT306" s="407"/>
      <c r="CU306" s="406"/>
      <c r="CV306" s="406"/>
      <c r="CW306" s="407"/>
      <c r="CX306" s="467"/>
      <c r="CY306" s="467"/>
      <c r="CZ306" s="406"/>
      <c r="DA306" s="407"/>
      <c r="DB306" s="467"/>
      <c r="DC306" s="467"/>
      <c r="DD306" s="467"/>
      <c r="DE306" s="467"/>
      <c r="DF306" s="407"/>
    </row>
    <row r="307" spans="1:110" ht="8.4499999999999993" customHeight="1" x14ac:dyDescent="0.2">
      <c r="A307" s="130" t="s">
        <v>792</v>
      </c>
      <c r="B307" s="103">
        <v>292</v>
      </c>
      <c r="C307" s="87" t="s">
        <v>361</v>
      </c>
      <c r="D307" s="88">
        <v>32</v>
      </c>
      <c r="E307" s="87" t="s">
        <v>2620</v>
      </c>
      <c r="F307" s="87" t="s">
        <v>2621</v>
      </c>
      <c r="G307" s="89">
        <v>21453.14</v>
      </c>
      <c r="H307" s="90">
        <v>0.24</v>
      </c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94"/>
      <c r="BJ307" s="94"/>
      <c r="BK307" s="94"/>
      <c r="BL307" s="94"/>
      <c r="BM307" s="94"/>
      <c r="BN307" s="94"/>
      <c r="BO307" s="94"/>
      <c r="BP307" s="94"/>
      <c r="BQ307" s="94"/>
      <c r="BR307" s="94"/>
      <c r="BS307" s="94"/>
      <c r="BT307" s="89">
        <v>11367.79</v>
      </c>
      <c r="BU307" s="91">
        <v>52.99</v>
      </c>
      <c r="BV307" s="91">
        <v>52.99</v>
      </c>
      <c r="BW307" s="89">
        <v>10085.35</v>
      </c>
      <c r="BX307" s="91">
        <v>47.01</v>
      </c>
      <c r="BY307" s="93">
        <v>100</v>
      </c>
      <c r="BZ307" s="94"/>
      <c r="CA307" s="94"/>
      <c r="CB307" s="93">
        <v>100</v>
      </c>
      <c r="CC307" s="94"/>
      <c r="CD307" s="94"/>
      <c r="CE307" s="988">
        <v>100</v>
      </c>
      <c r="CF307" s="406"/>
      <c r="CG307" s="406"/>
      <c r="CH307" s="407"/>
      <c r="CI307" s="406"/>
      <c r="CJ307" s="406"/>
      <c r="CK307" s="407"/>
      <c r="CL307" s="406"/>
      <c r="CM307" s="406"/>
      <c r="CN307" s="406"/>
      <c r="CO307" s="467"/>
      <c r="CP307" s="467"/>
      <c r="CQ307" s="407"/>
      <c r="CR307" s="406"/>
      <c r="CS307" s="406"/>
      <c r="CT307" s="407"/>
      <c r="CU307" s="406"/>
      <c r="CV307" s="406"/>
      <c r="CW307" s="407"/>
      <c r="CX307" s="467"/>
      <c r="CY307" s="467"/>
      <c r="CZ307" s="406"/>
      <c r="DA307" s="407"/>
      <c r="DB307" s="467"/>
      <c r="DC307" s="467"/>
      <c r="DD307" s="467"/>
      <c r="DE307" s="467"/>
      <c r="DF307" s="407"/>
    </row>
    <row r="308" spans="1:110" ht="8.4499999999999993" customHeight="1" x14ac:dyDescent="0.2">
      <c r="A308" s="130" t="s">
        <v>793</v>
      </c>
      <c r="B308" s="104">
        <v>293</v>
      </c>
      <c r="C308" s="82" t="s">
        <v>2622</v>
      </c>
      <c r="D308" s="96">
        <v>32</v>
      </c>
      <c r="E308" s="82" t="s">
        <v>2620</v>
      </c>
      <c r="F308" s="82" t="s">
        <v>2621</v>
      </c>
      <c r="G308" s="97">
        <v>18220.84</v>
      </c>
      <c r="H308" s="98">
        <v>0.21</v>
      </c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7">
        <v>10003.24</v>
      </c>
      <c r="BU308" s="102">
        <v>54.9</v>
      </c>
      <c r="BV308" s="102">
        <v>54.9</v>
      </c>
      <c r="BW308" s="101">
        <v>8217.6</v>
      </c>
      <c r="BX308" s="102">
        <v>45.1</v>
      </c>
      <c r="BY308" s="100">
        <v>100</v>
      </c>
      <c r="BZ308" s="99"/>
      <c r="CA308" s="99"/>
      <c r="CB308" s="100">
        <v>100</v>
      </c>
      <c r="CC308" s="99"/>
      <c r="CD308" s="99"/>
      <c r="CE308" s="989">
        <v>100</v>
      </c>
      <c r="CF308" s="411"/>
      <c r="CG308" s="404"/>
      <c r="CH308" s="404"/>
      <c r="CI308" s="403"/>
      <c r="CJ308" s="462"/>
      <c r="CK308" s="405"/>
      <c r="CL308" s="460"/>
      <c r="CM308" s="460"/>
      <c r="CN308" s="460"/>
      <c r="CO308" s="464"/>
      <c r="CP308" s="464"/>
      <c r="CQ308" s="405"/>
      <c r="CR308" s="460"/>
      <c r="CS308" s="460"/>
      <c r="CT308" s="405"/>
      <c r="CU308" s="460"/>
      <c r="CV308" s="460"/>
      <c r="CW308" s="405"/>
      <c r="CX308" s="464"/>
      <c r="CY308" s="464"/>
      <c r="CZ308" s="460"/>
      <c r="DA308" s="405"/>
      <c r="DB308" s="464"/>
      <c r="DC308" s="464"/>
      <c r="DD308" s="464"/>
      <c r="DE308" s="464"/>
      <c r="DF308" s="405"/>
    </row>
    <row r="309" spans="1:110" ht="8.4499999999999993" customHeight="1" x14ac:dyDescent="0.2">
      <c r="A309" s="130" t="s">
        <v>794</v>
      </c>
      <c r="B309" s="104">
        <v>294</v>
      </c>
      <c r="C309" s="82" t="s">
        <v>2623</v>
      </c>
      <c r="D309" s="96">
        <v>32</v>
      </c>
      <c r="E309" s="82" t="s">
        <v>2620</v>
      </c>
      <c r="F309" s="82" t="s">
        <v>2621</v>
      </c>
      <c r="G309" s="101">
        <v>2533.98</v>
      </c>
      <c r="H309" s="98">
        <v>0.03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101">
        <v>1364.55</v>
      </c>
      <c r="BU309" s="102">
        <v>53.85</v>
      </c>
      <c r="BV309" s="102">
        <v>53.85</v>
      </c>
      <c r="BW309" s="101">
        <v>1169.43</v>
      </c>
      <c r="BX309" s="102">
        <v>46.15</v>
      </c>
      <c r="BY309" s="100">
        <v>100</v>
      </c>
      <c r="BZ309" s="99"/>
      <c r="CA309" s="99"/>
      <c r="CB309" s="100">
        <v>100</v>
      </c>
      <c r="CC309" s="99"/>
      <c r="CD309" s="99"/>
      <c r="CE309" s="989">
        <v>100</v>
      </c>
      <c r="CF309" s="406"/>
      <c r="CG309" s="406"/>
      <c r="CH309" s="407"/>
      <c r="CI309" s="406"/>
      <c r="CJ309" s="406"/>
      <c r="CK309" s="407"/>
      <c r="CL309" s="406"/>
      <c r="CM309" s="406"/>
      <c r="CN309" s="406"/>
      <c r="CO309" s="467"/>
      <c r="CP309" s="467"/>
      <c r="CQ309" s="407"/>
      <c r="CR309" s="406"/>
      <c r="CS309" s="406"/>
      <c r="CT309" s="407"/>
      <c r="CU309" s="406"/>
      <c r="CV309" s="406"/>
      <c r="CW309" s="407"/>
      <c r="CX309" s="467"/>
      <c r="CY309" s="467"/>
      <c r="CZ309" s="406"/>
      <c r="DA309" s="407"/>
      <c r="DB309" s="467"/>
      <c r="DC309" s="467"/>
      <c r="DD309" s="467"/>
      <c r="DE309" s="467"/>
      <c r="DF309" s="407"/>
    </row>
    <row r="310" spans="1:110" ht="8.4499999999999993" customHeight="1" x14ac:dyDescent="0.2">
      <c r="A310" s="130" t="s">
        <v>795</v>
      </c>
      <c r="B310" s="104">
        <v>295</v>
      </c>
      <c r="C310" s="82" t="s">
        <v>2624</v>
      </c>
      <c r="D310" s="95">
        <v>5</v>
      </c>
      <c r="E310" s="82" t="s">
        <v>2196</v>
      </c>
      <c r="F310" s="82" t="s">
        <v>2621</v>
      </c>
      <c r="G310" s="100">
        <v>698.32</v>
      </c>
      <c r="H310" s="98">
        <v>0.01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100">
        <v>698.32</v>
      </c>
      <c r="BX310" s="100">
        <v>100</v>
      </c>
      <c r="BY310" s="100">
        <v>100</v>
      </c>
      <c r="BZ310" s="99"/>
      <c r="CA310" s="99"/>
      <c r="CB310" s="100">
        <v>100</v>
      </c>
      <c r="CC310" s="99"/>
      <c r="CD310" s="99"/>
      <c r="CE310" s="989">
        <v>100</v>
      </c>
      <c r="CF310" s="406"/>
      <c r="CG310" s="406"/>
      <c r="CH310" s="407"/>
      <c r="CI310" s="406"/>
      <c r="CJ310" s="406"/>
      <c r="CK310" s="407"/>
      <c r="CL310" s="406"/>
      <c r="CM310" s="406"/>
      <c r="CN310" s="406"/>
      <c r="CO310" s="467"/>
      <c r="CP310" s="467"/>
      <c r="CQ310" s="407"/>
      <c r="CR310" s="406"/>
      <c r="CS310" s="406"/>
      <c r="CT310" s="407"/>
      <c r="CU310" s="406"/>
      <c r="CV310" s="406"/>
      <c r="CW310" s="407"/>
      <c r="CX310" s="467"/>
      <c r="CY310" s="467"/>
      <c r="CZ310" s="406"/>
      <c r="DA310" s="407"/>
      <c r="DB310" s="467"/>
      <c r="DC310" s="467"/>
      <c r="DD310" s="467"/>
      <c r="DE310" s="467"/>
      <c r="DF310" s="407"/>
    </row>
    <row r="311" spans="1:110" ht="8.4499999999999993" customHeight="1" x14ac:dyDescent="0.2">
      <c r="A311" s="130" t="s">
        <v>797</v>
      </c>
      <c r="B311" s="103">
        <v>296</v>
      </c>
      <c r="C311" s="87" t="s">
        <v>362</v>
      </c>
      <c r="D311" s="88">
        <v>74</v>
      </c>
      <c r="E311" s="87" t="s">
        <v>2615</v>
      </c>
      <c r="F311" s="87" t="s">
        <v>2621</v>
      </c>
      <c r="G311" s="89">
        <v>21601.7</v>
      </c>
      <c r="H311" s="90">
        <v>0.25</v>
      </c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94"/>
      <c r="BJ311" s="94"/>
      <c r="BK311" s="94"/>
      <c r="BL311" s="94"/>
      <c r="BM311" s="94"/>
      <c r="BN311" s="92">
        <v>1578.84</v>
      </c>
      <c r="BO311" s="90">
        <v>7.31</v>
      </c>
      <c r="BP311" s="90">
        <v>7.31</v>
      </c>
      <c r="BQ311" s="92">
        <v>1578.84</v>
      </c>
      <c r="BR311" s="90">
        <v>7.31</v>
      </c>
      <c r="BS311" s="91">
        <v>14.62</v>
      </c>
      <c r="BT311" s="92">
        <v>9290.82</v>
      </c>
      <c r="BU311" s="91">
        <v>43.01</v>
      </c>
      <c r="BV311" s="91">
        <v>57.63</v>
      </c>
      <c r="BW311" s="92">
        <v>9153.2000000000007</v>
      </c>
      <c r="BX311" s="91">
        <v>42.37</v>
      </c>
      <c r="BY311" s="93">
        <v>100</v>
      </c>
      <c r="BZ311" s="94"/>
      <c r="CA311" s="94"/>
      <c r="CB311" s="93">
        <v>100</v>
      </c>
      <c r="CC311" s="94"/>
      <c r="CD311" s="94"/>
      <c r="CE311" s="988">
        <v>100</v>
      </c>
      <c r="CF311" s="406"/>
      <c r="CG311" s="406"/>
      <c r="CH311" s="407"/>
      <c r="CI311" s="406"/>
      <c r="CJ311" s="406"/>
      <c r="CK311" s="407"/>
      <c r="CL311" s="406"/>
      <c r="CM311" s="406"/>
      <c r="CN311" s="406"/>
      <c r="CO311" s="467"/>
      <c r="CP311" s="467"/>
      <c r="CQ311" s="407"/>
      <c r="CR311" s="406"/>
      <c r="CS311" s="406"/>
      <c r="CT311" s="407"/>
      <c r="CU311" s="406"/>
      <c r="CV311" s="406"/>
      <c r="CW311" s="407"/>
      <c r="CX311" s="467"/>
      <c r="CY311" s="467"/>
      <c r="CZ311" s="406"/>
      <c r="DA311" s="407"/>
      <c r="DB311" s="467"/>
      <c r="DC311" s="467"/>
      <c r="DD311" s="467"/>
      <c r="DE311" s="467"/>
      <c r="DF311" s="407"/>
    </row>
    <row r="312" spans="1:110" ht="8.4499999999999993" customHeight="1" x14ac:dyDescent="0.2">
      <c r="A312" s="130" t="s">
        <v>798</v>
      </c>
      <c r="B312" s="104">
        <v>297</v>
      </c>
      <c r="C312" s="82" t="s">
        <v>2625</v>
      </c>
      <c r="D312" s="96">
        <v>50</v>
      </c>
      <c r="E312" s="82" t="s">
        <v>2615</v>
      </c>
      <c r="F312" s="82" t="s">
        <v>2181</v>
      </c>
      <c r="G312" s="101">
        <v>3947.1</v>
      </c>
      <c r="H312" s="98">
        <v>0.04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101">
        <v>1578.84</v>
      </c>
      <c r="BO312" s="102">
        <v>40</v>
      </c>
      <c r="BP312" s="102">
        <v>40</v>
      </c>
      <c r="BQ312" s="101">
        <v>1578.84</v>
      </c>
      <c r="BR312" s="102">
        <v>40</v>
      </c>
      <c r="BS312" s="102">
        <v>80</v>
      </c>
      <c r="BT312" s="100">
        <v>789.42</v>
      </c>
      <c r="BU312" s="102">
        <v>20</v>
      </c>
      <c r="BV312" s="100">
        <v>100</v>
      </c>
      <c r="BW312" s="99"/>
      <c r="BX312" s="99"/>
      <c r="BY312" s="100">
        <v>100</v>
      </c>
      <c r="BZ312" s="99"/>
      <c r="CA312" s="99"/>
      <c r="CB312" s="100">
        <v>100</v>
      </c>
      <c r="CC312" s="99"/>
      <c r="CD312" s="99"/>
      <c r="CE312" s="989">
        <v>100</v>
      </c>
      <c r="CF312" s="410"/>
      <c r="CG312" s="409"/>
      <c r="CH312" s="407"/>
      <c r="CI312" s="406"/>
      <c r="CJ312" s="406"/>
      <c r="CK312" s="407"/>
      <c r="CL312" s="406"/>
      <c r="CM312" s="406"/>
      <c r="CN312" s="406"/>
      <c r="CO312" s="467"/>
      <c r="CP312" s="467"/>
      <c r="CQ312" s="407"/>
      <c r="CR312" s="406"/>
      <c r="CS312" s="406"/>
      <c r="CT312" s="407"/>
      <c r="CU312" s="406"/>
      <c r="CV312" s="406"/>
      <c r="CW312" s="407"/>
      <c r="CX312" s="467"/>
      <c r="CY312" s="467"/>
      <c r="CZ312" s="406"/>
      <c r="DA312" s="407"/>
      <c r="DB312" s="467"/>
      <c r="DC312" s="467"/>
      <c r="DD312" s="467"/>
      <c r="DE312" s="467"/>
      <c r="DF312" s="407"/>
    </row>
    <row r="313" spans="1:110" ht="8.4499999999999993" customHeight="1" x14ac:dyDescent="0.2">
      <c r="A313" s="130" t="s">
        <v>799</v>
      </c>
      <c r="B313" s="104">
        <v>298</v>
      </c>
      <c r="C313" s="82" t="s">
        <v>2626</v>
      </c>
      <c r="D313" s="96">
        <v>32</v>
      </c>
      <c r="E313" s="82" t="s">
        <v>2620</v>
      </c>
      <c r="F313" s="82" t="s">
        <v>2621</v>
      </c>
      <c r="G313" s="101">
        <v>2502.33</v>
      </c>
      <c r="H313" s="98">
        <v>0.03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101">
        <v>1429.83</v>
      </c>
      <c r="BU313" s="102">
        <v>57.14</v>
      </c>
      <c r="BV313" s="102">
        <v>57.14</v>
      </c>
      <c r="BW313" s="101">
        <v>1072.5</v>
      </c>
      <c r="BX313" s="102">
        <v>42.86</v>
      </c>
      <c r="BY313" s="100">
        <v>100</v>
      </c>
      <c r="BZ313" s="99"/>
      <c r="CA313" s="99"/>
      <c r="CB313" s="100">
        <v>100</v>
      </c>
      <c r="CC313" s="99"/>
      <c r="CD313" s="99"/>
      <c r="CE313" s="989">
        <v>100</v>
      </c>
      <c r="CF313" s="406"/>
      <c r="CG313" s="406"/>
      <c r="CH313" s="407"/>
      <c r="CI313" s="406"/>
      <c r="CJ313" s="406"/>
      <c r="CK313" s="407"/>
      <c r="CL313" s="406"/>
      <c r="CM313" s="406"/>
      <c r="CN313" s="406"/>
      <c r="CO313" s="467"/>
      <c r="CP313" s="467"/>
      <c r="CQ313" s="407"/>
      <c r="CR313" s="406"/>
      <c r="CS313" s="406"/>
      <c r="CT313" s="407"/>
      <c r="CU313" s="406"/>
      <c r="CV313" s="406"/>
      <c r="CW313" s="407"/>
      <c r="CX313" s="467"/>
      <c r="CY313" s="467"/>
      <c r="CZ313" s="406"/>
      <c r="DA313" s="407"/>
      <c r="DB313" s="467"/>
      <c r="DC313" s="467"/>
      <c r="DD313" s="467"/>
      <c r="DE313" s="467"/>
      <c r="DF313" s="407"/>
    </row>
    <row r="314" spans="1:110" ht="8.4499999999999993" customHeight="1" x14ac:dyDescent="0.2">
      <c r="A314" s="130" t="s">
        <v>800</v>
      </c>
      <c r="B314" s="104">
        <v>299</v>
      </c>
      <c r="C314" s="82" t="s">
        <v>2627</v>
      </c>
      <c r="D314" s="96">
        <v>32</v>
      </c>
      <c r="E314" s="82" t="s">
        <v>2620</v>
      </c>
      <c r="F314" s="82" t="s">
        <v>2621</v>
      </c>
      <c r="G314" s="97">
        <v>15152.27</v>
      </c>
      <c r="H314" s="98">
        <v>0.17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101">
        <v>7071.56</v>
      </c>
      <c r="BU314" s="102">
        <v>46.67</v>
      </c>
      <c r="BV314" s="102">
        <v>46.67</v>
      </c>
      <c r="BW314" s="101">
        <v>8080.71</v>
      </c>
      <c r="BX314" s="102">
        <v>53.33</v>
      </c>
      <c r="BY314" s="100">
        <v>100</v>
      </c>
      <c r="BZ314" s="99"/>
      <c r="CA314" s="99"/>
      <c r="CB314" s="100">
        <v>100</v>
      </c>
      <c r="CC314" s="99"/>
      <c r="CD314" s="99"/>
      <c r="CE314" s="989">
        <v>100</v>
      </c>
      <c r="CF314" s="406"/>
      <c r="CG314" s="406"/>
      <c r="CH314" s="407"/>
      <c r="CI314" s="406"/>
      <c r="CJ314" s="406"/>
      <c r="CK314" s="407"/>
      <c r="CL314" s="406"/>
      <c r="CM314" s="406"/>
      <c r="CN314" s="406"/>
      <c r="CO314" s="467"/>
      <c r="CP314" s="467"/>
      <c r="CQ314" s="407"/>
      <c r="CR314" s="406"/>
      <c r="CS314" s="406"/>
      <c r="CT314" s="407"/>
      <c r="CU314" s="406"/>
      <c r="CV314" s="406"/>
      <c r="CW314" s="407"/>
      <c r="CX314" s="467"/>
      <c r="CY314" s="467"/>
      <c r="CZ314" s="406"/>
      <c r="DA314" s="407"/>
      <c r="DB314" s="467"/>
      <c r="DC314" s="467"/>
      <c r="DD314" s="467"/>
      <c r="DE314" s="467"/>
      <c r="DF314" s="407"/>
    </row>
    <row r="315" spans="1:110" ht="8.4499999999999993" customHeight="1" x14ac:dyDescent="0.2">
      <c r="A315" s="130" t="s">
        <v>801</v>
      </c>
      <c r="B315" s="103">
        <v>300</v>
      </c>
      <c r="C315" s="87" t="s">
        <v>363</v>
      </c>
      <c r="D315" s="88">
        <v>32</v>
      </c>
      <c r="E315" s="87" t="s">
        <v>2620</v>
      </c>
      <c r="F315" s="87" t="s">
        <v>2621</v>
      </c>
      <c r="G315" s="92">
        <v>2493.14</v>
      </c>
      <c r="H315" s="90">
        <v>0.03</v>
      </c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94"/>
      <c r="BJ315" s="94"/>
      <c r="BK315" s="94"/>
      <c r="BL315" s="94"/>
      <c r="BM315" s="94"/>
      <c r="BN315" s="94"/>
      <c r="BO315" s="94"/>
      <c r="BP315" s="94"/>
      <c r="BQ315" s="94"/>
      <c r="BR315" s="94"/>
      <c r="BS315" s="94"/>
      <c r="BT315" s="92">
        <v>1342.56</v>
      </c>
      <c r="BU315" s="91">
        <v>53.85</v>
      </c>
      <c r="BV315" s="91">
        <v>53.85</v>
      </c>
      <c r="BW315" s="92">
        <v>1150.58</v>
      </c>
      <c r="BX315" s="91">
        <v>46.15</v>
      </c>
      <c r="BY315" s="93">
        <v>100</v>
      </c>
      <c r="BZ315" s="94"/>
      <c r="CA315" s="94"/>
      <c r="CB315" s="93">
        <v>100</v>
      </c>
      <c r="CC315" s="94"/>
      <c r="CD315" s="94"/>
      <c r="CE315" s="988">
        <v>100</v>
      </c>
      <c r="CF315" s="406"/>
      <c r="CG315" s="406"/>
      <c r="CH315" s="406"/>
      <c r="CI315" s="410"/>
      <c r="CJ315" s="407"/>
      <c r="CK315" s="407"/>
      <c r="CL315" s="406"/>
      <c r="CM315" s="406"/>
      <c r="CN315" s="406"/>
      <c r="CO315" s="467"/>
      <c r="CP315" s="467"/>
      <c r="CQ315" s="407"/>
      <c r="CR315" s="406"/>
      <c r="CS315" s="406"/>
      <c r="CT315" s="407"/>
      <c r="CU315" s="406"/>
      <c r="CV315" s="406"/>
      <c r="CW315" s="407"/>
      <c r="CX315" s="467"/>
      <c r="CY315" s="467"/>
      <c r="CZ315" s="406"/>
      <c r="DA315" s="407"/>
      <c r="DB315" s="467"/>
      <c r="DC315" s="467"/>
      <c r="DD315" s="467"/>
      <c r="DE315" s="467"/>
      <c r="DF315" s="407"/>
    </row>
    <row r="316" spans="1:110" ht="8.4499999999999993" customHeight="1" x14ac:dyDescent="0.2">
      <c r="A316" s="130" t="s">
        <v>802</v>
      </c>
      <c r="B316" s="104">
        <v>301</v>
      </c>
      <c r="C316" s="82" t="s">
        <v>2628</v>
      </c>
      <c r="D316" s="96">
        <v>32</v>
      </c>
      <c r="E316" s="82" t="s">
        <v>2620</v>
      </c>
      <c r="F316" s="82" t="s">
        <v>2621</v>
      </c>
      <c r="G316" s="101">
        <v>2493.14</v>
      </c>
      <c r="H316" s="98">
        <v>0.03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101">
        <v>1342.56</v>
      </c>
      <c r="BU316" s="102">
        <v>53.85</v>
      </c>
      <c r="BV316" s="102">
        <v>53.85</v>
      </c>
      <c r="BW316" s="101">
        <v>1150.58</v>
      </c>
      <c r="BX316" s="102">
        <v>46.15</v>
      </c>
      <c r="BY316" s="100">
        <v>100</v>
      </c>
      <c r="BZ316" s="99"/>
      <c r="CA316" s="99"/>
      <c r="CB316" s="100">
        <v>100</v>
      </c>
      <c r="CC316" s="99"/>
      <c r="CD316" s="99"/>
      <c r="CE316" s="989">
        <v>100</v>
      </c>
      <c r="CF316" s="412"/>
      <c r="CG316" s="409"/>
      <c r="CH316" s="407"/>
      <c r="CI316" s="406"/>
      <c r="CJ316" s="406"/>
      <c r="CK316" s="407"/>
      <c r="CL316" s="406"/>
      <c r="CM316" s="406"/>
      <c r="CN316" s="406"/>
      <c r="CO316" s="467"/>
      <c r="CP316" s="467"/>
      <c r="CQ316" s="407"/>
      <c r="CR316" s="406"/>
      <c r="CS316" s="406"/>
      <c r="CT316" s="407"/>
      <c r="CU316" s="406"/>
      <c r="CV316" s="406"/>
      <c r="CW316" s="407"/>
      <c r="CX316" s="467"/>
      <c r="CY316" s="467"/>
      <c r="CZ316" s="406"/>
      <c r="DA316" s="407"/>
      <c r="DB316" s="467"/>
      <c r="DC316" s="467"/>
      <c r="DD316" s="467"/>
      <c r="DE316" s="467"/>
      <c r="DF316" s="407"/>
    </row>
    <row r="317" spans="1:110" ht="8.4499999999999993" customHeight="1" x14ac:dyDescent="0.2">
      <c r="A317" s="130" t="s">
        <v>803</v>
      </c>
      <c r="B317" s="103">
        <v>302</v>
      </c>
      <c r="C317" s="87" t="s">
        <v>364</v>
      </c>
      <c r="D317" s="88">
        <v>32</v>
      </c>
      <c r="E317" s="87" t="s">
        <v>2620</v>
      </c>
      <c r="F317" s="87" t="s">
        <v>2621</v>
      </c>
      <c r="G317" s="93">
        <v>957.58</v>
      </c>
      <c r="H317" s="90">
        <v>0.01</v>
      </c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94"/>
      <c r="BJ317" s="94"/>
      <c r="BK317" s="94"/>
      <c r="BL317" s="94"/>
      <c r="BM317" s="94"/>
      <c r="BN317" s="94"/>
      <c r="BO317" s="94"/>
      <c r="BP317" s="94"/>
      <c r="BQ317" s="94"/>
      <c r="BR317" s="94"/>
      <c r="BS317" s="94"/>
      <c r="BT317" s="93">
        <v>515.66</v>
      </c>
      <c r="BU317" s="91">
        <v>53.85</v>
      </c>
      <c r="BV317" s="91">
        <v>53.85</v>
      </c>
      <c r="BW317" s="93">
        <v>441.92</v>
      </c>
      <c r="BX317" s="91">
        <v>46.15</v>
      </c>
      <c r="BY317" s="93">
        <v>100</v>
      </c>
      <c r="BZ317" s="94"/>
      <c r="CA317" s="94"/>
      <c r="CB317" s="93">
        <v>100</v>
      </c>
      <c r="CC317" s="94"/>
      <c r="CD317" s="94"/>
      <c r="CE317" s="988">
        <v>100</v>
      </c>
      <c r="CF317" s="411"/>
      <c r="CG317" s="404"/>
      <c r="CH317" s="405"/>
      <c r="CI317" s="460"/>
      <c r="CJ317" s="460"/>
      <c r="CK317" s="405"/>
      <c r="CL317" s="460"/>
      <c r="CM317" s="460"/>
      <c r="CN317" s="460"/>
      <c r="CO317" s="467"/>
      <c r="CP317" s="467"/>
      <c r="CQ317" s="407"/>
      <c r="CR317" s="406"/>
      <c r="CS317" s="406"/>
      <c r="CT317" s="407"/>
      <c r="CU317" s="406"/>
      <c r="CV317" s="406"/>
      <c r="CW317" s="407"/>
      <c r="CX317" s="467"/>
      <c r="CY317" s="467"/>
      <c r="CZ317" s="406"/>
      <c r="DA317" s="407"/>
      <c r="DB317" s="467"/>
      <c r="DC317" s="467"/>
      <c r="DD317" s="467"/>
      <c r="DE317" s="467"/>
      <c r="DF317" s="407"/>
    </row>
    <row r="318" spans="1:110" ht="8.4499999999999993" customHeight="1" x14ac:dyDescent="0.2">
      <c r="A318" s="130" t="s">
        <v>804</v>
      </c>
      <c r="B318" s="104">
        <v>303</v>
      </c>
      <c r="C318" s="82" t="s">
        <v>2629</v>
      </c>
      <c r="D318" s="96">
        <v>32</v>
      </c>
      <c r="E318" s="82" t="s">
        <v>2620</v>
      </c>
      <c r="F318" s="82" t="s">
        <v>2621</v>
      </c>
      <c r="G318" s="100">
        <v>957.58</v>
      </c>
      <c r="H318" s="98">
        <v>0.01</v>
      </c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100">
        <v>515.66</v>
      </c>
      <c r="BU318" s="102">
        <v>53.85</v>
      </c>
      <c r="BV318" s="102">
        <v>53.85</v>
      </c>
      <c r="BW318" s="100">
        <v>441.92</v>
      </c>
      <c r="BX318" s="102">
        <v>46.15</v>
      </c>
      <c r="BY318" s="100">
        <v>100</v>
      </c>
      <c r="BZ318" s="99"/>
      <c r="CA318" s="99"/>
      <c r="CB318" s="100">
        <v>100</v>
      </c>
      <c r="CC318" s="99"/>
      <c r="CD318" s="99"/>
      <c r="CE318" s="989">
        <v>100</v>
      </c>
      <c r="CF318" s="411"/>
      <c r="CG318" s="404"/>
      <c r="CH318" s="405"/>
      <c r="CI318" s="460"/>
      <c r="CJ318" s="460"/>
      <c r="CK318" s="405"/>
      <c r="CL318" s="460"/>
      <c r="CM318" s="460"/>
      <c r="CN318" s="460"/>
      <c r="CO318" s="467"/>
      <c r="CP318" s="467"/>
      <c r="CQ318" s="407"/>
      <c r="CR318" s="406"/>
      <c r="CS318" s="406"/>
      <c r="CT318" s="407"/>
      <c r="CU318" s="406"/>
      <c r="CV318" s="406"/>
      <c r="CW318" s="407"/>
      <c r="CX318" s="467"/>
      <c r="CY318" s="467"/>
      <c r="CZ318" s="406"/>
      <c r="DA318" s="407"/>
      <c r="DB318" s="467"/>
      <c r="DC318" s="467"/>
      <c r="DD318" s="467"/>
      <c r="DE318" s="467"/>
      <c r="DF318" s="407"/>
    </row>
    <row r="319" spans="1:110" ht="8.4499999999999993" customHeight="1" x14ac:dyDescent="0.2">
      <c r="A319" s="130" t="s">
        <v>805</v>
      </c>
      <c r="B319" s="103">
        <v>304</v>
      </c>
      <c r="C319" s="87" t="s">
        <v>365</v>
      </c>
      <c r="D319" s="88">
        <v>26</v>
      </c>
      <c r="E319" s="87" t="s">
        <v>2196</v>
      </c>
      <c r="F319" s="87" t="s">
        <v>2566</v>
      </c>
      <c r="G319" s="89">
        <v>28776.17</v>
      </c>
      <c r="H319" s="90">
        <v>0.33</v>
      </c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94"/>
      <c r="BJ319" s="94"/>
      <c r="BK319" s="94"/>
      <c r="BL319" s="94"/>
      <c r="BM319" s="94"/>
      <c r="BN319" s="94"/>
      <c r="BO319" s="94"/>
      <c r="BP319" s="94"/>
      <c r="BQ319" s="94"/>
      <c r="BR319" s="94"/>
      <c r="BS319" s="94"/>
      <c r="BT319" s="94"/>
      <c r="BU319" s="94"/>
      <c r="BV319" s="94"/>
      <c r="BW319" s="89">
        <v>13395.92</v>
      </c>
      <c r="BX319" s="91">
        <v>46.55</v>
      </c>
      <c r="BY319" s="91">
        <v>46.55</v>
      </c>
      <c r="BZ319" s="89">
        <v>15380.25</v>
      </c>
      <c r="CA319" s="91">
        <v>53.45</v>
      </c>
      <c r="CB319" s="93">
        <v>100</v>
      </c>
      <c r="CC319" s="94"/>
      <c r="CD319" s="94"/>
      <c r="CE319" s="988">
        <v>100</v>
      </c>
      <c r="CF319" s="410"/>
      <c r="CG319" s="409"/>
      <c r="CH319" s="407"/>
      <c r="CI319" s="406"/>
      <c r="CJ319" s="406"/>
      <c r="CK319" s="407"/>
      <c r="CL319" s="406"/>
      <c r="CM319" s="406"/>
      <c r="CN319" s="406"/>
      <c r="CO319" s="467"/>
      <c r="CP319" s="467"/>
      <c r="CQ319" s="407"/>
      <c r="CR319" s="406"/>
      <c r="CS319" s="406"/>
      <c r="CT319" s="407"/>
      <c r="CU319" s="406"/>
      <c r="CV319" s="406"/>
      <c r="CW319" s="407"/>
      <c r="CX319" s="467"/>
      <c r="CY319" s="467"/>
      <c r="CZ319" s="406"/>
      <c r="DA319" s="407"/>
      <c r="DB319" s="467"/>
      <c r="DC319" s="467"/>
      <c r="DD319" s="467"/>
      <c r="DE319" s="467"/>
      <c r="DF319" s="407"/>
    </row>
    <row r="320" spans="1:110" ht="8.4499999999999993" customHeight="1" x14ac:dyDescent="0.2">
      <c r="A320" s="130" t="s">
        <v>806</v>
      </c>
      <c r="B320" s="104">
        <v>305</v>
      </c>
      <c r="C320" s="82" t="s">
        <v>2630</v>
      </c>
      <c r="D320" s="96">
        <v>26</v>
      </c>
      <c r="E320" s="82" t="s">
        <v>2196</v>
      </c>
      <c r="F320" s="82" t="s">
        <v>2566</v>
      </c>
      <c r="G320" s="101">
        <v>1184.19</v>
      </c>
      <c r="H320" s="98">
        <v>0.01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100">
        <v>546.5</v>
      </c>
      <c r="BX320" s="102">
        <v>46.15</v>
      </c>
      <c r="BY320" s="102">
        <v>46.15</v>
      </c>
      <c r="BZ320" s="100">
        <v>637.69000000000005</v>
      </c>
      <c r="CA320" s="102">
        <v>53.85</v>
      </c>
      <c r="CB320" s="100">
        <v>100</v>
      </c>
      <c r="CC320" s="99"/>
      <c r="CD320" s="99"/>
      <c r="CE320" s="989">
        <v>100</v>
      </c>
      <c r="CF320" s="410"/>
      <c r="CG320" s="409"/>
      <c r="CH320" s="407"/>
      <c r="CI320" s="406"/>
      <c r="CJ320" s="406"/>
      <c r="CK320" s="407"/>
      <c r="CL320" s="406"/>
      <c r="CM320" s="406"/>
      <c r="CN320" s="406"/>
      <c r="CO320" s="467"/>
      <c r="CP320" s="467"/>
      <c r="CQ320" s="407"/>
      <c r="CR320" s="406"/>
      <c r="CS320" s="406"/>
      <c r="CT320" s="407"/>
      <c r="CU320" s="406"/>
      <c r="CV320" s="406"/>
      <c r="CW320" s="407"/>
      <c r="CX320" s="467"/>
      <c r="CY320" s="467"/>
      <c r="CZ320" s="406"/>
      <c r="DA320" s="407"/>
      <c r="DB320" s="467"/>
      <c r="DC320" s="467"/>
      <c r="DD320" s="467"/>
      <c r="DE320" s="467"/>
      <c r="DF320" s="407"/>
    </row>
    <row r="321" spans="1:110" ht="8.4499999999999993" customHeight="1" x14ac:dyDescent="0.2">
      <c r="A321" s="130" t="s">
        <v>807</v>
      </c>
      <c r="B321" s="104">
        <v>306</v>
      </c>
      <c r="C321" s="82" t="s">
        <v>2631</v>
      </c>
      <c r="D321" s="96">
        <v>26</v>
      </c>
      <c r="E321" s="82" t="s">
        <v>2196</v>
      </c>
      <c r="F321" s="82" t="s">
        <v>2566</v>
      </c>
      <c r="G321" s="101">
        <v>1228.52</v>
      </c>
      <c r="H321" s="98">
        <v>0.01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100">
        <v>566.96</v>
      </c>
      <c r="BX321" s="102">
        <v>46.15</v>
      </c>
      <c r="BY321" s="102">
        <v>46.15</v>
      </c>
      <c r="BZ321" s="100">
        <v>661.56</v>
      </c>
      <c r="CA321" s="102">
        <v>53.85</v>
      </c>
      <c r="CB321" s="100">
        <v>100</v>
      </c>
      <c r="CC321" s="99"/>
      <c r="CD321" s="99"/>
      <c r="CE321" s="989">
        <v>100</v>
      </c>
      <c r="CF321" s="410"/>
      <c r="CG321" s="409"/>
      <c r="CH321" s="407"/>
      <c r="CI321" s="406"/>
      <c r="CJ321" s="406"/>
      <c r="CK321" s="407"/>
      <c r="CL321" s="406"/>
      <c r="CM321" s="406"/>
      <c r="CN321" s="406"/>
      <c r="CO321" s="467"/>
      <c r="CP321" s="467"/>
      <c r="CQ321" s="407"/>
      <c r="CR321" s="406"/>
      <c r="CS321" s="406"/>
      <c r="CT321" s="407"/>
      <c r="CU321" s="406"/>
      <c r="CV321" s="406"/>
      <c r="CW321" s="407"/>
      <c r="CX321" s="467"/>
      <c r="CY321" s="467"/>
      <c r="CZ321" s="406"/>
      <c r="DA321" s="407"/>
      <c r="DB321" s="467"/>
      <c r="DC321" s="467"/>
      <c r="DD321" s="467"/>
      <c r="DE321" s="467"/>
      <c r="DF321" s="407"/>
    </row>
    <row r="322" spans="1:110" ht="8.4499999999999993" customHeight="1" x14ac:dyDescent="0.2">
      <c r="A322" s="130" t="s">
        <v>808</v>
      </c>
      <c r="B322" s="104">
        <v>307</v>
      </c>
      <c r="C322" s="82" t="s">
        <v>2632</v>
      </c>
      <c r="D322" s="96">
        <v>26</v>
      </c>
      <c r="E322" s="82" t="s">
        <v>2196</v>
      </c>
      <c r="F322" s="82" t="s">
        <v>2566</v>
      </c>
      <c r="G322" s="101">
        <v>3168.78</v>
      </c>
      <c r="H322" s="98">
        <v>0.04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101">
        <v>1267.51</v>
      </c>
      <c r="BX322" s="102">
        <v>40</v>
      </c>
      <c r="BY322" s="102">
        <v>40</v>
      </c>
      <c r="BZ322" s="101">
        <v>1901.27</v>
      </c>
      <c r="CA322" s="102">
        <v>60</v>
      </c>
      <c r="CB322" s="100">
        <v>100</v>
      </c>
      <c r="CC322" s="99"/>
      <c r="CD322" s="99"/>
      <c r="CE322" s="989">
        <v>100</v>
      </c>
      <c r="CF322" s="410"/>
      <c r="CG322" s="409"/>
      <c r="CH322" s="407"/>
      <c r="CI322" s="406"/>
      <c r="CJ322" s="406"/>
      <c r="CK322" s="407"/>
      <c r="CL322" s="406"/>
      <c r="CM322" s="406"/>
      <c r="CN322" s="406"/>
      <c r="CO322" s="467"/>
      <c r="CP322" s="467"/>
      <c r="CQ322" s="407"/>
      <c r="CR322" s="406"/>
      <c r="CS322" s="406"/>
      <c r="CT322" s="407"/>
      <c r="CU322" s="406"/>
      <c r="CV322" s="406"/>
      <c r="CW322" s="407"/>
      <c r="CX322" s="467"/>
      <c r="CY322" s="467"/>
      <c r="CZ322" s="406"/>
      <c r="DA322" s="407"/>
      <c r="DB322" s="467"/>
      <c r="DC322" s="467"/>
      <c r="DD322" s="467"/>
      <c r="DE322" s="467"/>
      <c r="DF322" s="407"/>
    </row>
    <row r="323" spans="1:110" ht="8.4499999999999993" customHeight="1" x14ac:dyDescent="0.2">
      <c r="A323" s="130" t="s">
        <v>809</v>
      </c>
      <c r="B323" s="104">
        <v>308</v>
      </c>
      <c r="C323" s="82" t="s">
        <v>2633</v>
      </c>
      <c r="D323" s="96">
        <v>26</v>
      </c>
      <c r="E323" s="82" t="s">
        <v>2196</v>
      </c>
      <c r="F323" s="82" t="s">
        <v>2566</v>
      </c>
      <c r="G323" s="100">
        <v>316.89999999999998</v>
      </c>
      <c r="H323" s="98">
        <v>0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100">
        <v>126.76</v>
      </c>
      <c r="BX323" s="102">
        <v>40</v>
      </c>
      <c r="BY323" s="102">
        <v>40</v>
      </c>
      <c r="BZ323" s="100">
        <v>190.14</v>
      </c>
      <c r="CA323" s="102">
        <v>60</v>
      </c>
      <c r="CB323" s="100">
        <v>100</v>
      </c>
      <c r="CC323" s="99"/>
      <c r="CD323" s="99"/>
      <c r="CE323" s="989">
        <v>100</v>
      </c>
      <c r="CF323" s="410"/>
      <c r="CG323" s="409"/>
      <c r="CH323" s="407"/>
      <c r="CI323" s="406"/>
      <c r="CJ323" s="406"/>
      <c r="CK323" s="407"/>
      <c r="CL323" s="406"/>
      <c r="CM323" s="406"/>
      <c r="CN323" s="406"/>
      <c r="CO323" s="467"/>
      <c r="CP323" s="467"/>
      <c r="CQ323" s="407"/>
      <c r="CR323" s="406"/>
      <c r="CS323" s="406"/>
      <c r="CT323" s="407"/>
      <c r="CU323" s="406"/>
      <c r="CV323" s="406"/>
      <c r="CW323" s="407"/>
      <c r="CX323" s="467"/>
      <c r="CY323" s="467"/>
      <c r="CZ323" s="406"/>
      <c r="DA323" s="407"/>
      <c r="DB323" s="467"/>
      <c r="DC323" s="467"/>
      <c r="DD323" s="467"/>
      <c r="DE323" s="467"/>
      <c r="DF323" s="407"/>
    </row>
    <row r="324" spans="1:110" ht="8.4499999999999993" customHeight="1" x14ac:dyDescent="0.2">
      <c r="A324" s="130" t="s">
        <v>2316</v>
      </c>
      <c r="B324" s="104">
        <v>309</v>
      </c>
      <c r="C324" s="82" t="s">
        <v>2634</v>
      </c>
      <c r="D324" s="96">
        <v>26</v>
      </c>
      <c r="E324" s="82" t="s">
        <v>2196</v>
      </c>
      <c r="F324" s="82" t="s">
        <v>2566</v>
      </c>
      <c r="G324" s="97">
        <v>11414.15</v>
      </c>
      <c r="H324" s="98">
        <v>0.13</v>
      </c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101">
        <v>5590.65</v>
      </c>
      <c r="BX324" s="102">
        <v>48.98</v>
      </c>
      <c r="BY324" s="102">
        <v>48.98</v>
      </c>
      <c r="BZ324" s="101">
        <v>5823.5</v>
      </c>
      <c r="CA324" s="102">
        <v>51.02</v>
      </c>
      <c r="CB324" s="100">
        <v>100</v>
      </c>
      <c r="CC324" s="99"/>
      <c r="CD324" s="99"/>
      <c r="CE324" s="989">
        <v>100</v>
      </c>
      <c r="CF324" s="403"/>
      <c r="CG324" s="404"/>
      <c r="CH324" s="405"/>
      <c r="CI324" s="460"/>
      <c r="CJ324" s="460"/>
      <c r="CK324" s="405"/>
      <c r="CL324" s="460"/>
      <c r="CM324" s="460"/>
      <c r="CN324" s="460"/>
      <c r="CO324" s="467"/>
      <c r="CP324" s="467"/>
      <c r="CQ324" s="407"/>
      <c r="CR324" s="406"/>
      <c r="CS324" s="406"/>
      <c r="CT324" s="407"/>
      <c r="CU324" s="406"/>
      <c r="CV324" s="406"/>
      <c r="CW324" s="407"/>
      <c r="CX324" s="467"/>
      <c r="CY324" s="467"/>
      <c r="CZ324" s="406"/>
      <c r="DA324" s="407"/>
      <c r="DB324" s="467"/>
      <c r="DC324" s="467"/>
      <c r="DD324" s="467"/>
      <c r="DE324" s="467"/>
      <c r="DF324" s="407"/>
    </row>
    <row r="325" spans="1:110" ht="8.4499999999999993" customHeight="1" x14ac:dyDescent="0.2">
      <c r="A325" s="130" t="s">
        <v>2318</v>
      </c>
      <c r="B325" s="104">
        <v>310</v>
      </c>
      <c r="C325" s="82" t="s">
        <v>2635</v>
      </c>
      <c r="D325" s="96">
        <v>26</v>
      </c>
      <c r="E325" s="82" t="s">
        <v>2196</v>
      </c>
      <c r="F325" s="82" t="s">
        <v>2566</v>
      </c>
      <c r="G325" s="101">
        <v>4342.83</v>
      </c>
      <c r="H325" s="98">
        <v>0.05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101">
        <v>1737.13</v>
      </c>
      <c r="BX325" s="102">
        <v>40</v>
      </c>
      <c r="BY325" s="102">
        <v>40</v>
      </c>
      <c r="BZ325" s="101">
        <v>2605.6999999999998</v>
      </c>
      <c r="CA325" s="102">
        <v>60</v>
      </c>
      <c r="CB325" s="100">
        <v>100</v>
      </c>
      <c r="CC325" s="99"/>
      <c r="CD325" s="99"/>
      <c r="CE325" s="989">
        <v>100</v>
      </c>
      <c r="CF325" s="407"/>
      <c r="CG325" s="409"/>
      <c r="CH325" s="407"/>
      <c r="CI325" s="406"/>
      <c r="CJ325" s="406"/>
      <c r="CK325" s="407"/>
      <c r="CL325" s="406"/>
      <c r="CM325" s="406"/>
      <c r="CN325" s="406"/>
      <c r="CO325" s="467"/>
      <c r="CP325" s="467"/>
      <c r="CQ325" s="407"/>
      <c r="CR325" s="406"/>
      <c r="CS325" s="406"/>
      <c r="CT325" s="407"/>
      <c r="CU325" s="406"/>
      <c r="CV325" s="406"/>
      <c r="CW325" s="407"/>
      <c r="CX325" s="467"/>
      <c r="CY325" s="467"/>
      <c r="CZ325" s="406"/>
      <c r="DA325" s="407"/>
      <c r="DB325" s="467"/>
      <c r="DC325" s="467"/>
      <c r="DD325" s="467"/>
      <c r="DE325" s="467"/>
      <c r="DF325" s="407"/>
    </row>
    <row r="326" spans="1:110" ht="8.4499999999999993" customHeight="1" x14ac:dyDescent="0.2">
      <c r="A326" s="130" t="s">
        <v>2319</v>
      </c>
      <c r="B326" s="104">
        <v>311</v>
      </c>
      <c r="C326" s="82" t="s">
        <v>2636</v>
      </c>
      <c r="D326" s="96">
        <v>26</v>
      </c>
      <c r="E326" s="82" t="s">
        <v>2196</v>
      </c>
      <c r="F326" s="82" t="s">
        <v>2566</v>
      </c>
      <c r="G326" s="101">
        <v>7120.8</v>
      </c>
      <c r="H326" s="98">
        <v>0.08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101">
        <v>3560.4</v>
      </c>
      <c r="BX326" s="102">
        <v>50</v>
      </c>
      <c r="BY326" s="102">
        <v>50</v>
      </c>
      <c r="BZ326" s="101">
        <v>3560.4</v>
      </c>
      <c r="CA326" s="102">
        <v>50</v>
      </c>
      <c r="CB326" s="100">
        <v>100</v>
      </c>
      <c r="CC326" s="99"/>
      <c r="CD326" s="99"/>
      <c r="CE326" s="989">
        <v>100</v>
      </c>
      <c r="CF326" s="407"/>
      <c r="CG326" s="409"/>
      <c r="CH326" s="407"/>
      <c r="CI326" s="406"/>
      <c r="CJ326" s="406"/>
      <c r="CK326" s="407"/>
      <c r="CL326" s="406"/>
      <c r="CM326" s="406"/>
      <c r="CN326" s="406"/>
      <c r="CO326" s="467"/>
      <c r="CP326" s="467"/>
      <c r="CQ326" s="407"/>
      <c r="CR326" s="406"/>
      <c r="CS326" s="406"/>
      <c r="CT326" s="407"/>
      <c r="CU326" s="406"/>
      <c r="CV326" s="406"/>
      <c r="CW326" s="407"/>
      <c r="CX326" s="467"/>
      <c r="CY326" s="467"/>
      <c r="CZ326" s="406"/>
      <c r="DA326" s="407"/>
      <c r="DB326" s="467"/>
      <c r="DC326" s="467"/>
      <c r="DD326" s="467"/>
      <c r="DE326" s="467"/>
      <c r="DF326" s="407"/>
    </row>
    <row r="327" spans="1:110" ht="8.4499999999999993" customHeight="1" x14ac:dyDescent="0.2">
      <c r="A327" s="130" t="s">
        <v>810</v>
      </c>
      <c r="B327" s="103">
        <v>312</v>
      </c>
      <c r="C327" s="87" t="s">
        <v>366</v>
      </c>
      <c r="D327" s="88">
        <v>26</v>
      </c>
      <c r="E327" s="87" t="s">
        <v>2196</v>
      </c>
      <c r="F327" s="87" t="s">
        <v>2566</v>
      </c>
      <c r="G327" s="92">
        <v>4650.8</v>
      </c>
      <c r="H327" s="90">
        <v>0.05</v>
      </c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94"/>
      <c r="BJ327" s="94"/>
      <c r="BK327" s="94"/>
      <c r="BL327" s="94"/>
      <c r="BM327" s="94"/>
      <c r="BN327" s="94"/>
      <c r="BO327" s="94"/>
      <c r="BP327" s="94"/>
      <c r="BQ327" s="94"/>
      <c r="BR327" s="94"/>
      <c r="BS327" s="94"/>
      <c r="BT327" s="94"/>
      <c r="BU327" s="94"/>
      <c r="BV327" s="94"/>
      <c r="BW327" s="92">
        <v>2123.09</v>
      </c>
      <c r="BX327" s="91">
        <v>45.65</v>
      </c>
      <c r="BY327" s="91">
        <v>45.65</v>
      </c>
      <c r="BZ327" s="92">
        <v>2527.71</v>
      </c>
      <c r="CA327" s="91">
        <v>54.35</v>
      </c>
      <c r="CB327" s="93">
        <v>100</v>
      </c>
      <c r="CC327" s="94"/>
      <c r="CD327" s="94"/>
      <c r="CE327" s="988">
        <v>100</v>
      </c>
      <c r="CF327" s="407"/>
      <c r="CG327" s="409"/>
      <c r="CH327" s="407"/>
      <c r="CI327" s="406"/>
      <c r="CJ327" s="406"/>
      <c r="CK327" s="407"/>
      <c r="CL327" s="406"/>
      <c r="CM327" s="406"/>
      <c r="CN327" s="406"/>
      <c r="CO327" s="467"/>
      <c r="CP327" s="467"/>
      <c r="CQ327" s="407"/>
      <c r="CR327" s="406"/>
      <c r="CS327" s="406"/>
      <c r="CT327" s="407"/>
      <c r="CU327" s="406"/>
      <c r="CV327" s="406"/>
      <c r="CW327" s="407"/>
      <c r="CX327" s="467"/>
      <c r="CY327" s="467"/>
      <c r="CZ327" s="406"/>
      <c r="DA327" s="407"/>
      <c r="DB327" s="467"/>
      <c r="DC327" s="467"/>
      <c r="DD327" s="467"/>
      <c r="DE327" s="467"/>
      <c r="DF327" s="407"/>
    </row>
    <row r="328" spans="1:110" ht="8.4499999999999993" customHeight="1" x14ac:dyDescent="0.2">
      <c r="A328" s="130" t="s">
        <v>811</v>
      </c>
      <c r="B328" s="104">
        <v>313</v>
      </c>
      <c r="C328" s="82" t="s">
        <v>2637</v>
      </c>
      <c r="D328" s="96">
        <v>26</v>
      </c>
      <c r="E328" s="82" t="s">
        <v>2196</v>
      </c>
      <c r="F328" s="82" t="s">
        <v>2566</v>
      </c>
      <c r="G328" s="101">
        <v>4650.8</v>
      </c>
      <c r="H328" s="98">
        <v>0.05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101">
        <v>2123.09</v>
      </c>
      <c r="BX328" s="102">
        <v>45.65</v>
      </c>
      <c r="BY328" s="102">
        <v>45.65</v>
      </c>
      <c r="BZ328" s="101">
        <v>2527.71</v>
      </c>
      <c r="CA328" s="102">
        <v>54.35</v>
      </c>
      <c r="CB328" s="100">
        <v>100</v>
      </c>
      <c r="CC328" s="99"/>
      <c r="CD328" s="99"/>
      <c r="CE328" s="989">
        <v>100</v>
      </c>
      <c r="CF328" s="409"/>
      <c r="CG328" s="409"/>
      <c r="CH328" s="407"/>
      <c r="CI328" s="406"/>
      <c r="CJ328" s="406"/>
      <c r="CK328" s="407"/>
      <c r="CL328" s="406"/>
      <c r="CM328" s="406"/>
      <c r="CN328" s="406"/>
      <c r="CO328" s="467"/>
      <c r="CP328" s="467"/>
      <c r="CQ328" s="407"/>
      <c r="CR328" s="406"/>
      <c r="CS328" s="406"/>
      <c r="CT328" s="407"/>
      <c r="CU328" s="406"/>
      <c r="CV328" s="406"/>
      <c r="CW328" s="407"/>
      <c r="CX328" s="467"/>
      <c r="CY328" s="467"/>
      <c r="CZ328" s="406"/>
      <c r="DA328" s="407"/>
      <c r="DB328" s="467"/>
      <c r="DC328" s="467"/>
      <c r="DD328" s="467"/>
      <c r="DE328" s="467"/>
      <c r="DF328" s="407"/>
    </row>
    <row r="329" spans="1:110" ht="8.4499999999999993" customHeight="1" x14ac:dyDescent="0.2">
      <c r="A329" s="130" t="s">
        <v>812</v>
      </c>
      <c r="B329" s="103">
        <v>314</v>
      </c>
      <c r="C329" s="87" t="s">
        <v>367</v>
      </c>
      <c r="D329" s="88">
        <v>85</v>
      </c>
      <c r="E329" s="87" t="s">
        <v>2033</v>
      </c>
      <c r="F329" s="87" t="s">
        <v>2380</v>
      </c>
      <c r="G329" s="89">
        <v>31645.84</v>
      </c>
      <c r="H329" s="90">
        <v>0.36</v>
      </c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94"/>
      <c r="BJ329" s="94"/>
      <c r="BK329" s="94"/>
      <c r="BL329" s="94"/>
      <c r="BM329" s="94"/>
      <c r="BN329" s="94"/>
      <c r="BO329" s="94"/>
      <c r="BP329" s="94"/>
      <c r="BQ329" s="94"/>
      <c r="BR329" s="94"/>
      <c r="BS329" s="94"/>
      <c r="BT329" s="89">
        <v>31400</v>
      </c>
      <c r="BU329" s="91">
        <v>99.22</v>
      </c>
      <c r="BV329" s="91">
        <v>99.22</v>
      </c>
      <c r="BW329" s="94"/>
      <c r="BX329" s="94"/>
      <c r="BY329" s="91">
        <v>99.22</v>
      </c>
      <c r="BZ329" s="94"/>
      <c r="CA329" s="94"/>
      <c r="CB329" s="91">
        <v>99.22</v>
      </c>
      <c r="CC329" s="93">
        <v>245.84</v>
      </c>
      <c r="CD329" s="90">
        <v>0.78</v>
      </c>
      <c r="CE329" s="988">
        <v>100</v>
      </c>
      <c r="CF329" s="407"/>
      <c r="CG329" s="409"/>
      <c r="CH329" s="407"/>
      <c r="CI329" s="406"/>
      <c r="CJ329" s="406"/>
      <c r="CK329" s="407"/>
      <c r="CL329" s="406"/>
      <c r="CM329" s="406"/>
      <c r="CN329" s="406"/>
      <c r="CO329" s="467"/>
      <c r="CP329" s="467"/>
      <c r="CQ329" s="407"/>
      <c r="CR329" s="406"/>
      <c r="CS329" s="406"/>
      <c r="CT329" s="407"/>
      <c r="CU329" s="406"/>
      <c r="CV329" s="406"/>
      <c r="CW329" s="407"/>
      <c r="CX329" s="467"/>
      <c r="CY329" s="467"/>
      <c r="CZ329" s="406"/>
      <c r="DA329" s="407"/>
      <c r="DB329" s="467"/>
      <c r="DC329" s="467"/>
      <c r="DD329" s="467"/>
      <c r="DE329" s="467"/>
      <c r="DF329" s="407"/>
    </row>
    <row r="330" spans="1:110" ht="8.4499999999999993" customHeight="1" x14ac:dyDescent="0.2">
      <c r="A330" s="130" t="s">
        <v>813</v>
      </c>
      <c r="B330" s="104">
        <v>315</v>
      </c>
      <c r="C330" s="82" t="s">
        <v>2638</v>
      </c>
      <c r="D330" s="96">
        <v>11</v>
      </c>
      <c r="E330" s="82" t="s">
        <v>2639</v>
      </c>
      <c r="F330" s="82" t="s">
        <v>2380</v>
      </c>
      <c r="G330" s="100">
        <v>245.84</v>
      </c>
      <c r="H330" s="98">
        <v>0</v>
      </c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100">
        <v>245.84</v>
      </c>
      <c r="CD330" s="100">
        <v>100</v>
      </c>
      <c r="CE330" s="989">
        <v>100</v>
      </c>
      <c r="CF330" s="461"/>
      <c r="CG330" s="462"/>
      <c r="CH330" s="404"/>
      <c r="CI330" s="411"/>
      <c r="CJ330" s="462"/>
      <c r="CK330" s="405"/>
      <c r="CL330" s="460"/>
      <c r="CM330" s="460"/>
      <c r="CN330" s="460"/>
      <c r="CO330" s="467"/>
      <c r="CP330" s="467"/>
      <c r="CQ330" s="407"/>
      <c r="CR330" s="406"/>
      <c r="CS330" s="406"/>
      <c r="CT330" s="407"/>
      <c r="CU330" s="406"/>
      <c r="CV330" s="406"/>
      <c r="CW330" s="407"/>
      <c r="CX330" s="467"/>
      <c r="CY330" s="467"/>
      <c r="CZ330" s="406"/>
      <c r="DA330" s="407"/>
      <c r="DB330" s="467"/>
      <c r="DC330" s="467"/>
      <c r="DD330" s="467"/>
      <c r="DE330" s="467"/>
      <c r="DF330" s="407"/>
    </row>
    <row r="331" spans="1:110" ht="8.4499999999999993" customHeight="1" x14ac:dyDescent="0.2">
      <c r="A331" s="130" t="s">
        <v>2134</v>
      </c>
      <c r="B331" s="104">
        <v>316</v>
      </c>
      <c r="C331" s="82" t="s">
        <v>2640</v>
      </c>
      <c r="D331" s="96">
        <v>20</v>
      </c>
      <c r="E331" s="82" t="s">
        <v>2033</v>
      </c>
      <c r="F331" s="82" t="s">
        <v>2010</v>
      </c>
      <c r="G331" s="97">
        <v>31400</v>
      </c>
      <c r="H331" s="98">
        <v>0.36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7">
        <v>31400</v>
      </c>
      <c r="BU331" s="100">
        <v>100</v>
      </c>
      <c r="BV331" s="100">
        <v>100</v>
      </c>
      <c r="BW331" s="99"/>
      <c r="BX331" s="99"/>
      <c r="BY331" s="100">
        <v>100</v>
      </c>
      <c r="BZ331" s="99"/>
      <c r="CA331" s="99"/>
      <c r="CB331" s="100">
        <v>100</v>
      </c>
      <c r="CC331" s="99"/>
      <c r="CD331" s="99"/>
      <c r="CE331" s="989">
        <v>100</v>
      </c>
      <c r="CF331" s="412"/>
      <c r="CG331" s="409"/>
      <c r="CH331" s="409"/>
      <c r="CI331" s="412"/>
      <c r="CJ331" s="409"/>
      <c r="CK331" s="407"/>
      <c r="CL331" s="406"/>
      <c r="CM331" s="406"/>
      <c r="CN331" s="406"/>
      <c r="CO331" s="467"/>
      <c r="CP331" s="467"/>
      <c r="CQ331" s="407"/>
      <c r="CR331" s="406"/>
      <c r="CS331" s="406"/>
      <c r="CT331" s="407"/>
      <c r="CU331" s="406"/>
      <c r="CV331" s="406"/>
      <c r="CW331" s="407"/>
      <c r="CX331" s="467"/>
      <c r="CY331" s="467"/>
      <c r="CZ331" s="406"/>
      <c r="DA331" s="407"/>
      <c r="DB331" s="467"/>
      <c r="DC331" s="467"/>
      <c r="DD331" s="467"/>
      <c r="DE331" s="467"/>
      <c r="DF331" s="407"/>
    </row>
    <row r="332" spans="1:110" ht="8.4499999999999993" customHeight="1" x14ac:dyDescent="0.2">
      <c r="A332" s="130" t="s">
        <v>149</v>
      </c>
      <c r="B332" s="103">
        <v>317</v>
      </c>
      <c r="C332" s="87" t="s">
        <v>61</v>
      </c>
      <c r="D332" s="103">
        <v>216</v>
      </c>
      <c r="E332" s="87" t="s">
        <v>2182</v>
      </c>
      <c r="F332" s="87" t="s">
        <v>2566</v>
      </c>
      <c r="G332" s="105">
        <v>182995.47</v>
      </c>
      <c r="H332" s="90">
        <v>2.08</v>
      </c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3">
        <v>306.81</v>
      </c>
      <c r="AW332" s="90">
        <v>0.17</v>
      </c>
      <c r="AX332" s="90">
        <v>0.17</v>
      </c>
      <c r="AY332" s="93">
        <v>255.62</v>
      </c>
      <c r="AZ332" s="90">
        <v>0.14000000000000001</v>
      </c>
      <c r="BA332" s="90">
        <v>0.31</v>
      </c>
      <c r="BB332" s="94"/>
      <c r="BC332" s="94"/>
      <c r="BD332" s="90">
        <v>0.31</v>
      </c>
      <c r="BE332" s="94"/>
      <c r="BF332" s="94"/>
      <c r="BG332" s="90">
        <v>0.31</v>
      </c>
      <c r="BH332" s="94"/>
      <c r="BI332" s="94"/>
      <c r="BJ332" s="90">
        <v>0.31</v>
      </c>
      <c r="BK332" s="93">
        <v>344.52</v>
      </c>
      <c r="BL332" s="90">
        <v>0.19</v>
      </c>
      <c r="BM332" s="90">
        <v>0.5</v>
      </c>
      <c r="BN332" s="92">
        <v>4223.47</v>
      </c>
      <c r="BO332" s="90">
        <v>2.3199999999999998</v>
      </c>
      <c r="BP332" s="90">
        <v>2.82</v>
      </c>
      <c r="BQ332" s="89">
        <v>12129.35</v>
      </c>
      <c r="BR332" s="90">
        <v>6.67</v>
      </c>
      <c r="BS332" s="90">
        <v>9.49</v>
      </c>
      <c r="BT332" s="89">
        <v>12002.01</v>
      </c>
      <c r="BU332" s="90">
        <v>6.6</v>
      </c>
      <c r="BV332" s="91">
        <v>16.09</v>
      </c>
      <c r="BW332" s="89">
        <v>19798.13</v>
      </c>
      <c r="BX332" s="91">
        <v>10.28</v>
      </c>
      <c r="BY332" s="91">
        <v>26.37</v>
      </c>
      <c r="BZ332" s="92">
        <v>7871.23</v>
      </c>
      <c r="CA332" s="90">
        <v>4.33</v>
      </c>
      <c r="CB332" s="91">
        <v>30.7</v>
      </c>
      <c r="CC332" s="94"/>
      <c r="CD332" s="94"/>
      <c r="CE332" s="990">
        <v>30.7</v>
      </c>
      <c r="CF332" s="412"/>
      <c r="CG332" s="409"/>
      <c r="CH332" s="409"/>
      <c r="CI332" s="412"/>
      <c r="CJ332" s="409"/>
      <c r="CK332" s="407"/>
      <c r="CL332" s="406"/>
      <c r="CM332" s="406"/>
      <c r="CN332" s="406"/>
      <c r="CO332" s="467"/>
      <c r="CP332" s="467"/>
      <c r="CQ332" s="407"/>
      <c r="CR332" s="406"/>
      <c r="CS332" s="406"/>
      <c r="CT332" s="407"/>
      <c r="CU332" s="406"/>
      <c r="CV332" s="406"/>
      <c r="CW332" s="407"/>
      <c r="CX332" s="467"/>
      <c r="CY332" s="467"/>
      <c r="CZ332" s="406"/>
      <c r="DA332" s="407"/>
      <c r="DB332" s="467"/>
      <c r="DC332" s="467"/>
      <c r="DD332" s="467"/>
      <c r="DE332" s="467"/>
      <c r="DF332" s="407"/>
    </row>
    <row r="333" spans="1:110" ht="8.4499999999999993" customHeight="1" x14ac:dyDescent="0.2">
      <c r="A333" s="130" t="s">
        <v>2136</v>
      </c>
      <c r="B333" s="104">
        <v>318</v>
      </c>
      <c r="C333" s="82" t="s">
        <v>2641</v>
      </c>
      <c r="D333" s="82"/>
      <c r="E333" s="82"/>
      <c r="F333" s="82"/>
      <c r="G333" s="106">
        <v>126064.33</v>
      </c>
      <c r="H333" s="98">
        <v>1.43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1"/>
      <c r="CF333" s="412"/>
      <c r="CG333" s="409"/>
      <c r="CH333" s="407"/>
      <c r="CI333" s="406"/>
      <c r="CJ333" s="406"/>
      <c r="CK333" s="407"/>
      <c r="CL333" s="406"/>
      <c r="CM333" s="406"/>
      <c r="CN333" s="406"/>
      <c r="CO333" s="467"/>
      <c r="CP333" s="467"/>
      <c r="CQ333" s="407"/>
      <c r="CR333" s="406"/>
      <c r="CS333" s="406"/>
      <c r="CT333" s="407"/>
      <c r="CU333" s="406"/>
      <c r="CV333" s="406"/>
      <c r="CW333" s="407"/>
      <c r="CX333" s="467"/>
      <c r="CY333" s="467"/>
      <c r="CZ333" s="406"/>
      <c r="DA333" s="407"/>
      <c r="DB333" s="467"/>
      <c r="DC333" s="467"/>
      <c r="DD333" s="467"/>
      <c r="DE333" s="467"/>
      <c r="DF333" s="407"/>
    </row>
    <row r="334" spans="1:110" ht="8.4499999999999993" customHeight="1" x14ac:dyDescent="0.2">
      <c r="A334" s="130" t="s">
        <v>257</v>
      </c>
      <c r="B334" s="103">
        <v>319</v>
      </c>
      <c r="C334" s="87" t="s">
        <v>368</v>
      </c>
      <c r="D334" s="88">
        <v>86</v>
      </c>
      <c r="E334" s="87" t="s">
        <v>2174</v>
      </c>
      <c r="F334" s="87" t="s">
        <v>2195</v>
      </c>
      <c r="G334" s="89">
        <v>19169.36</v>
      </c>
      <c r="H334" s="90">
        <v>0.22</v>
      </c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94"/>
      <c r="BJ334" s="94"/>
      <c r="BK334" s="94"/>
      <c r="BL334" s="94"/>
      <c r="BM334" s="94"/>
      <c r="BN334" s="92">
        <v>2587.86</v>
      </c>
      <c r="BO334" s="91">
        <v>13.5</v>
      </c>
      <c r="BP334" s="91">
        <v>13.5</v>
      </c>
      <c r="BQ334" s="92">
        <v>5626.21</v>
      </c>
      <c r="BR334" s="91">
        <v>29.35</v>
      </c>
      <c r="BS334" s="91">
        <v>42.85</v>
      </c>
      <c r="BT334" s="92">
        <v>4715.66</v>
      </c>
      <c r="BU334" s="91">
        <v>24.6</v>
      </c>
      <c r="BV334" s="91">
        <v>67.45</v>
      </c>
      <c r="BW334" s="92">
        <v>3807.03</v>
      </c>
      <c r="BX334" s="91">
        <v>19.86</v>
      </c>
      <c r="BY334" s="91">
        <v>87.31</v>
      </c>
      <c r="BZ334" s="92">
        <v>2432.59</v>
      </c>
      <c r="CA334" s="91">
        <v>12.69</v>
      </c>
      <c r="CB334" s="93">
        <v>100</v>
      </c>
      <c r="CC334" s="94"/>
      <c r="CD334" s="94"/>
      <c r="CE334" s="988">
        <v>100</v>
      </c>
      <c r="CF334" s="412"/>
      <c r="CG334" s="408"/>
      <c r="CH334" s="409"/>
      <c r="CI334" s="410"/>
      <c r="CJ334" s="408"/>
      <c r="CK334" s="407"/>
      <c r="CL334" s="406"/>
      <c r="CM334" s="406"/>
      <c r="CN334" s="406"/>
      <c r="CO334" s="467"/>
      <c r="CP334" s="467"/>
      <c r="CQ334" s="407"/>
      <c r="CR334" s="406"/>
      <c r="CS334" s="406"/>
      <c r="CT334" s="407"/>
      <c r="CU334" s="406"/>
      <c r="CV334" s="406"/>
      <c r="CW334" s="407"/>
      <c r="CX334" s="467"/>
      <c r="CY334" s="467"/>
      <c r="CZ334" s="406"/>
      <c r="DA334" s="407"/>
      <c r="DB334" s="467"/>
      <c r="DC334" s="467"/>
      <c r="DD334" s="467"/>
      <c r="DE334" s="467"/>
      <c r="DF334" s="407"/>
    </row>
    <row r="335" spans="1:110" ht="8.4499999999999993" customHeight="1" x14ac:dyDescent="0.2">
      <c r="A335" s="130" t="s">
        <v>258</v>
      </c>
      <c r="B335" s="104">
        <v>320</v>
      </c>
      <c r="C335" s="82" t="s">
        <v>2642</v>
      </c>
      <c r="D335" s="96">
        <v>86</v>
      </c>
      <c r="E335" s="82" t="s">
        <v>2174</v>
      </c>
      <c r="F335" s="82" t="s">
        <v>2195</v>
      </c>
      <c r="G335" s="97">
        <v>19169.36</v>
      </c>
      <c r="H335" s="98">
        <v>0.22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101">
        <v>2587.86</v>
      </c>
      <c r="BO335" s="102">
        <v>13.5</v>
      </c>
      <c r="BP335" s="102">
        <v>13.5</v>
      </c>
      <c r="BQ335" s="101">
        <v>5626.21</v>
      </c>
      <c r="BR335" s="102">
        <v>29.35</v>
      </c>
      <c r="BS335" s="102">
        <v>42.85</v>
      </c>
      <c r="BT335" s="101">
        <v>4715.66</v>
      </c>
      <c r="BU335" s="102">
        <v>24.6</v>
      </c>
      <c r="BV335" s="102">
        <v>67.45</v>
      </c>
      <c r="BW335" s="101">
        <v>3807.03</v>
      </c>
      <c r="BX335" s="102">
        <v>19.86</v>
      </c>
      <c r="BY335" s="102">
        <v>87.31</v>
      </c>
      <c r="BZ335" s="101">
        <v>2432.59</v>
      </c>
      <c r="CA335" s="102">
        <v>12.69</v>
      </c>
      <c r="CB335" s="100">
        <v>100</v>
      </c>
      <c r="CC335" s="99"/>
      <c r="CD335" s="99"/>
      <c r="CE335" s="989">
        <v>100</v>
      </c>
      <c r="CF335" s="410"/>
      <c r="CG335" s="408"/>
      <c r="CH335" s="409"/>
      <c r="CI335" s="410"/>
      <c r="CJ335" s="408"/>
      <c r="CK335" s="407"/>
      <c r="CL335" s="406"/>
      <c r="CM335" s="406"/>
      <c r="CN335" s="406"/>
      <c r="CO335" s="467"/>
      <c r="CP335" s="467"/>
      <c r="CQ335" s="407"/>
      <c r="CR335" s="406"/>
      <c r="CS335" s="406"/>
      <c r="CT335" s="407"/>
      <c r="CU335" s="406"/>
      <c r="CV335" s="406"/>
      <c r="CW335" s="407"/>
      <c r="CX335" s="467"/>
      <c r="CY335" s="467"/>
      <c r="CZ335" s="406"/>
      <c r="DA335" s="407"/>
      <c r="DB335" s="467"/>
      <c r="DC335" s="467"/>
      <c r="DD335" s="467"/>
      <c r="DE335" s="467"/>
      <c r="DF335" s="407"/>
    </row>
    <row r="336" spans="1:110" ht="8.4499999999999993" customHeight="1" x14ac:dyDescent="0.2">
      <c r="A336" s="130" t="s">
        <v>259</v>
      </c>
      <c r="B336" s="103">
        <v>321</v>
      </c>
      <c r="C336" s="87" t="s">
        <v>268</v>
      </c>
      <c r="D336" s="88">
        <v>68</v>
      </c>
      <c r="E336" s="87" t="s">
        <v>2174</v>
      </c>
      <c r="F336" s="87" t="s">
        <v>2621</v>
      </c>
      <c r="G336" s="92">
        <v>6174.47</v>
      </c>
      <c r="H336" s="90">
        <v>7.0000000000000007E-2</v>
      </c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94"/>
      <c r="BJ336" s="94"/>
      <c r="BK336" s="94"/>
      <c r="BL336" s="94"/>
      <c r="BM336" s="94"/>
      <c r="BN336" s="92">
        <v>1291.08</v>
      </c>
      <c r="BO336" s="91">
        <v>20.91</v>
      </c>
      <c r="BP336" s="91">
        <v>20.91</v>
      </c>
      <c r="BQ336" s="92">
        <v>2927.93</v>
      </c>
      <c r="BR336" s="91">
        <v>47.42</v>
      </c>
      <c r="BS336" s="91">
        <v>68.33</v>
      </c>
      <c r="BT336" s="92">
        <v>1740.58</v>
      </c>
      <c r="BU336" s="91">
        <v>28.19</v>
      </c>
      <c r="BV336" s="91">
        <v>96.52</v>
      </c>
      <c r="BW336" s="93">
        <v>214.87</v>
      </c>
      <c r="BX336" s="90">
        <v>3.48</v>
      </c>
      <c r="BY336" s="93">
        <v>100</v>
      </c>
      <c r="BZ336" s="94"/>
      <c r="CA336" s="94"/>
      <c r="CB336" s="93">
        <v>100</v>
      </c>
      <c r="CC336" s="94"/>
      <c r="CD336" s="94"/>
      <c r="CE336" s="988">
        <v>100</v>
      </c>
      <c r="CF336" s="406"/>
      <c r="CG336" s="406"/>
      <c r="CH336" s="407"/>
      <c r="CI336" s="406"/>
      <c r="CJ336" s="406"/>
      <c r="CK336" s="407"/>
      <c r="CL336" s="406"/>
      <c r="CM336" s="406"/>
      <c r="CN336" s="406"/>
      <c r="CO336" s="467"/>
      <c r="CP336" s="467"/>
      <c r="CQ336" s="407"/>
      <c r="CR336" s="406"/>
      <c r="CS336" s="406"/>
      <c r="CT336" s="407"/>
      <c r="CU336" s="406"/>
      <c r="CV336" s="406"/>
      <c r="CW336" s="407"/>
      <c r="CX336" s="467"/>
      <c r="CY336" s="467"/>
      <c r="CZ336" s="406"/>
      <c r="DA336" s="407"/>
      <c r="DB336" s="467"/>
      <c r="DC336" s="467"/>
      <c r="DD336" s="467"/>
      <c r="DE336" s="467"/>
      <c r="DF336" s="407"/>
    </row>
    <row r="337" spans="1:110" ht="8.4499999999999993" customHeight="1" x14ac:dyDescent="0.2">
      <c r="A337" s="130" t="s">
        <v>260</v>
      </c>
      <c r="B337" s="104">
        <v>322</v>
      </c>
      <c r="C337" s="82" t="s">
        <v>2643</v>
      </c>
      <c r="D337" s="96">
        <v>68</v>
      </c>
      <c r="E337" s="82" t="s">
        <v>2174</v>
      </c>
      <c r="F337" s="82" t="s">
        <v>2621</v>
      </c>
      <c r="G337" s="101">
        <v>6174.47</v>
      </c>
      <c r="H337" s="98">
        <v>7.0000000000000007E-2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101">
        <v>1291.08</v>
      </c>
      <c r="BO337" s="102">
        <v>20.91</v>
      </c>
      <c r="BP337" s="102">
        <v>20.91</v>
      </c>
      <c r="BQ337" s="101">
        <v>2927.93</v>
      </c>
      <c r="BR337" s="102">
        <v>47.42</v>
      </c>
      <c r="BS337" s="102">
        <v>68.33</v>
      </c>
      <c r="BT337" s="101">
        <v>1740.58</v>
      </c>
      <c r="BU337" s="102">
        <v>28.19</v>
      </c>
      <c r="BV337" s="102">
        <v>96.52</v>
      </c>
      <c r="BW337" s="100">
        <v>214.87</v>
      </c>
      <c r="BX337" s="98">
        <v>3.48</v>
      </c>
      <c r="BY337" s="100">
        <v>100</v>
      </c>
      <c r="BZ337" s="99"/>
      <c r="CA337" s="99"/>
      <c r="CB337" s="100">
        <v>100</v>
      </c>
      <c r="CC337" s="99"/>
      <c r="CD337" s="99"/>
      <c r="CE337" s="989">
        <v>100</v>
      </c>
      <c r="CF337" s="406"/>
      <c r="CG337" s="406"/>
      <c r="CH337" s="407"/>
      <c r="CI337" s="406"/>
      <c r="CJ337" s="406"/>
      <c r="CK337" s="407"/>
      <c r="CL337" s="406"/>
      <c r="CM337" s="406"/>
      <c r="CN337" s="406"/>
      <c r="CO337" s="467"/>
      <c r="CP337" s="467"/>
      <c r="CQ337" s="407"/>
      <c r="CR337" s="406"/>
      <c r="CS337" s="406"/>
      <c r="CT337" s="407"/>
      <c r="CU337" s="406"/>
      <c r="CV337" s="406"/>
      <c r="CW337" s="407"/>
      <c r="CX337" s="467"/>
      <c r="CY337" s="467"/>
      <c r="CZ337" s="406"/>
      <c r="DA337" s="407"/>
      <c r="DB337" s="467"/>
      <c r="DC337" s="467"/>
      <c r="DD337" s="467"/>
      <c r="DE337" s="467"/>
      <c r="DF337" s="407"/>
    </row>
    <row r="338" spans="1:110" ht="8.4499999999999993" customHeight="1" x14ac:dyDescent="0.2">
      <c r="A338" s="130" t="s">
        <v>697</v>
      </c>
      <c r="B338" s="103">
        <v>323</v>
      </c>
      <c r="C338" s="87" t="s">
        <v>369</v>
      </c>
      <c r="D338" s="88">
        <v>20</v>
      </c>
      <c r="E338" s="87" t="s">
        <v>2644</v>
      </c>
      <c r="F338" s="87" t="s">
        <v>2194</v>
      </c>
      <c r="G338" s="92">
        <v>1288.53</v>
      </c>
      <c r="H338" s="90">
        <v>0.01</v>
      </c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3">
        <v>773.12</v>
      </c>
      <c r="BX338" s="91">
        <v>60</v>
      </c>
      <c r="BY338" s="91">
        <v>60</v>
      </c>
      <c r="BZ338" s="93">
        <v>515.41</v>
      </c>
      <c r="CA338" s="91">
        <v>40</v>
      </c>
      <c r="CB338" s="93">
        <v>100</v>
      </c>
      <c r="CC338" s="94"/>
      <c r="CD338" s="94"/>
      <c r="CE338" s="988">
        <v>100</v>
      </c>
      <c r="CF338" s="406"/>
      <c r="CG338" s="406"/>
      <c r="CH338" s="407"/>
      <c r="CI338" s="406"/>
      <c r="CJ338" s="406"/>
      <c r="CK338" s="407"/>
      <c r="CL338" s="406"/>
      <c r="CM338" s="406"/>
      <c r="CN338" s="406"/>
      <c r="CO338" s="467"/>
      <c r="CP338" s="467"/>
      <c r="CQ338" s="407"/>
      <c r="CR338" s="406"/>
      <c r="CS338" s="406"/>
      <c r="CT338" s="407"/>
      <c r="CU338" s="406"/>
      <c r="CV338" s="406"/>
      <c r="CW338" s="407"/>
      <c r="CX338" s="467"/>
      <c r="CY338" s="467"/>
      <c r="CZ338" s="406"/>
      <c r="DA338" s="407"/>
      <c r="DB338" s="467"/>
      <c r="DC338" s="467"/>
      <c r="DD338" s="467"/>
      <c r="DE338" s="467"/>
      <c r="DF338" s="407"/>
    </row>
    <row r="339" spans="1:110" ht="8.4499999999999993" customHeight="1" x14ac:dyDescent="0.2">
      <c r="A339" s="130" t="s">
        <v>699</v>
      </c>
      <c r="B339" s="104">
        <v>324</v>
      </c>
      <c r="C339" s="82" t="s">
        <v>2645</v>
      </c>
      <c r="D339" s="96">
        <v>20</v>
      </c>
      <c r="E339" s="82" t="s">
        <v>2644</v>
      </c>
      <c r="F339" s="82" t="s">
        <v>2194</v>
      </c>
      <c r="G339" s="101">
        <v>1288.53</v>
      </c>
      <c r="H339" s="98">
        <v>0.01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100">
        <v>773.12</v>
      </c>
      <c r="BX339" s="102">
        <v>60</v>
      </c>
      <c r="BY339" s="102">
        <v>60</v>
      </c>
      <c r="BZ339" s="100">
        <v>515.41</v>
      </c>
      <c r="CA339" s="102">
        <v>40</v>
      </c>
      <c r="CB339" s="100">
        <v>100</v>
      </c>
      <c r="CC339" s="99"/>
      <c r="CD339" s="99"/>
      <c r="CE339" s="989">
        <v>100</v>
      </c>
      <c r="CF339" s="410"/>
      <c r="CG339" s="408"/>
      <c r="CH339" s="409"/>
      <c r="CI339" s="410"/>
      <c r="CJ339" s="408"/>
      <c r="CK339" s="407"/>
      <c r="CL339" s="406"/>
      <c r="CM339" s="406"/>
      <c r="CN339" s="406"/>
      <c r="CO339" s="467"/>
      <c r="CP339" s="467"/>
      <c r="CQ339" s="407"/>
      <c r="CR339" s="406"/>
      <c r="CS339" s="406"/>
      <c r="CT339" s="407"/>
      <c r="CU339" s="406"/>
      <c r="CV339" s="406"/>
      <c r="CW339" s="407"/>
      <c r="CX339" s="467"/>
      <c r="CY339" s="467"/>
      <c r="CZ339" s="406"/>
      <c r="DA339" s="407"/>
      <c r="DB339" s="467"/>
      <c r="DC339" s="467"/>
      <c r="DD339" s="467"/>
      <c r="DE339" s="467"/>
      <c r="DF339" s="407"/>
    </row>
    <row r="340" spans="1:110" ht="8.4499999999999993" customHeight="1" x14ac:dyDescent="0.2">
      <c r="A340" s="130" t="s">
        <v>700</v>
      </c>
      <c r="B340" s="103">
        <v>325</v>
      </c>
      <c r="C340" s="87" t="s">
        <v>269</v>
      </c>
      <c r="D340" s="88">
        <v>14</v>
      </c>
      <c r="E340" s="87" t="s">
        <v>2034</v>
      </c>
      <c r="F340" s="87" t="s">
        <v>2566</v>
      </c>
      <c r="G340" s="92">
        <v>3040.09</v>
      </c>
      <c r="H340" s="90">
        <v>0.03</v>
      </c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94"/>
      <c r="BJ340" s="94"/>
      <c r="BK340" s="94"/>
      <c r="BL340" s="94"/>
      <c r="BM340" s="94"/>
      <c r="BN340" s="94"/>
      <c r="BO340" s="94"/>
      <c r="BP340" s="94"/>
      <c r="BQ340" s="94"/>
      <c r="BR340" s="94"/>
      <c r="BS340" s="94"/>
      <c r="BT340" s="94"/>
      <c r="BU340" s="94"/>
      <c r="BV340" s="94"/>
      <c r="BW340" s="94"/>
      <c r="BX340" s="94"/>
      <c r="BY340" s="94"/>
      <c r="BZ340" s="92">
        <v>3040.09</v>
      </c>
      <c r="CA340" s="93">
        <v>100</v>
      </c>
      <c r="CB340" s="93">
        <v>100</v>
      </c>
      <c r="CC340" s="94"/>
      <c r="CD340" s="94"/>
      <c r="CE340" s="988">
        <v>100</v>
      </c>
      <c r="CF340" s="410"/>
      <c r="CG340" s="409"/>
      <c r="CH340" s="407"/>
      <c r="CI340" s="406"/>
      <c r="CJ340" s="406"/>
      <c r="CK340" s="407"/>
      <c r="CL340" s="406"/>
      <c r="CM340" s="406"/>
      <c r="CN340" s="406"/>
      <c r="CO340" s="467"/>
      <c r="CP340" s="467"/>
      <c r="CQ340" s="407"/>
      <c r="CR340" s="406"/>
      <c r="CS340" s="406"/>
      <c r="CT340" s="407"/>
      <c r="CU340" s="406"/>
      <c r="CV340" s="406"/>
      <c r="CW340" s="407"/>
      <c r="CX340" s="467"/>
      <c r="CY340" s="467"/>
      <c r="CZ340" s="406"/>
      <c r="DA340" s="407"/>
      <c r="DB340" s="467"/>
      <c r="DC340" s="467"/>
      <c r="DD340" s="467"/>
      <c r="DE340" s="467"/>
      <c r="DF340" s="407"/>
    </row>
    <row r="341" spans="1:110" ht="8.4499999999999993" customHeight="1" x14ac:dyDescent="0.2">
      <c r="A341" s="130" t="s">
        <v>702</v>
      </c>
      <c r="B341" s="104">
        <v>326</v>
      </c>
      <c r="C341" s="82" t="s">
        <v>2646</v>
      </c>
      <c r="D341" s="96">
        <v>14</v>
      </c>
      <c r="E341" s="82" t="s">
        <v>2034</v>
      </c>
      <c r="F341" s="82" t="s">
        <v>2566</v>
      </c>
      <c r="G341" s="100">
        <v>506.95</v>
      </c>
      <c r="H341" s="98">
        <v>0.01</v>
      </c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100">
        <v>506.95</v>
      </c>
      <c r="CA341" s="100">
        <v>100</v>
      </c>
      <c r="CB341" s="100">
        <v>100</v>
      </c>
      <c r="CC341" s="99"/>
      <c r="CD341" s="99"/>
      <c r="CE341" s="989">
        <v>100</v>
      </c>
      <c r="CF341" s="410"/>
      <c r="CG341" s="409"/>
      <c r="CH341" s="407"/>
      <c r="CI341" s="406"/>
      <c r="CJ341" s="406"/>
      <c r="CK341" s="407"/>
      <c r="CL341" s="406"/>
      <c r="CM341" s="406"/>
      <c r="CN341" s="406"/>
      <c r="CO341" s="467"/>
      <c r="CP341" s="467"/>
      <c r="CQ341" s="407"/>
      <c r="CR341" s="406"/>
      <c r="CS341" s="406"/>
      <c r="CT341" s="407"/>
      <c r="CU341" s="406"/>
      <c r="CV341" s="406"/>
      <c r="CW341" s="407"/>
      <c r="CX341" s="467"/>
      <c r="CY341" s="467"/>
      <c r="CZ341" s="406"/>
      <c r="DA341" s="407"/>
      <c r="DB341" s="467"/>
      <c r="DC341" s="467"/>
      <c r="DD341" s="467"/>
      <c r="DE341" s="467"/>
      <c r="DF341" s="407"/>
    </row>
    <row r="342" spans="1:110" ht="8.4499999999999993" customHeight="1" x14ac:dyDescent="0.2">
      <c r="A342" s="130" t="s">
        <v>703</v>
      </c>
      <c r="B342" s="104">
        <v>327</v>
      </c>
      <c r="C342" s="82" t="s">
        <v>2647</v>
      </c>
      <c r="D342" s="96">
        <v>14</v>
      </c>
      <c r="E342" s="82" t="s">
        <v>2034</v>
      </c>
      <c r="F342" s="82" t="s">
        <v>2566</v>
      </c>
      <c r="G342" s="101">
        <v>1369.69</v>
      </c>
      <c r="H342" s="98">
        <v>0.02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101">
        <v>1369.69</v>
      </c>
      <c r="CA342" s="100">
        <v>100</v>
      </c>
      <c r="CB342" s="100">
        <v>100</v>
      </c>
      <c r="CC342" s="99"/>
      <c r="CD342" s="99"/>
      <c r="CE342" s="989">
        <v>100</v>
      </c>
      <c r="CF342" s="406"/>
      <c r="CG342" s="406"/>
      <c r="CH342" s="407"/>
      <c r="CI342" s="406"/>
      <c r="CJ342" s="406"/>
      <c r="CK342" s="407"/>
      <c r="CL342" s="406"/>
      <c r="CM342" s="406"/>
      <c r="CN342" s="406"/>
      <c r="CO342" s="467"/>
      <c r="CP342" s="467"/>
      <c r="CQ342" s="407"/>
      <c r="CR342" s="406"/>
      <c r="CS342" s="406"/>
      <c r="CT342" s="407"/>
      <c r="CU342" s="406"/>
      <c r="CV342" s="406"/>
      <c r="CW342" s="407"/>
      <c r="CX342" s="467"/>
      <c r="CY342" s="467"/>
      <c r="CZ342" s="406"/>
      <c r="DA342" s="407"/>
      <c r="DB342" s="467"/>
      <c r="DC342" s="467"/>
      <c r="DD342" s="467"/>
      <c r="DE342" s="467"/>
      <c r="DF342" s="407"/>
    </row>
    <row r="343" spans="1:110" ht="8.4499999999999993" customHeight="1" x14ac:dyDescent="0.2">
      <c r="A343" s="130" t="s">
        <v>814</v>
      </c>
      <c r="B343" s="104">
        <v>328</v>
      </c>
      <c r="C343" s="82" t="s">
        <v>2648</v>
      </c>
      <c r="D343" s="96">
        <v>14</v>
      </c>
      <c r="E343" s="82" t="s">
        <v>2034</v>
      </c>
      <c r="F343" s="82" t="s">
        <v>2566</v>
      </c>
      <c r="G343" s="101">
        <v>1163.45</v>
      </c>
      <c r="H343" s="98">
        <v>0.01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101">
        <v>1163.45</v>
      </c>
      <c r="CA343" s="100">
        <v>100</v>
      </c>
      <c r="CB343" s="100">
        <v>100</v>
      </c>
      <c r="CC343" s="99"/>
      <c r="CD343" s="99"/>
      <c r="CE343" s="989">
        <v>100</v>
      </c>
      <c r="CF343" s="406"/>
      <c r="CG343" s="406"/>
      <c r="CH343" s="407"/>
      <c r="CI343" s="406"/>
      <c r="CJ343" s="406"/>
      <c r="CK343" s="407"/>
      <c r="CL343" s="406"/>
      <c r="CM343" s="406"/>
      <c r="CN343" s="406"/>
      <c r="CO343" s="467"/>
      <c r="CP343" s="467"/>
      <c r="CQ343" s="407"/>
      <c r="CR343" s="406"/>
      <c r="CS343" s="406"/>
      <c r="CT343" s="407"/>
      <c r="CU343" s="406"/>
      <c r="CV343" s="406"/>
      <c r="CW343" s="407"/>
      <c r="CX343" s="467"/>
      <c r="CY343" s="467"/>
      <c r="CZ343" s="406"/>
      <c r="DA343" s="407"/>
      <c r="DB343" s="467"/>
      <c r="DC343" s="467"/>
      <c r="DD343" s="467"/>
      <c r="DE343" s="467"/>
      <c r="DF343" s="407"/>
    </row>
    <row r="344" spans="1:110" ht="8.4499999999999993" customHeight="1" x14ac:dyDescent="0.2">
      <c r="A344" s="130" t="s">
        <v>704</v>
      </c>
      <c r="B344" s="103">
        <v>329</v>
      </c>
      <c r="C344" s="87" t="s">
        <v>370</v>
      </c>
      <c r="D344" s="88">
        <v>22</v>
      </c>
      <c r="E344" s="87" t="s">
        <v>2182</v>
      </c>
      <c r="F344" s="87" t="s">
        <v>2014</v>
      </c>
      <c r="G344" s="93">
        <v>562.42999999999995</v>
      </c>
      <c r="H344" s="90">
        <v>0.01</v>
      </c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3">
        <v>306.81</v>
      </c>
      <c r="AW344" s="91">
        <v>54.55</v>
      </c>
      <c r="AX344" s="91">
        <v>54.55</v>
      </c>
      <c r="AY344" s="93">
        <v>255.62</v>
      </c>
      <c r="AZ344" s="91">
        <v>45.45</v>
      </c>
      <c r="BA344" s="93">
        <v>100</v>
      </c>
      <c r="BB344" s="94"/>
      <c r="BC344" s="94"/>
      <c r="BD344" s="93">
        <v>100</v>
      </c>
      <c r="BE344" s="94"/>
      <c r="BF344" s="94"/>
      <c r="BG344" s="93">
        <v>100</v>
      </c>
      <c r="BH344" s="94"/>
      <c r="BI344" s="94"/>
      <c r="BJ344" s="93">
        <v>100</v>
      </c>
      <c r="BK344" s="94"/>
      <c r="BL344" s="94"/>
      <c r="BM344" s="93">
        <v>100</v>
      </c>
      <c r="BN344" s="94"/>
      <c r="BO344" s="94"/>
      <c r="BP344" s="93">
        <v>100</v>
      </c>
      <c r="BQ344" s="94"/>
      <c r="BR344" s="94"/>
      <c r="BS344" s="93">
        <v>100</v>
      </c>
      <c r="BT344" s="94"/>
      <c r="BU344" s="94"/>
      <c r="BV344" s="93">
        <v>100</v>
      </c>
      <c r="BW344" s="94"/>
      <c r="BX344" s="94"/>
      <c r="BY344" s="93">
        <v>100</v>
      </c>
      <c r="BZ344" s="94"/>
      <c r="CA344" s="94"/>
      <c r="CB344" s="93">
        <v>100</v>
      </c>
      <c r="CC344" s="94"/>
      <c r="CD344" s="94"/>
      <c r="CE344" s="988">
        <v>100</v>
      </c>
      <c r="CF344" s="406"/>
      <c r="CG344" s="406"/>
      <c r="CH344" s="409"/>
      <c r="CI344" s="410"/>
      <c r="CJ344" s="409"/>
      <c r="CK344" s="407"/>
      <c r="CL344" s="406"/>
      <c r="CM344" s="406"/>
      <c r="CN344" s="406"/>
      <c r="CO344" s="467"/>
      <c r="CP344" s="467"/>
      <c r="CQ344" s="407"/>
      <c r="CR344" s="406"/>
      <c r="CS344" s="406"/>
      <c r="CT344" s="407"/>
      <c r="CU344" s="406"/>
      <c r="CV344" s="406"/>
      <c r="CW344" s="407"/>
      <c r="CX344" s="467"/>
      <c r="CY344" s="467"/>
      <c r="CZ344" s="406"/>
      <c r="DA344" s="407"/>
      <c r="DB344" s="467"/>
      <c r="DC344" s="467"/>
      <c r="DD344" s="467"/>
      <c r="DE344" s="467"/>
      <c r="DF344" s="407"/>
    </row>
    <row r="345" spans="1:110" ht="8.4499999999999993" customHeight="1" x14ac:dyDescent="0.2">
      <c r="A345" s="130" t="s">
        <v>706</v>
      </c>
      <c r="B345" s="104">
        <v>330</v>
      </c>
      <c r="C345" s="82" t="s">
        <v>2649</v>
      </c>
      <c r="D345" s="96">
        <v>22</v>
      </c>
      <c r="E345" s="82" t="s">
        <v>2182</v>
      </c>
      <c r="F345" s="82" t="s">
        <v>2014</v>
      </c>
      <c r="G345" s="100">
        <v>562.42999999999995</v>
      </c>
      <c r="H345" s="98">
        <v>0.01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100">
        <v>306.81</v>
      </c>
      <c r="AW345" s="102">
        <v>54.55</v>
      </c>
      <c r="AX345" s="102">
        <v>54.55</v>
      </c>
      <c r="AY345" s="100">
        <v>255.62</v>
      </c>
      <c r="AZ345" s="102">
        <v>45.45</v>
      </c>
      <c r="BA345" s="100">
        <v>100</v>
      </c>
      <c r="BB345" s="99"/>
      <c r="BC345" s="99"/>
      <c r="BD345" s="100">
        <v>100</v>
      </c>
      <c r="BE345" s="99"/>
      <c r="BF345" s="99"/>
      <c r="BG345" s="100">
        <v>100</v>
      </c>
      <c r="BH345" s="99"/>
      <c r="BI345" s="99"/>
      <c r="BJ345" s="100">
        <v>100</v>
      </c>
      <c r="BK345" s="99"/>
      <c r="BL345" s="99"/>
      <c r="BM345" s="100">
        <v>100</v>
      </c>
      <c r="BN345" s="99"/>
      <c r="BO345" s="99"/>
      <c r="BP345" s="100">
        <v>100</v>
      </c>
      <c r="BQ345" s="99"/>
      <c r="BR345" s="99"/>
      <c r="BS345" s="100">
        <v>100</v>
      </c>
      <c r="BT345" s="99"/>
      <c r="BU345" s="99"/>
      <c r="BV345" s="100">
        <v>100</v>
      </c>
      <c r="BW345" s="99"/>
      <c r="BX345" s="99"/>
      <c r="BY345" s="100">
        <v>100</v>
      </c>
      <c r="BZ345" s="99"/>
      <c r="CA345" s="99"/>
      <c r="CB345" s="100">
        <v>100</v>
      </c>
      <c r="CC345" s="99"/>
      <c r="CD345" s="99"/>
      <c r="CE345" s="989">
        <v>100</v>
      </c>
      <c r="CF345" s="406"/>
      <c r="CG345" s="406"/>
      <c r="CH345" s="407"/>
      <c r="CI345" s="406"/>
      <c r="CJ345" s="406"/>
      <c r="CK345" s="407"/>
      <c r="CL345" s="406"/>
      <c r="CM345" s="406"/>
      <c r="CN345" s="406"/>
      <c r="CO345" s="467"/>
      <c r="CP345" s="467"/>
      <c r="CQ345" s="407"/>
      <c r="CR345" s="406"/>
      <c r="CS345" s="406"/>
      <c r="CT345" s="407"/>
      <c r="CU345" s="406"/>
      <c r="CV345" s="406"/>
      <c r="CW345" s="407"/>
      <c r="CX345" s="467"/>
      <c r="CY345" s="467"/>
      <c r="CZ345" s="406"/>
      <c r="DA345" s="407"/>
      <c r="DB345" s="467"/>
      <c r="DC345" s="467"/>
      <c r="DD345" s="467"/>
      <c r="DE345" s="467"/>
      <c r="DF345" s="407"/>
    </row>
    <row r="346" spans="1:110" ht="8.4499999999999993" customHeight="1" x14ac:dyDescent="0.2">
      <c r="A346" s="130" t="s">
        <v>707</v>
      </c>
      <c r="B346" s="103">
        <v>331</v>
      </c>
      <c r="C346" s="87" t="s">
        <v>2650</v>
      </c>
      <c r="D346" s="88">
        <v>40</v>
      </c>
      <c r="E346" s="87" t="s">
        <v>2171</v>
      </c>
      <c r="F346" s="87" t="s">
        <v>2169</v>
      </c>
      <c r="G346" s="93">
        <v>689.04</v>
      </c>
      <c r="H346" s="90">
        <v>0.01</v>
      </c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94"/>
      <c r="BJ346" s="94"/>
      <c r="BK346" s="93">
        <v>344.52</v>
      </c>
      <c r="BL346" s="91">
        <v>50</v>
      </c>
      <c r="BM346" s="91">
        <v>50</v>
      </c>
      <c r="BN346" s="93">
        <v>344.52</v>
      </c>
      <c r="BO346" s="91">
        <v>50</v>
      </c>
      <c r="BP346" s="93">
        <v>100</v>
      </c>
      <c r="BQ346" s="94"/>
      <c r="BR346" s="94"/>
      <c r="BS346" s="93">
        <v>100</v>
      </c>
      <c r="BT346" s="94"/>
      <c r="BU346" s="94"/>
      <c r="BV346" s="93">
        <v>100</v>
      </c>
      <c r="BW346" s="94"/>
      <c r="BX346" s="94"/>
      <c r="BY346" s="93">
        <v>100</v>
      </c>
      <c r="BZ346" s="94"/>
      <c r="CA346" s="94"/>
      <c r="CB346" s="93">
        <v>100</v>
      </c>
      <c r="CC346" s="94"/>
      <c r="CD346" s="94"/>
      <c r="CE346" s="988">
        <v>100</v>
      </c>
      <c r="CF346" s="412"/>
      <c r="CG346" s="409"/>
      <c r="CH346" s="407"/>
      <c r="CI346" s="406"/>
      <c r="CJ346" s="406"/>
      <c r="CK346" s="407"/>
      <c r="CL346" s="406"/>
      <c r="CM346" s="406"/>
      <c r="CN346" s="406"/>
      <c r="CO346" s="467"/>
      <c r="CP346" s="467"/>
      <c r="CQ346" s="407"/>
      <c r="CR346" s="406"/>
      <c r="CS346" s="406"/>
      <c r="CT346" s="407"/>
      <c r="CU346" s="406"/>
      <c r="CV346" s="406"/>
      <c r="CW346" s="407"/>
      <c r="CX346" s="467"/>
      <c r="CY346" s="467"/>
      <c r="CZ346" s="406"/>
      <c r="DA346" s="407"/>
      <c r="DB346" s="467"/>
      <c r="DC346" s="467"/>
      <c r="DD346" s="467"/>
      <c r="DE346" s="467"/>
      <c r="DF346" s="407"/>
    </row>
    <row r="347" spans="1:110" ht="8.4499999999999993" customHeight="1" x14ac:dyDescent="0.2">
      <c r="A347" s="130" t="s">
        <v>709</v>
      </c>
      <c r="B347" s="104">
        <v>332</v>
      </c>
      <c r="C347" s="82" t="s">
        <v>2651</v>
      </c>
      <c r="D347" s="96">
        <v>40</v>
      </c>
      <c r="E347" s="82" t="s">
        <v>2171</v>
      </c>
      <c r="F347" s="82" t="s">
        <v>2169</v>
      </c>
      <c r="G347" s="100">
        <v>689.04</v>
      </c>
      <c r="H347" s="98">
        <v>0.01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100">
        <v>344.52</v>
      </c>
      <c r="BL347" s="102">
        <v>50</v>
      </c>
      <c r="BM347" s="102">
        <v>50</v>
      </c>
      <c r="BN347" s="100">
        <v>344.52</v>
      </c>
      <c r="BO347" s="102">
        <v>50</v>
      </c>
      <c r="BP347" s="100">
        <v>100</v>
      </c>
      <c r="BQ347" s="99"/>
      <c r="BR347" s="99"/>
      <c r="BS347" s="100">
        <v>100</v>
      </c>
      <c r="BT347" s="99"/>
      <c r="BU347" s="99"/>
      <c r="BV347" s="100">
        <v>100</v>
      </c>
      <c r="BW347" s="99"/>
      <c r="BX347" s="99"/>
      <c r="BY347" s="100">
        <v>100</v>
      </c>
      <c r="BZ347" s="99"/>
      <c r="CA347" s="99"/>
      <c r="CB347" s="100">
        <v>100</v>
      </c>
      <c r="CC347" s="99"/>
      <c r="CD347" s="99"/>
      <c r="CE347" s="989">
        <v>100</v>
      </c>
      <c r="CF347" s="406"/>
      <c r="CG347" s="406"/>
      <c r="CH347" s="407"/>
      <c r="CI347" s="406"/>
      <c r="CJ347" s="406"/>
      <c r="CK347" s="407"/>
      <c r="CL347" s="406"/>
      <c r="CM347" s="406"/>
      <c r="CN347" s="406"/>
      <c r="CO347" s="467"/>
      <c r="CP347" s="467"/>
      <c r="CQ347" s="407"/>
      <c r="CR347" s="406"/>
      <c r="CS347" s="406"/>
      <c r="CT347" s="407"/>
      <c r="CU347" s="406"/>
      <c r="CV347" s="406"/>
      <c r="CW347" s="407"/>
      <c r="CX347" s="467"/>
      <c r="CY347" s="467"/>
      <c r="CZ347" s="406"/>
      <c r="DA347" s="407"/>
      <c r="DB347" s="467"/>
      <c r="DC347" s="467"/>
      <c r="DD347" s="467"/>
      <c r="DE347" s="467"/>
      <c r="DF347" s="407"/>
    </row>
    <row r="348" spans="1:110" ht="8.4499999999999993" customHeight="1" x14ac:dyDescent="0.2">
      <c r="A348" s="130" t="s">
        <v>1525</v>
      </c>
      <c r="B348" s="103">
        <v>333</v>
      </c>
      <c r="C348" s="87" t="s">
        <v>1581</v>
      </c>
      <c r="D348" s="88">
        <v>96</v>
      </c>
      <c r="E348" s="87" t="s">
        <v>2009</v>
      </c>
      <c r="F348" s="87" t="s">
        <v>2195</v>
      </c>
      <c r="G348" s="89">
        <v>17193.64</v>
      </c>
      <c r="H348" s="90">
        <v>0.2</v>
      </c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94"/>
      <c r="BQ348" s="92">
        <v>3140.26</v>
      </c>
      <c r="BR348" s="91">
        <v>18.260000000000002</v>
      </c>
      <c r="BS348" s="91">
        <v>18.260000000000002</v>
      </c>
      <c r="BT348" s="92">
        <v>5545.76</v>
      </c>
      <c r="BU348" s="91">
        <v>32.25</v>
      </c>
      <c r="BV348" s="91">
        <v>50.52</v>
      </c>
      <c r="BW348" s="92">
        <v>6624.48</v>
      </c>
      <c r="BX348" s="91">
        <v>38.53</v>
      </c>
      <c r="BY348" s="91">
        <v>89.05</v>
      </c>
      <c r="BZ348" s="92">
        <v>1883.14</v>
      </c>
      <c r="CA348" s="91">
        <v>10.95</v>
      </c>
      <c r="CB348" s="93">
        <v>100</v>
      </c>
      <c r="CC348" s="94"/>
      <c r="CD348" s="94"/>
      <c r="CE348" s="988">
        <v>100</v>
      </c>
      <c r="CF348" s="406"/>
      <c r="CG348" s="406"/>
      <c r="CH348" s="407"/>
      <c r="CI348" s="406"/>
      <c r="CJ348" s="406"/>
      <c r="CK348" s="407"/>
      <c r="CL348" s="406"/>
      <c r="CM348" s="406"/>
      <c r="CN348" s="406"/>
      <c r="CO348" s="467"/>
      <c r="CP348" s="467"/>
      <c r="CQ348" s="407"/>
      <c r="CR348" s="406"/>
      <c r="CS348" s="406"/>
      <c r="CT348" s="407"/>
      <c r="CU348" s="406"/>
      <c r="CV348" s="406"/>
      <c r="CW348" s="407"/>
      <c r="CX348" s="467"/>
      <c r="CY348" s="467"/>
      <c r="CZ348" s="406"/>
      <c r="DA348" s="407"/>
      <c r="DB348" s="467"/>
      <c r="DC348" s="467"/>
      <c r="DD348" s="467"/>
      <c r="DE348" s="467"/>
      <c r="DF348" s="407"/>
    </row>
    <row r="349" spans="1:110" ht="8.4499999999999993" customHeight="1" x14ac:dyDescent="0.2">
      <c r="A349" s="130" t="s">
        <v>1527</v>
      </c>
      <c r="B349" s="104">
        <v>334</v>
      </c>
      <c r="C349" s="82" t="s">
        <v>2652</v>
      </c>
      <c r="D349" s="96">
        <v>40</v>
      </c>
      <c r="E349" s="82" t="s">
        <v>2033</v>
      </c>
      <c r="F349" s="82" t="s">
        <v>2508</v>
      </c>
      <c r="G349" s="101">
        <v>3967.28</v>
      </c>
      <c r="H349" s="98">
        <v>0.05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101">
        <v>2380.37</v>
      </c>
      <c r="BU349" s="102">
        <v>60</v>
      </c>
      <c r="BV349" s="102">
        <v>60</v>
      </c>
      <c r="BW349" s="101">
        <v>1586.91</v>
      </c>
      <c r="BX349" s="102">
        <v>40</v>
      </c>
      <c r="BY349" s="100">
        <v>100</v>
      </c>
      <c r="BZ349" s="99"/>
      <c r="CA349" s="99"/>
      <c r="CB349" s="100">
        <v>100</v>
      </c>
      <c r="CC349" s="99"/>
      <c r="CD349" s="99"/>
      <c r="CE349" s="989">
        <v>100</v>
      </c>
      <c r="CF349" s="406"/>
      <c r="CG349" s="406"/>
      <c r="CH349" s="407"/>
      <c r="CI349" s="406"/>
      <c r="CJ349" s="406"/>
      <c r="CK349" s="407"/>
      <c r="CL349" s="406"/>
      <c r="CM349" s="406"/>
      <c r="CN349" s="406"/>
      <c r="CO349" s="467"/>
      <c r="CP349" s="467"/>
      <c r="CQ349" s="407"/>
      <c r="CR349" s="406"/>
      <c r="CS349" s="406"/>
      <c r="CT349" s="407"/>
      <c r="CU349" s="406"/>
      <c r="CV349" s="406"/>
      <c r="CW349" s="407"/>
      <c r="CX349" s="467"/>
      <c r="CY349" s="467"/>
      <c r="CZ349" s="406"/>
      <c r="DA349" s="407"/>
      <c r="DB349" s="467"/>
      <c r="DC349" s="467"/>
      <c r="DD349" s="467"/>
      <c r="DE349" s="467"/>
      <c r="DF349" s="407"/>
    </row>
    <row r="350" spans="1:110" ht="8.4499999999999993" customHeight="1" x14ac:dyDescent="0.2">
      <c r="A350" s="130" t="s">
        <v>1529</v>
      </c>
      <c r="B350" s="104">
        <v>335</v>
      </c>
      <c r="C350" s="82" t="s">
        <v>2653</v>
      </c>
      <c r="D350" s="96">
        <v>27</v>
      </c>
      <c r="E350" s="82" t="s">
        <v>2654</v>
      </c>
      <c r="F350" s="82" t="s">
        <v>2195</v>
      </c>
      <c r="G350" s="101">
        <v>5103.3599999999997</v>
      </c>
      <c r="H350" s="98">
        <v>0.06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101">
        <v>3220.22</v>
      </c>
      <c r="BX350" s="102">
        <v>63.1</v>
      </c>
      <c r="BY350" s="102">
        <v>63.1</v>
      </c>
      <c r="BZ350" s="101">
        <v>1883.14</v>
      </c>
      <c r="CA350" s="102">
        <v>36.9</v>
      </c>
      <c r="CB350" s="100">
        <v>100</v>
      </c>
      <c r="CC350" s="99"/>
      <c r="CD350" s="99"/>
      <c r="CE350" s="989">
        <v>100</v>
      </c>
      <c r="CF350" s="406"/>
      <c r="CG350" s="406"/>
      <c r="CH350" s="407"/>
      <c r="CI350" s="406"/>
      <c r="CJ350" s="406"/>
      <c r="CK350" s="407"/>
      <c r="CL350" s="406"/>
      <c r="CM350" s="406"/>
      <c r="CN350" s="406"/>
      <c r="CO350" s="467"/>
      <c r="CP350" s="467"/>
      <c r="CQ350" s="407"/>
      <c r="CR350" s="406"/>
      <c r="CS350" s="406"/>
      <c r="CT350" s="407"/>
      <c r="CU350" s="406"/>
      <c r="CV350" s="406"/>
      <c r="CW350" s="407"/>
      <c r="CX350" s="467"/>
      <c r="CY350" s="467"/>
      <c r="CZ350" s="406"/>
      <c r="DA350" s="407"/>
      <c r="DB350" s="467"/>
      <c r="DC350" s="467"/>
      <c r="DD350" s="467"/>
      <c r="DE350" s="467"/>
      <c r="DF350" s="407"/>
    </row>
    <row r="351" spans="1:110" ht="8.4499999999999993" customHeight="1" x14ac:dyDescent="0.2">
      <c r="A351" s="130" t="s">
        <v>2323</v>
      </c>
      <c r="B351" s="104">
        <v>336</v>
      </c>
      <c r="C351" s="82" t="s">
        <v>2655</v>
      </c>
      <c r="D351" s="96">
        <v>19</v>
      </c>
      <c r="E351" s="82" t="s">
        <v>2009</v>
      </c>
      <c r="F351" s="82" t="s">
        <v>2169</v>
      </c>
      <c r="G351" s="98">
        <v>0</v>
      </c>
      <c r="H351" s="98">
        <v>0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100">
        <v>100</v>
      </c>
      <c r="BP351" s="100">
        <v>100</v>
      </c>
      <c r="BQ351" s="99"/>
      <c r="BR351" s="99"/>
      <c r="BS351" s="100">
        <v>100</v>
      </c>
      <c r="BT351" s="99"/>
      <c r="BU351" s="99"/>
      <c r="BV351" s="100">
        <v>100</v>
      </c>
      <c r="BW351" s="99"/>
      <c r="BX351" s="99"/>
      <c r="BY351" s="100">
        <v>100</v>
      </c>
      <c r="BZ351" s="99"/>
      <c r="CA351" s="99"/>
      <c r="CB351" s="100">
        <v>100</v>
      </c>
      <c r="CC351" s="99"/>
      <c r="CD351" s="99"/>
      <c r="CE351" s="989">
        <v>100</v>
      </c>
      <c r="CF351" s="406"/>
      <c r="CG351" s="406"/>
      <c r="CH351" s="407"/>
      <c r="CI351" s="406"/>
      <c r="CJ351" s="406"/>
      <c r="CK351" s="407"/>
      <c r="CL351" s="406"/>
      <c r="CM351" s="406"/>
      <c r="CN351" s="406"/>
      <c r="CO351" s="467"/>
      <c r="CP351" s="467"/>
      <c r="CQ351" s="407"/>
      <c r="CR351" s="406"/>
      <c r="CS351" s="406"/>
      <c r="CT351" s="407"/>
      <c r="CU351" s="406"/>
      <c r="CV351" s="406"/>
      <c r="CW351" s="407"/>
      <c r="CX351" s="467"/>
      <c r="CY351" s="467"/>
      <c r="CZ351" s="406"/>
      <c r="DA351" s="407"/>
      <c r="DB351" s="467"/>
      <c r="DC351" s="467"/>
      <c r="DD351" s="467"/>
      <c r="DE351" s="467"/>
      <c r="DF351" s="407"/>
    </row>
    <row r="352" spans="1:110" ht="8.4499999999999993" customHeight="1" x14ac:dyDescent="0.2">
      <c r="A352" s="130" t="s">
        <v>2325</v>
      </c>
      <c r="B352" s="104">
        <v>337</v>
      </c>
      <c r="C352" s="82" t="s">
        <v>2656</v>
      </c>
      <c r="D352" s="96">
        <v>21</v>
      </c>
      <c r="E352" s="82" t="s">
        <v>2025</v>
      </c>
      <c r="F352" s="82" t="s">
        <v>2026</v>
      </c>
      <c r="G352" s="100">
        <v>906.41</v>
      </c>
      <c r="H352" s="98">
        <v>0.01</v>
      </c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100">
        <v>906.41</v>
      </c>
      <c r="BX352" s="100">
        <v>100</v>
      </c>
      <c r="BY352" s="100">
        <v>100</v>
      </c>
      <c r="BZ352" s="99"/>
      <c r="CA352" s="99"/>
      <c r="CB352" s="100">
        <v>100</v>
      </c>
      <c r="CC352" s="99"/>
      <c r="CD352" s="99"/>
      <c r="CE352" s="989">
        <v>100</v>
      </c>
      <c r="CF352" s="406"/>
      <c r="CG352" s="406"/>
      <c r="CH352" s="407"/>
      <c r="CI352" s="406"/>
      <c r="CJ352" s="406"/>
      <c r="CK352" s="407"/>
      <c r="CL352" s="406"/>
      <c r="CM352" s="406"/>
      <c r="CN352" s="406"/>
      <c r="CO352" s="467"/>
      <c r="CP352" s="467"/>
      <c r="CQ352" s="407"/>
      <c r="CR352" s="406"/>
      <c r="CS352" s="406"/>
      <c r="CT352" s="407"/>
      <c r="CU352" s="406"/>
      <c r="CV352" s="406"/>
      <c r="CW352" s="407"/>
      <c r="CX352" s="467"/>
      <c r="CY352" s="467"/>
      <c r="CZ352" s="406"/>
      <c r="DA352" s="407"/>
      <c r="DB352" s="467"/>
      <c r="DC352" s="467"/>
      <c r="DD352" s="467"/>
      <c r="DE352" s="467"/>
      <c r="DF352" s="407"/>
    </row>
    <row r="353" spans="1:110" ht="8.4499999999999993" customHeight="1" x14ac:dyDescent="0.2">
      <c r="A353" s="130" t="s">
        <v>2326</v>
      </c>
      <c r="B353" s="104">
        <v>338</v>
      </c>
      <c r="C353" s="82" t="s">
        <v>2657</v>
      </c>
      <c r="D353" s="96">
        <v>21</v>
      </c>
      <c r="E353" s="82" t="s">
        <v>2025</v>
      </c>
      <c r="F353" s="82" t="s">
        <v>2026</v>
      </c>
      <c r="G353" s="98">
        <v>5.54</v>
      </c>
      <c r="H353" s="98">
        <v>0</v>
      </c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8">
        <v>5.54</v>
      </c>
      <c r="BX353" s="100">
        <v>100</v>
      </c>
      <c r="BY353" s="100">
        <v>100</v>
      </c>
      <c r="BZ353" s="99"/>
      <c r="CA353" s="99"/>
      <c r="CB353" s="100">
        <v>100</v>
      </c>
      <c r="CC353" s="99"/>
      <c r="CD353" s="99"/>
      <c r="CE353" s="989">
        <v>100</v>
      </c>
      <c r="CF353" s="406"/>
      <c r="CG353" s="406"/>
      <c r="CH353" s="407"/>
      <c r="CI353" s="406"/>
      <c r="CJ353" s="406"/>
      <c r="CK353" s="407"/>
      <c r="CL353" s="406"/>
      <c r="CM353" s="406"/>
      <c r="CN353" s="406"/>
      <c r="CO353" s="467"/>
      <c r="CP353" s="467"/>
      <c r="CQ353" s="407"/>
      <c r="CR353" s="406"/>
      <c r="CS353" s="406"/>
      <c r="CT353" s="407"/>
      <c r="CU353" s="406"/>
      <c r="CV353" s="406"/>
      <c r="CW353" s="407"/>
      <c r="CX353" s="467"/>
      <c r="CY353" s="467"/>
      <c r="CZ353" s="406"/>
      <c r="DA353" s="407"/>
      <c r="DB353" s="467"/>
      <c r="DC353" s="467"/>
      <c r="DD353" s="467"/>
      <c r="DE353" s="467"/>
      <c r="DF353" s="407"/>
    </row>
    <row r="354" spans="1:110" ht="8.4499999999999993" customHeight="1" x14ac:dyDescent="0.2">
      <c r="A354" s="130" t="s">
        <v>2328</v>
      </c>
      <c r="B354" s="104">
        <v>339</v>
      </c>
      <c r="C354" s="82" t="s">
        <v>2658</v>
      </c>
      <c r="D354" s="96">
        <v>41</v>
      </c>
      <c r="E354" s="82" t="s">
        <v>2033</v>
      </c>
      <c r="F354" s="82" t="s">
        <v>2026</v>
      </c>
      <c r="G354" s="101">
        <v>1661.8</v>
      </c>
      <c r="H354" s="98">
        <v>0.02</v>
      </c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100">
        <v>900.86</v>
      </c>
      <c r="BU354" s="102">
        <v>54.21</v>
      </c>
      <c r="BV354" s="102">
        <v>54.21</v>
      </c>
      <c r="BW354" s="100">
        <v>760.94</v>
      </c>
      <c r="BX354" s="102">
        <v>45.79</v>
      </c>
      <c r="BY354" s="100">
        <v>100</v>
      </c>
      <c r="BZ354" s="99"/>
      <c r="CA354" s="99"/>
      <c r="CB354" s="100">
        <v>100</v>
      </c>
      <c r="CC354" s="99"/>
      <c r="CD354" s="99"/>
      <c r="CE354" s="989">
        <v>100</v>
      </c>
      <c r="CF354" s="411"/>
      <c r="CG354" s="404"/>
      <c r="CH354" s="405"/>
      <c r="CI354" s="460"/>
      <c r="CJ354" s="460"/>
      <c r="CK354" s="405"/>
      <c r="CL354" s="460"/>
      <c r="CM354" s="460"/>
      <c r="CN354" s="460"/>
      <c r="CO354" s="467"/>
      <c r="CP354" s="467"/>
      <c r="CQ354" s="407"/>
      <c r="CR354" s="406"/>
      <c r="CS354" s="406"/>
      <c r="CT354" s="407"/>
      <c r="CU354" s="406"/>
      <c r="CV354" s="406"/>
      <c r="CW354" s="407"/>
      <c r="CX354" s="467"/>
      <c r="CY354" s="467"/>
      <c r="CZ354" s="406"/>
      <c r="DA354" s="407"/>
      <c r="DB354" s="467"/>
      <c r="DC354" s="467"/>
      <c r="DD354" s="467"/>
      <c r="DE354" s="467"/>
      <c r="DF354" s="407"/>
    </row>
    <row r="355" spans="1:110" ht="8.4499999999999993" customHeight="1" x14ac:dyDescent="0.2">
      <c r="A355" s="130" t="s">
        <v>2329</v>
      </c>
      <c r="B355" s="104">
        <v>340</v>
      </c>
      <c r="C355" s="82" t="s">
        <v>2659</v>
      </c>
      <c r="D355" s="96">
        <v>41</v>
      </c>
      <c r="E355" s="82" t="s">
        <v>2033</v>
      </c>
      <c r="F355" s="82" t="s">
        <v>2026</v>
      </c>
      <c r="G355" s="100">
        <v>315.48</v>
      </c>
      <c r="H355" s="98">
        <v>0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100">
        <v>171.02</v>
      </c>
      <c r="BU355" s="102">
        <v>54.21</v>
      </c>
      <c r="BV355" s="102">
        <v>54.21</v>
      </c>
      <c r="BW355" s="100">
        <v>144.46</v>
      </c>
      <c r="BX355" s="102">
        <v>45.79</v>
      </c>
      <c r="BY355" s="100">
        <v>100</v>
      </c>
      <c r="BZ355" s="99"/>
      <c r="CA355" s="99"/>
      <c r="CB355" s="100">
        <v>100</v>
      </c>
      <c r="CC355" s="99"/>
      <c r="CD355" s="99"/>
      <c r="CE355" s="989">
        <v>100</v>
      </c>
      <c r="CF355" s="410"/>
      <c r="CG355" s="408"/>
      <c r="CH355" s="407"/>
      <c r="CI355" s="406"/>
      <c r="CJ355" s="406"/>
      <c r="CK355" s="407"/>
      <c r="CL355" s="406"/>
      <c r="CM355" s="406"/>
      <c r="CN355" s="406"/>
      <c r="CO355" s="467"/>
      <c r="CP355" s="467"/>
      <c r="CQ355" s="407"/>
      <c r="CR355" s="406"/>
      <c r="CS355" s="406"/>
      <c r="CT355" s="407"/>
      <c r="CU355" s="406"/>
      <c r="CV355" s="406"/>
      <c r="CW355" s="407"/>
      <c r="CX355" s="467"/>
      <c r="CY355" s="467"/>
      <c r="CZ355" s="406"/>
      <c r="DA355" s="407"/>
      <c r="DB355" s="467"/>
      <c r="DC355" s="467"/>
      <c r="DD355" s="467"/>
      <c r="DE355" s="467"/>
      <c r="DF355" s="407"/>
    </row>
    <row r="356" spans="1:110" ht="8.4499999999999993" customHeight="1" x14ac:dyDescent="0.2">
      <c r="A356" s="130" t="s">
        <v>2330</v>
      </c>
      <c r="B356" s="104">
        <v>341</v>
      </c>
      <c r="C356" s="82" t="s">
        <v>2660</v>
      </c>
      <c r="D356" s="96">
        <v>43</v>
      </c>
      <c r="E356" s="82" t="s">
        <v>2012</v>
      </c>
      <c r="F356" s="82" t="s">
        <v>2010</v>
      </c>
      <c r="G356" s="101">
        <v>5233.7700000000004</v>
      </c>
      <c r="H356" s="98">
        <v>0.06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101">
        <v>3140.26</v>
      </c>
      <c r="BR356" s="102">
        <v>60</v>
      </c>
      <c r="BS356" s="102">
        <v>60</v>
      </c>
      <c r="BT356" s="101">
        <v>2093.5100000000002</v>
      </c>
      <c r="BU356" s="102">
        <v>40</v>
      </c>
      <c r="BV356" s="100">
        <v>100</v>
      </c>
      <c r="BW356" s="99"/>
      <c r="BX356" s="99"/>
      <c r="BY356" s="100">
        <v>100</v>
      </c>
      <c r="BZ356" s="99"/>
      <c r="CA356" s="99"/>
      <c r="CB356" s="100">
        <v>100</v>
      </c>
      <c r="CC356" s="99"/>
      <c r="CD356" s="99"/>
      <c r="CE356" s="989">
        <v>100</v>
      </c>
      <c r="CF356" s="410"/>
      <c r="CG356" s="408"/>
      <c r="CH356" s="407"/>
      <c r="CI356" s="406"/>
      <c r="CJ356" s="406"/>
      <c r="CK356" s="407"/>
      <c r="CL356" s="406"/>
      <c r="CM356" s="406"/>
      <c r="CN356" s="406"/>
      <c r="CO356" s="467"/>
      <c r="CP356" s="467"/>
      <c r="CQ356" s="407"/>
      <c r="CR356" s="406"/>
      <c r="CS356" s="406"/>
      <c r="CT356" s="407"/>
      <c r="CU356" s="406"/>
      <c r="CV356" s="406"/>
      <c r="CW356" s="407"/>
      <c r="CX356" s="467"/>
      <c r="CY356" s="467"/>
      <c r="CZ356" s="406"/>
      <c r="DA356" s="407"/>
      <c r="DB356" s="467"/>
      <c r="DC356" s="467"/>
      <c r="DD356" s="467"/>
      <c r="DE356" s="467"/>
      <c r="DF356" s="407"/>
    </row>
    <row r="357" spans="1:110" ht="8.4499999999999993" customHeight="1" x14ac:dyDescent="0.2">
      <c r="A357" s="130" t="s">
        <v>1531</v>
      </c>
      <c r="B357" s="103">
        <v>342</v>
      </c>
      <c r="C357" s="87" t="s">
        <v>1582</v>
      </c>
      <c r="D357" s="88">
        <v>22</v>
      </c>
      <c r="E357" s="87" t="s">
        <v>2012</v>
      </c>
      <c r="F357" s="87" t="s">
        <v>2013</v>
      </c>
      <c r="G357" s="93">
        <v>434.95</v>
      </c>
      <c r="H357" s="90">
        <v>0</v>
      </c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94"/>
      <c r="BJ357" s="94"/>
      <c r="BK357" s="94"/>
      <c r="BL357" s="94"/>
      <c r="BM357" s="94"/>
      <c r="BN357" s="94"/>
      <c r="BO357" s="94"/>
      <c r="BP357" s="94"/>
      <c r="BQ357" s="93">
        <v>434.95</v>
      </c>
      <c r="BR357" s="93">
        <v>100</v>
      </c>
      <c r="BS357" s="93">
        <v>100</v>
      </c>
      <c r="BT357" s="94"/>
      <c r="BU357" s="94"/>
      <c r="BV357" s="93">
        <v>100</v>
      </c>
      <c r="BW357" s="94"/>
      <c r="BX357" s="94"/>
      <c r="BY357" s="93">
        <v>100</v>
      </c>
      <c r="BZ357" s="94"/>
      <c r="CA357" s="94"/>
      <c r="CB357" s="93">
        <v>100</v>
      </c>
      <c r="CC357" s="94"/>
      <c r="CD357" s="94"/>
      <c r="CE357" s="988">
        <v>100</v>
      </c>
      <c r="CF357" s="412"/>
      <c r="CG357" s="407"/>
      <c r="CH357" s="407"/>
      <c r="CI357" s="406"/>
      <c r="CJ357" s="406"/>
      <c r="CK357" s="407"/>
      <c r="CL357" s="406"/>
      <c r="CM357" s="406"/>
      <c r="CN357" s="406"/>
      <c r="CO357" s="467"/>
      <c r="CP357" s="467"/>
      <c r="CQ357" s="407"/>
      <c r="CR357" s="406"/>
      <c r="CS357" s="406"/>
      <c r="CT357" s="407"/>
      <c r="CU357" s="406"/>
      <c r="CV357" s="406"/>
      <c r="CW357" s="407"/>
      <c r="CX357" s="467"/>
      <c r="CY357" s="467"/>
      <c r="CZ357" s="406"/>
      <c r="DA357" s="407"/>
      <c r="DB357" s="467"/>
      <c r="DC357" s="467"/>
      <c r="DD357" s="467"/>
      <c r="DE357" s="467"/>
      <c r="DF357" s="407"/>
    </row>
    <row r="358" spans="1:110" ht="8.4499999999999993" customHeight="1" x14ac:dyDescent="0.2">
      <c r="A358" s="130" t="s">
        <v>1532</v>
      </c>
      <c r="B358" s="104">
        <v>343</v>
      </c>
      <c r="C358" s="82" t="s">
        <v>2661</v>
      </c>
      <c r="D358" s="96">
        <v>22</v>
      </c>
      <c r="E358" s="82" t="s">
        <v>2012</v>
      </c>
      <c r="F358" s="82" t="s">
        <v>2013</v>
      </c>
      <c r="G358" s="100">
        <v>434.95</v>
      </c>
      <c r="H358" s="98">
        <v>0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100">
        <v>434.95</v>
      </c>
      <c r="BR358" s="100">
        <v>100</v>
      </c>
      <c r="BS358" s="100">
        <v>100</v>
      </c>
      <c r="BT358" s="99"/>
      <c r="BU358" s="99"/>
      <c r="BV358" s="100">
        <v>100</v>
      </c>
      <c r="BW358" s="99"/>
      <c r="BX358" s="99"/>
      <c r="BY358" s="100">
        <v>100</v>
      </c>
      <c r="BZ358" s="99"/>
      <c r="CA358" s="99"/>
      <c r="CB358" s="100">
        <v>100</v>
      </c>
      <c r="CC358" s="99"/>
      <c r="CD358" s="99"/>
      <c r="CE358" s="989">
        <v>100</v>
      </c>
      <c r="CF358" s="412"/>
      <c r="CG358" s="407"/>
      <c r="CH358" s="407"/>
      <c r="CI358" s="406"/>
      <c r="CJ358" s="406"/>
      <c r="CK358" s="407"/>
      <c r="CL358" s="406"/>
      <c r="CM358" s="406"/>
      <c r="CN358" s="406"/>
      <c r="CO358" s="467"/>
      <c r="CP358" s="467"/>
      <c r="CQ358" s="407"/>
      <c r="CR358" s="406"/>
      <c r="CS358" s="406"/>
      <c r="CT358" s="407"/>
      <c r="CU358" s="406"/>
      <c r="CV358" s="406"/>
      <c r="CW358" s="407"/>
      <c r="CX358" s="467"/>
      <c r="CY358" s="467"/>
      <c r="CZ358" s="406"/>
      <c r="DA358" s="407"/>
      <c r="DB358" s="467"/>
      <c r="DC358" s="467"/>
      <c r="DD358" s="467"/>
      <c r="DE358" s="467"/>
      <c r="DF358" s="407"/>
    </row>
    <row r="359" spans="1:110" ht="8.4499999999999993" customHeight="1" x14ac:dyDescent="0.2">
      <c r="A359" s="130" t="s">
        <v>2331</v>
      </c>
      <c r="B359" s="103">
        <v>344</v>
      </c>
      <c r="C359" s="87" t="s">
        <v>371</v>
      </c>
      <c r="D359" s="88">
        <v>21</v>
      </c>
      <c r="E359" s="87" t="s">
        <v>2025</v>
      </c>
      <c r="F359" s="87" t="s">
        <v>2026</v>
      </c>
      <c r="G359" s="92">
        <v>8378.6299999999992</v>
      </c>
      <c r="H359" s="90">
        <v>0.1</v>
      </c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94"/>
      <c r="BJ359" s="94"/>
      <c r="BK359" s="94"/>
      <c r="BL359" s="94"/>
      <c r="BM359" s="94"/>
      <c r="BN359" s="94"/>
      <c r="BO359" s="94"/>
      <c r="BP359" s="94"/>
      <c r="BQ359" s="94"/>
      <c r="BR359" s="94"/>
      <c r="BS359" s="94"/>
      <c r="BT359" s="94"/>
      <c r="BU359" s="94"/>
      <c r="BV359" s="94"/>
      <c r="BW359" s="92">
        <v>8378.6299999999992</v>
      </c>
      <c r="BX359" s="93">
        <v>100</v>
      </c>
      <c r="BY359" s="93">
        <v>100</v>
      </c>
      <c r="BZ359" s="94"/>
      <c r="CA359" s="94"/>
      <c r="CB359" s="93">
        <v>100</v>
      </c>
      <c r="CC359" s="94"/>
      <c r="CD359" s="94"/>
      <c r="CE359" s="988">
        <v>100</v>
      </c>
      <c r="CF359" s="406"/>
      <c r="CG359" s="406"/>
      <c r="CH359" s="407"/>
      <c r="CI359" s="406"/>
      <c r="CJ359" s="406"/>
      <c r="CK359" s="407"/>
      <c r="CL359" s="406"/>
      <c r="CM359" s="406"/>
      <c r="CN359" s="406"/>
      <c r="CO359" s="467"/>
      <c r="CP359" s="467"/>
      <c r="CQ359" s="407"/>
      <c r="CR359" s="406"/>
      <c r="CS359" s="406"/>
      <c r="CT359" s="407"/>
      <c r="CU359" s="406"/>
      <c r="CV359" s="406"/>
      <c r="CW359" s="407"/>
      <c r="CX359" s="467"/>
      <c r="CY359" s="467"/>
      <c r="CZ359" s="406"/>
      <c r="DA359" s="407"/>
      <c r="DB359" s="467"/>
      <c r="DC359" s="467"/>
      <c r="DD359" s="467"/>
      <c r="DE359" s="467"/>
      <c r="DF359" s="407"/>
    </row>
    <row r="360" spans="1:110" ht="8.4499999999999993" customHeight="1" x14ac:dyDescent="0.2">
      <c r="A360" s="130" t="s">
        <v>2332</v>
      </c>
      <c r="B360" s="104">
        <v>345</v>
      </c>
      <c r="C360" s="82" t="s">
        <v>2662</v>
      </c>
      <c r="D360" s="96">
        <v>21</v>
      </c>
      <c r="E360" s="82" t="s">
        <v>2025</v>
      </c>
      <c r="F360" s="82" t="s">
        <v>2026</v>
      </c>
      <c r="G360" s="100">
        <v>162.80000000000001</v>
      </c>
      <c r="H360" s="98">
        <v>0</v>
      </c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100">
        <v>162.80000000000001</v>
      </c>
      <c r="BX360" s="100">
        <v>100</v>
      </c>
      <c r="BY360" s="100">
        <v>100</v>
      </c>
      <c r="BZ360" s="99"/>
      <c r="CA360" s="99"/>
      <c r="CB360" s="100">
        <v>100</v>
      </c>
      <c r="CC360" s="99"/>
      <c r="CD360" s="99"/>
      <c r="CE360" s="989">
        <v>100</v>
      </c>
      <c r="CF360" s="411"/>
      <c r="CG360" s="404"/>
      <c r="CH360" s="404"/>
      <c r="CI360" s="411"/>
      <c r="CJ360" s="462"/>
      <c r="CK360" s="405"/>
      <c r="CL360" s="460"/>
      <c r="CM360" s="460"/>
      <c r="CN360" s="460"/>
      <c r="CO360" s="467"/>
      <c r="CP360" s="467"/>
      <c r="CQ360" s="407"/>
      <c r="CR360" s="406"/>
      <c r="CS360" s="406"/>
      <c r="CT360" s="407"/>
      <c r="CU360" s="406"/>
      <c r="CV360" s="406"/>
      <c r="CW360" s="407"/>
      <c r="CX360" s="467"/>
      <c r="CY360" s="467"/>
      <c r="CZ360" s="406"/>
      <c r="DA360" s="407"/>
      <c r="DB360" s="467"/>
      <c r="DC360" s="467"/>
      <c r="DD360" s="467"/>
      <c r="DE360" s="467"/>
      <c r="DF360" s="407"/>
    </row>
    <row r="361" spans="1:110" ht="8.4499999999999993" customHeight="1" x14ac:dyDescent="0.2">
      <c r="A361" s="130" t="s">
        <v>2333</v>
      </c>
      <c r="B361" s="104">
        <v>346</v>
      </c>
      <c r="C361" s="82" t="s">
        <v>2663</v>
      </c>
      <c r="D361" s="96">
        <v>21</v>
      </c>
      <c r="E361" s="82" t="s">
        <v>2025</v>
      </c>
      <c r="F361" s="82" t="s">
        <v>2026</v>
      </c>
      <c r="G361" s="100">
        <v>173.14</v>
      </c>
      <c r="H361" s="98">
        <v>0</v>
      </c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100">
        <v>173.14</v>
      </c>
      <c r="BX361" s="100">
        <v>100</v>
      </c>
      <c r="BY361" s="100">
        <v>100</v>
      </c>
      <c r="BZ361" s="99"/>
      <c r="CA361" s="99"/>
      <c r="CB361" s="100">
        <v>100</v>
      </c>
      <c r="CC361" s="99"/>
      <c r="CD361" s="99"/>
      <c r="CE361" s="989">
        <v>100</v>
      </c>
      <c r="CF361" s="403"/>
      <c r="CG361" s="404"/>
      <c r="CH361" s="404"/>
      <c r="CI361" s="403"/>
      <c r="CJ361" s="462"/>
      <c r="CK361" s="405"/>
      <c r="CL361" s="460"/>
      <c r="CM361" s="460"/>
      <c r="CN361" s="460"/>
      <c r="CO361" s="467"/>
      <c r="CP361" s="467"/>
      <c r="CQ361" s="407"/>
      <c r="CR361" s="406"/>
      <c r="CS361" s="406"/>
      <c r="CT361" s="407"/>
      <c r="CU361" s="406"/>
      <c r="CV361" s="406"/>
      <c r="CW361" s="407"/>
      <c r="CX361" s="467"/>
      <c r="CY361" s="467"/>
      <c r="CZ361" s="406"/>
      <c r="DA361" s="407"/>
      <c r="DB361" s="467"/>
      <c r="DC361" s="467"/>
      <c r="DD361" s="467"/>
      <c r="DE361" s="467"/>
      <c r="DF361" s="407"/>
    </row>
    <row r="362" spans="1:110" ht="8.4499999999999993" customHeight="1" x14ac:dyDescent="0.2">
      <c r="A362" s="130" t="s">
        <v>2334</v>
      </c>
      <c r="B362" s="104">
        <v>347</v>
      </c>
      <c r="C362" s="82" t="s">
        <v>2664</v>
      </c>
      <c r="D362" s="96">
        <v>21</v>
      </c>
      <c r="E362" s="82" t="s">
        <v>2025</v>
      </c>
      <c r="F362" s="82" t="s">
        <v>2026</v>
      </c>
      <c r="G362" s="101">
        <v>3072.22</v>
      </c>
      <c r="H362" s="98">
        <v>0.03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101">
        <v>3072.22</v>
      </c>
      <c r="BX362" s="100">
        <v>100</v>
      </c>
      <c r="BY362" s="100">
        <v>100</v>
      </c>
      <c r="BZ362" s="99"/>
      <c r="CA362" s="99"/>
      <c r="CB362" s="100">
        <v>100</v>
      </c>
      <c r="CC362" s="99"/>
      <c r="CD362" s="99"/>
      <c r="CE362" s="989">
        <v>100</v>
      </c>
      <c r="CF362" s="410"/>
      <c r="CG362" s="409"/>
      <c r="CH362" s="409"/>
      <c r="CI362" s="407"/>
      <c r="CJ362" s="408"/>
      <c r="CK362" s="407"/>
      <c r="CL362" s="406"/>
      <c r="CM362" s="406"/>
      <c r="CN362" s="406"/>
      <c r="CO362" s="467"/>
      <c r="CP362" s="467"/>
      <c r="CQ362" s="407"/>
      <c r="CR362" s="406"/>
      <c r="CS362" s="406"/>
      <c r="CT362" s="407"/>
      <c r="CU362" s="406"/>
      <c r="CV362" s="406"/>
      <c r="CW362" s="407"/>
      <c r="CX362" s="467"/>
      <c r="CY362" s="467"/>
      <c r="CZ362" s="406"/>
      <c r="DA362" s="407"/>
      <c r="DB362" s="467"/>
      <c r="DC362" s="467"/>
      <c r="DD362" s="467"/>
      <c r="DE362" s="467"/>
      <c r="DF362" s="407"/>
    </row>
    <row r="363" spans="1:110" ht="8.4499999999999993" customHeight="1" x14ac:dyDescent="0.2">
      <c r="A363" s="130" t="s">
        <v>2336</v>
      </c>
      <c r="B363" s="104">
        <v>348</v>
      </c>
      <c r="C363" s="82" t="s">
        <v>2665</v>
      </c>
      <c r="D363" s="96">
        <v>21</v>
      </c>
      <c r="E363" s="82" t="s">
        <v>2025</v>
      </c>
      <c r="F363" s="82" t="s">
        <v>2026</v>
      </c>
      <c r="G363" s="101">
        <v>4970.47</v>
      </c>
      <c r="H363" s="98">
        <v>0.06</v>
      </c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101">
        <v>4970.47</v>
      </c>
      <c r="BX363" s="100">
        <v>100</v>
      </c>
      <c r="BY363" s="100">
        <v>100</v>
      </c>
      <c r="BZ363" s="99"/>
      <c r="CA363" s="99"/>
      <c r="CB363" s="100">
        <v>100</v>
      </c>
      <c r="CC363" s="99"/>
      <c r="CD363" s="99"/>
      <c r="CE363" s="989">
        <v>100</v>
      </c>
      <c r="CF363" s="407"/>
      <c r="CG363" s="409"/>
      <c r="CH363" s="409"/>
      <c r="CI363" s="407"/>
      <c r="CJ363" s="408"/>
      <c r="CK363" s="407"/>
      <c r="CL363" s="406"/>
      <c r="CM363" s="406"/>
      <c r="CN363" s="406"/>
      <c r="CO363" s="467"/>
      <c r="CP363" s="467"/>
      <c r="CQ363" s="407"/>
      <c r="CR363" s="406"/>
      <c r="CS363" s="406"/>
      <c r="CT363" s="407"/>
      <c r="CU363" s="406"/>
      <c r="CV363" s="406"/>
      <c r="CW363" s="407"/>
      <c r="CX363" s="467"/>
      <c r="CY363" s="467"/>
      <c r="CZ363" s="406"/>
      <c r="DA363" s="407"/>
      <c r="DB363" s="467"/>
      <c r="DC363" s="467"/>
      <c r="DD363" s="467"/>
      <c r="DE363" s="467"/>
      <c r="DF363" s="407"/>
    </row>
    <row r="364" spans="1:110" ht="8.4499999999999993" customHeight="1" x14ac:dyDescent="0.2">
      <c r="A364" s="130" t="s">
        <v>150</v>
      </c>
      <c r="B364" s="103">
        <v>349</v>
      </c>
      <c r="C364" s="87" t="s">
        <v>372</v>
      </c>
      <c r="D364" s="103">
        <v>138</v>
      </c>
      <c r="E364" s="87" t="s">
        <v>2193</v>
      </c>
      <c r="F364" s="87" t="s">
        <v>2024</v>
      </c>
      <c r="G364" s="105">
        <v>168850.1</v>
      </c>
      <c r="H364" s="90">
        <v>1.92</v>
      </c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2">
        <v>1423.21</v>
      </c>
      <c r="BI364" s="90">
        <v>0.73</v>
      </c>
      <c r="BJ364" s="90">
        <v>0.73</v>
      </c>
      <c r="BK364" s="89">
        <v>14580.35</v>
      </c>
      <c r="BL364" s="90">
        <v>8.5500000000000007</v>
      </c>
      <c r="BM364" s="90">
        <v>9.2799999999999994</v>
      </c>
      <c r="BN364" s="92">
        <v>2737.73</v>
      </c>
      <c r="BO364" s="90">
        <v>1.4</v>
      </c>
      <c r="BP364" s="91">
        <v>10.68</v>
      </c>
      <c r="BQ364" s="93">
        <v>700.72</v>
      </c>
      <c r="BR364" s="90">
        <v>0.34</v>
      </c>
      <c r="BS364" s="91">
        <v>11.02</v>
      </c>
      <c r="BT364" s="89">
        <v>17991.060000000001</v>
      </c>
      <c r="BU364" s="91">
        <v>10.72</v>
      </c>
      <c r="BV364" s="91">
        <v>21.74</v>
      </c>
      <c r="BW364" s="89">
        <v>25140.01</v>
      </c>
      <c r="BX364" s="91">
        <v>15.02</v>
      </c>
      <c r="BY364" s="91">
        <v>36.75</v>
      </c>
      <c r="BZ364" s="105">
        <v>106277.02</v>
      </c>
      <c r="CA364" s="91">
        <v>63.25</v>
      </c>
      <c r="CB364" s="93">
        <v>100</v>
      </c>
      <c r="CC364" s="94"/>
      <c r="CD364" s="94"/>
      <c r="CE364" s="988">
        <v>100</v>
      </c>
      <c r="CF364" s="406"/>
      <c r="CG364" s="406"/>
      <c r="CH364" s="406"/>
      <c r="CI364" s="407"/>
      <c r="CJ364" s="407"/>
      <c r="CK364" s="407"/>
      <c r="CL364" s="406"/>
      <c r="CM364" s="406"/>
      <c r="CN364" s="406"/>
      <c r="CO364" s="467"/>
      <c r="CP364" s="467"/>
      <c r="CQ364" s="407"/>
      <c r="CR364" s="406"/>
      <c r="CS364" s="406"/>
      <c r="CT364" s="407"/>
      <c r="CU364" s="406"/>
      <c r="CV364" s="406"/>
      <c r="CW364" s="407"/>
      <c r="CX364" s="467"/>
      <c r="CY364" s="467"/>
      <c r="CZ364" s="406"/>
      <c r="DA364" s="407"/>
      <c r="DB364" s="467"/>
      <c r="DC364" s="467"/>
      <c r="DD364" s="467"/>
      <c r="DE364" s="467"/>
      <c r="DF364" s="407"/>
    </row>
    <row r="365" spans="1:110" ht="8.4499999999999993" customHeight="1" x14ac:dyDescent="0.2">
      <c r="A365" s="130" t="s">
        <v>711</v>
      </c>
      <c r="B365" s="103">
        <v>350</v>
      </c>
      <c r="C365" s="87" t="s">
        <v>373</v>
      </c>
      <c r="D365" s="88">
        <v>22</v>
      </c>
      <c r="E365" s="87" t="s">
        <v>2034</v>
      </c>
      <c r="F365" s="87" t="s">
        <v>2024</v>
      </c>
      <c r="G365" s="89">
        <v>27574.49</v>
      </c>
      <c r="H365" s="90">
        <v>0.31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94"/>
      <c r="BJ365" s="94"/>
      <c r="BK365" s="94"/>
      <c r="BL365" s="94"/>
      <c r="BM365" s="94"/>
      <c r="BN365" s="94"/>
      <c r="BO365" s="94"/>
      <c r="BP365" s="94"/>
      <c r="BQ365" s="94"/>
      <c r="BR365" s="94"/>
      <c r="BS365" s="94"/>
      <c r="BT365" s="94"/>
      <c r="BU365" s="94"/>
      <c r="BV365" s="94"/>
      <c r="BW365" s="94"/>
      <c r="BX365" s="94"/>
      <c r="BY365" s="94"/>
      <c r="BZ365" s="89">
        <v>27574.49</v>
      </c>
      <c r="CA365" s="93">
        <v>100</v>
      </c>
      <c r="CB365" s="93">
        <v>100</v>
      </c>
      <c r="CC365" s="94"/>
      <c r="CD365" s="94"/>
      <c r="CE365" s="988">
        <v>100</v>
      </c>
      <c r="CF365" s="403"/>
      <c r="CG365" s="404"/>
      <c r="CH365" s="404"/>
      <c r="CI365" s="403"/>
      <c r="CJ365" s="462"/>
      <c r="CK365" s="405"/>
      <c r="CL365" s="460"/>
      <c r="CM365" s="460"/>
      <c r="CN365" s="460"/>
      <c r="CO365" s="467"/>
      <c r="CP365" s="467"/>
      <c r="CQ365" s="407"/>
      <c r="CR365" s="406"/>
      <c r="CS365" s="406"/>
      <c r="CT365" s="407"/>
      <c r="CU365" s="406"/>
      <c r="CV365" s="406"/>
      <c r="CW365" s="407"/>
      <c r="CX365" s="467"/>
      <c r="CY365" s="467"/>
      <c r="CZ365" s="406"/>
      <c r="DA365" s="407"/>
      <c r="DB365" s="467"/>
      <c r="DC365" s="467"/>
      <c r="DD365" s="467"/>
      <c r="DE365" s="467"/>
      <c r="DF365" s="407"/>
    </row>
    <row r="366" spans="1:110" ht="8.4499999999999993" customHeight="1" x14ac:dyDescent="0.2">
      <c r="A366" s="130" t="s">
        <v>713</v>
      </c>
      <c r="B366" s="104">
        <v>351</v>
      </c>
      <c r="C366" s="82" t="s">
        <v>2666</v>
      </c>
      <c r="D366" s="96">
        <v>22</v>
      </c>
      <c r="E366" s="82" t="s">
        <v>2034</v>
      </c>
      <c r="F366" s="82" t="s">
        <v>2024</v>
      </c>
      <c r="G366" s="100">
        <v>813.74</v>
      </c>
      <c r="H366" s="98">
        <v>0.01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100">
        <v>813.74</v>
      </c>
      <c r="CA366" s="100">
        <v>100</v>
      </c>
      <c r="CB366" s="100">
        <v>100</v>
      </c>
      <c r="CC366" s="99"/>
      <c r="CD366" s="99"/>
      <c r="CE366" s="989">
        <v>100</v>
      </c>
      <c r="CF366" s="406"/>
      <c r="CG366" s="406"/>
      <c r="CH366" s="407"/>
      <c r="CI366" s="406"/>
      <c r="CJ366" s="406"/>
      <c r="CK366" s="407"/>
      <c r="CL366" s="406"/>
      <c r="CM366" s="406"/>
      <c r="CN366" s="406"/>
      <c r="CO366" s="467"/>
      <c r="CP366" s="467"/>
      <c r="CQ366" s="407"/>
      <c r="CR366" s="406"/>
      <c r="CS366" s="406"/>
      <c r="CT366" s="407"/>
      <c r="CU366" s="406"/>
      <c r="CV366" s="406"/>
      <c r="CW366" s="407"/>
      <c r="CX366" s="467"/>
      <c r="CY366" s="467"/>
      <c r="CZ366" s="406"/>
      <c r="DA366" s="407"/>
      <c r="DB366" s="467"/>
      <c r="DC366" s="467"/>
      <c r="DD366" s="467"/>
      <c r="DE366" s="467"/>
      <c r="DF366" s="407"/>
    </row>
    <row r="367" spans="1:110" ht="8.4499999999999993" customHeight="1" x14ac:dyDescent="0.2">
      <c r="A367" s="130" t="s">
        <v>714</v>
      </c>
      <c r="B367" s="104">
        <v>352</v>
      </c>
      <c r="C367" s="82" t="s">
        <v>2667</v>
      </c>
      <c r="D367" s="96">
        <v>22</v>
      </c>
      <c r="E367" s="82" t="s">
        <v>2034</v>
      </c>
      <c r="F367" s="82" t="s">
        <v>2024</v>
      </c>
      <c r="G367" s="101">
        <v>1760.75</v>
      </c>
      <c r="H367" s="98">
        <v>0.02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101">
        <v>1760.75</v>
      </c>
      <c r="CA367" s="100">
        <v>100</v>
      </c>
      <c r="CB367" s="100">
        <v>100</v>
      </c>
      <c r="CC367" s="99"/>
      <c r="CD367" s="99"/>
      <c r="CE367" s="989">
        <v>100</v>
      </c>
      <c r="CF367" s="410"/>
      <c r="CG367" s="408"/>
      <c r="CH367" s="407"/>
      <c r="CI367" s="406"/>
      <c r="CJ367" s="406"/>
      <c r="CK367" s="407"/>
      <c r="CL367" s="406"/>
      <c r="CM367" s="406"/>
      <c r="CN367" s="406"/>
      <c r="CO367" s="467"/>
      <c r="CP367" s="467"/>
      <c r="CQ367" s="407"/>
      <c r="CR367" s="406"/>
      <c r="CS367" s="406"/>
      <c r="CT367" s="407"/>
      <c r="CU367" s="406"/>
      <c r="CV367" s="406"/>
      <c r="CW367" s="407"/>
      <c r="CX367" s="467"/>
      <c r="CY367" s="467"/>
      <c r="CZ367" s="406"/>
      <c r="DA367" s="407"/>
      <c r="DB367" s="467"/>
      <c r="DC367" s="467"/>
      <c r="DD367" s="467"/>
      <c r="DE367" s="467"/>
      <c r="DF367" s="407"/>
    </row>
    <row r="368" spans="1:110" ht="8.4499999999999993" customHeight="1" x14ac:dyDescent="0.2">
      <c r="A368" s="130" t="s">
        <v>2145</v>
      </c>
      <c r="B368" s="104">
        <v>353</v>
      </c>
      <c r="C368" s="82" t="s">
        <v>2668</v>
      </c>
      <c r="D368" s="96">
        <v>22</v>
      </c>
      <c r="E368" s="82" t="s">
        <v>2034</v>
      </c>
      <c r="F368" s="82" t="s">
        <v>2024</v>
      </c>
      <c r="G368" s="97">
        <v>25000</v>
      </c>
      <c r="H368" s="98">
        <v>0.28000000000000003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7">
        <v>25000</v>
      </c>
      <c r="CA368" s="100">
        <v>100</v>
      </c>
      <c r="CB368" s="100">
        <v>100</v>
      </c>
      <c r="CC368" s="99"/>
      <c r="CD368" s="99"/>
      <c r="CE368" s="989">
        <v>100</v>
      </c>
      <c r="CF368" s="410"/>
      <c r="CG368" s="409"/>
      <c r="CH368" s="409"/>
      <c r="CI368" s="410"/>
      <c r="CJ368" s="409"/>
      <c r="CK368" s="407"/>
      <c r="CL368" s="406"/>
      <c r="CM368" s="406"/>
      <c r="CN368" s="406"/>
      <c r="CO368" s="467"/>
      <c r="CP368" s="467"/>
      <c r="CQ368" s="407"/>
      <c r="CR368" s="406"/>
      <c r="CS368" s="406"/>
      <c r="CT368" s="407"/>
      <c r="CU368" s="406"/>
      <c r="CV368" s="406"/>
      <c r="CW368" s="407"/>
      <c r="CX368" s="467"/>
      <c r="CY368" s="467"/>
      <c r="CZ368" s="406"/>
      <c r="DA368" s="407"/>
      <c r="DB368" s="467"/>
      <c r="DC368" s="467"/>
      <c r="DD368" s="467"/>
      <c r="DE368" s="467"/>
      <c r="DF368" s="407"/>
    </row>
    <row r="369" spans="1:110" ht="8.4499999999999993" customHeight="1" x14ac:dyDescent="0.2">
      <c r="A369" s="130" t="s">
        <v>715</v>
      </c>
      <c r="B369" s="103">
        <v>354</v>
      </c>
      <c r="C369" s="87" t="s">
        <v>374</v>
      </c>
      <c r="D369" s="103">
        <v>138</v>
      </c>
      <c r="E369" s="87" t="s">
        <v>2193</v>
      </c>
      <c r="F369" s="87" t="s">
        <v>2024</v>
      </c>
      <c r="G369" s="89">
        <v>28942.51</v>
      </c>
      <c r="H369" s="90">
        <v>0.33</v>
      </c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2">
        <v>1423.21</v>
      </c>
      <c r="BI369" s="90">
        <v>4.4000000000000004</v>
      </c>
      <c r="BJ369" s="90">
        <v>4.4000000000000004</v>
      </c>
      <c r="BK369" s="92">
        <v>1950.35</v>
      </c>
      <c r="BL369" s="90">
        <v>6.03</v>
      </c>
      <c r="BM369" s="91">
        <v>10.43</v>
      </c>
      <c r="BN369" s="92">
        <v>2737.73</v>
      </c>
      <c r="BO369" s="90">
        <v>8.3800000000000008</v>
      </c>
      <c r="BP369" s="91">
        <v>18.809999999999999</v>
      </c>
      <c r="BQ369" s="93">
        <v>700.72</v>
      </c>
      <c r="BR369" s="90">
        <v>2.04</v>
      </c>
      <c r="BS369" s="91">
        <v>20.85</v>
      </c>
      <c r="BT369" s="93">
        <v>241.06</v>
      </c>
      <c r="BU369" s="90">
        <v>0.7</v>
      </c>
      <c r="BV369" s="91">
        <v>21.55</v>
      </c>
      <c r="BW369" s="94"/>
      <c r="BX369" s="94"/>
      <c r="BY369" s="91">
        <v>21.55</v>
      </c>
      <c r="BZ369" s="89">
        <v>21889.439999999999</v>
      </c>
      <c r="CA369" s="91">
        <v>78.45</v>
      </c>
      <c r="CB369" s="93">
        <v>100</v>
      </c>
      <c r="CC369" s="94"/>
      <c r="CD369" s="94"/>
      <c r="CE369" s="988">
        <v>100</v>
      </c>
      <c r="CF369" s="410"/>
      <c r="CG369" s="409"/>
      <c r="CH369" s="407"/>
      <c r="CI369" s="406"/>
      <c r="CJ369" s="406"/>
      <c r="CK369" s="407"/>
      <c r="CL369" s="406"/>
      <c r="CM369" s="406"/>
      <c r="CN369" s="406"/>
      <c r="CO369" s="467"/>
      <c r="CP369" s="467"/>
      <c r="CQ369" s="407"/>
      <c r="CR369" s="406"/>
      <c r="CS369" s="406"/>
      <c r="CT369" s="407"/>
      <c r="CU369" s="406"/>
      <c r="CV369" s="406"/>
      <c r="CW369" s="407"/>
      <c r="CX369" s="467"/>
      <c r="CY369" s="467"/>
      <c r="CZ369" s="406"/>
      <c r="DA369" s="407"/>
      <c r="DB369" s="467"/>
      <c r="DC369" s="467"/>
      <c r="DD369" s="467"/>
      <c r="DE369" s="467"/>
      <c r="DF369" s="407"/>
    </row>
    <row r="370" spans="1:110" ht="8.4499999999999993" customHeight="1" x14ac:dyDescent="0.2">
      <c r="A370" s="130" t="s">
        <v>716</v>
      </c>
      <c r="B370" s="104">
        <v>355</v>
      </c>
      <c r="C370" s="82" t="s">
        <v>2669</v>
      </c>
      <c r="D370" s="96">
        <v>22</v>
      </c>
      <c r="E370" s="82" t="s">
        <v>2034</v>
      </c>
      <c r="F370" s="82" t="s">
        <v>2024</v>
      </c>
      <c r="G370" s="97">
        <v>15456.66</v>
      </c>
      <c r="H370" s="98">
        <v>0.18</v>
      </c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7">
        <v>15456.66</v>
      </c>
      <c r="CA370" s="100">
        <v>100</v>
      </c>
      <c r="CB370" s="100">
        <v>100</v>
      </c>
      <c r="CC370" s="99"/>
      <c r="CD370" s="99"/>
      <c r="CE370" s="989">
        <v>100</v>
      </c>
      <c r="CF370" s="403"/>
      <c r="CG370" s="404"/>
      <c r="CH370" s="405"/>
      <c r="CI370" s="460"/>
      <c r="CJ370" s="460"/>
      <c r="CK370" s="405"/>
      <c r="CL370" s="460"/>
      <c r="CM370" s="460"/>
      <c r="CN370" s="460"/>
      <c r="CO370" s="467"/>
      <c r="CP370" s="467"/>
      <c r="CQ370" s="407"/>
      <c r="CR370" s="406"/>
      <c r="CS370" s="406"/>
      <c r="CT370" s="407"/>
      <c r="CU370" s="406"/>
      <c r="CV370" s="406"/>
      <c r="CW370" s="407"/>
      <c r="CX370" s="467"/>
      <c r="CY370" s="467"/>
      <c r="CZ370" s="406"/>
      <c r="DA370" s="407"/>
      <c r="DB370" s="467"/>
      <c r="DC370" s="467"/>
      <c r="DD370" s="467"/>
      <c r="DE370" s="467"/>
      <c r="DF370" s="407"/>
    </row>
    <row r="371" spans="1:110" ht="8.4499999999999993" customHeight="1" x14ac:dyDescent="0.2">
      <c r="A371" s="130" t="s">
        <v>717</v>
      </c>
      <c r="B371" s="104">
        <v>356</v>
      </c>
      <c r="C371" s="82" t="s">
        <v>2670</v>
      </c>
      <c r="D371" s="96">
        <v>22</v>
      </c>
      <c r="E371" s="82" t="s">
        <v>2034</v>
      </c>
      <c r="F371" s="82" t="s">
        <v>2024</v>
      </c>
      <c r="G371" s="101">
        <v>6432.78</v>
      </c>
      <c r="H371" s="98">
        <v>7.0000000000000007E-2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101">
        <v>6432.78</v>
      </c>
      <c r="CA371" s="100">
        <v>100</v>
      </c>
      <c r="CB371" s="100">
        <v>100</v>
      </c>
      <c r="CC371" s="99"/>
      <c r="CD371" s="99"/>
      <c r="CE371" s="989">
        <v>100</v>
      </c>
      <c r="CF371" s="410"/>
      <c r="CG371" s="409"/>
      <c r="CH371" s="407"/>
      <c r="CI371" s="406"/>
      <c r="CJ371" s="406"/>
      <c r="CK371" s="407"/>
      <c r="CL371" s="406"/>
      <c r="CM371" s="406"/>
      <c r="CN371" s="406"/>
      <c r="CO371" s="467"/>
      <c r="CP371" s="467"/>
      <c r="CQ371" s="407"/>
      <c r="CR371" s="406"/>
      <c r="CS371" s="406"/>
      <c r="CT371" s="407"/>
      <c r="CU371" s="406"/>
      <c r="CV371" s="406"/>
      <c r="CW371" s="407"/>
      <c r="CX371" s="467"/>
      <c r="CY371" s="467"/>
      <c r="CZ371" s="406"/>
      <c r="DA371" s="407"/>
      <c r="DB371" s="467"/>
      <c r="DC371" s="467"/>
      <c r="DD371" s="467"/>
      <c r="DE371" s="467"/>
      <c r="DF371" s="407"/>
    </row>
    <row r="372" spans="1:110" ht="8.4499999999999993" customHeight="1" x14ac:dyDescent="0.2">
      <c r="A372" s="130" t="s">
        <v>2146</v>
      </c>
      <c r="B372" s="104">
        <v>357</v>
      </c>
      <c r="C372" s="82" t="s">
        <v>2671</v>
      </c>
      <c r="D372" s="96">
        <v>65</v>
      </c>
      <c r="E372" s="82" t="s">
        <v>2193</v>
      </c>
      <c r="F372" s="82" t="s">
        <v>2483</v>
      </c>
      <c r="G372" s="101">
        <v>5649.9</v>
      </c>
      <c r="H372" s="98">
        <v>0.06</v>
      </c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101">
        <v>1423.21</v>
      </c>
      <c r="BI372" s="102">
        <v>25.19</v>
      </c>
      <c r="BJ372" s="102">
        <v>25.19</v>
      </c>
      <c r="BK372" s="101">
        <v>1950.35</v>
      </c>
      <c r="BL372" s="102">
        <v>34.520000000000003</v>
      </c>
      <c r="BM372" s="102">
        <v>59.71</v>
      </c>
      <c r="BN372" s="101">
        <v>2258.27</v>
      </c>
      <c r="BO372" s="102">
        <v>39.97</v>
      </c>
      <c r="BP372" s="102">
        <v>99.68</v>
      </c>
      <c r="BQ372" s="102">
        <v>18.079999999999998</v>
      </c>
      <c r="BR372" s="98">
        <v>0.32</v>
      </c>
      <c r="BS372" s="100">
        <v>100</v>
      </c>
      <c r="BT372" s="99"/>
      <c r="BU372" s="99"/>
      <c r="BV372" s="100">
        <v>100</v>
      </c>
      <c r="BW372" s="99"/>
      <c r="BX372" s="99"/>
      <c r="BY372" s="100">
        <v>100</v>
      </c>
      <c r="BZ372" s="99"/>
      <c r="CA372" s="99"/>
      <c r="CB372" s="100">
        <v>100</v>
      </c>
      <c r="CC372" s="99"/>
      <c r="CD372" s="99"/>
      <c r="CE372" s="989">
        <v>100</v>
      </c>
      <c r="CF372" s="405"/>
      <c r="CG372" s="404"/>
      <c r="CH372" s="404"/>
      <c r="CI372" s="405"/>
      <c r="CJ372" s="462"/>
      <c r="CK372" s="405"/>
      <c r="CL372" s="460"/>
      <c r="CM372" s="460"/>
      <c r="CN372" s="460"/>
      <c r="CO372" s="467"/>
      <c r="CP372" s="467"/>
      <c r="CQ372" s="407"/>
      <c r="CR372" s="406"/>
      <c r="CS372" s="406"/>
      <c r="CT372" s="407"/>
      <c r="CU372" s="406"/>
      <c r="CV372" s="406"/>
      <c r="CW372" s="407"/>
      <c r="CX372" s="467"/>
      <c r="CY372" s="467"/>
      <c r="CZ372" s="406"/>
      <c r="DA372" s="407"/>
      <c r="DB372" s="467"/>
      <c r="DC372" s="467"/>
      <c r="DD372" s="467"/>
      <c r="DE372" s="467"/>
      <c r="DF372" s="407"/>
    </row>
    <row r="373" spans="1:110" ht="8.4499999999999993" customHeight="1" x14ac:dyDescent="0.2">
      <c r="A373" s="130" t="s">
        <v>2148</v>
      </c>
      <c r="B373" s="104">
        <v>358</v>
      </c>
      <c r="C373" s="82" t="s">
        <v>2672</v>
      </c>
      <c r="D373" s="96">
        <v>50</v>
      </c>
      <c r="E373" s="82" t="s">
        <v>2615</v>
      </c>
      <c r="F373" s="82" t="s">
        <v>2181</v>
      </c>
      <c r="G373" s="101">
        <v>1403.17</v>
      </c>
      <c r="H373" s="98">
        <v>0.02</v>
      </c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100">
        <v>479.46</v>
      </c>
      <c r="BO373" s="102">
        <v>34.17</v>
      </c>
      <c r="BP373" s="102">
        <v>34.17</v>
      </c>
      <c r="BQ373" s="100">
        <v>682.64</v>
      </c>
      <c r="BR373" s="102">
        <v>48.65</v>
      </c>
      <c r="BS373" s="102">
        <v>82.82</v>
      </c>
      <c r="BT373" s="100">
        <v>241.06</v>
      </c>
      <c r="BU373" s="102">
        <v>17.18</v>
      </c>
      <c r="BV373" s="100">
        <v>100</v>
      </c>
      <c r="BW373" s="99"/>
      <c r="BX373" s="99"/>
      <c r="BY373" s="100">
        <v>100</v>
      </c>
      <c r="BZ373" s="99"/>
      <c r="CA373" s="99"/>
      <c r="CB373" s="100">
        <v>100</v>
      </c>
      <c r="CC373" s="99"/>
      <c r="CD373" s="99"/>
      <c r="CE373" s="989">
        <v>100</v>
      </c>
      <c r="CF373" s="407"/>
      <c r="CG373" s="409"/>
      <c r="CH373" s="409"/>
      <c r="CI373" s="407"/>
      <c r="CJ373" s="408"/>
      <c r="CK373" s="407"/>
      <c r="CL373" s="406"/>
      <c r="CM373" s="406"/>
      <c r="CN373" s="406"/>
      <c r="CO373" s="467"/>
      <c r="CP373" s="467"/>
      <c r="CQ373" s="407"/>
      <c r="CR373" s="406"/>
      <c r="CS373" s="406"/>
      <c r="CT373" s="407"/>
      <c r="CU373" s="406"/>
      <c r="CV373" s="406"/>
      <c r="CW373" s="407"/>
      <c r="CX373" s="467"/>
      <c r="CY373" s="467"/>
      <c r="CZ373" s="406"/>
      <c r="DA373" s="407"/>
      <c r="DB373" s="467"/>
      <c r="DC373" s="467"/>
      <c r="DD373" s="467"/>
      <c r="DE373" s="467"/>
      <c r="DF373" s="407"/>
    </row>
    <row r="374" spans="1:110" ht="8.4499999999999993" customHeight="1" x14ac:dyDescent="0.2">
      <c r="A374" s="130" t="s">
        <v>718</v>
      </c>
      <c r="B374" s="103">
        <v>359</v>
      </c>
      <c r="C374" s="87" t="s">
        <v>1583</v>
      </c>
      <c r="D374" s="103">
        <v>128</v>
      </c>
      <c r="E374" s="87" t="s">
        <v>2171</v>
      </c>
      <c r="F374" s="87" t="s">
        <v>2024</v>
      </c>
      <c r="G374" s="105">
        <v>112333.1</v>
      </c>
      <c r="H374" s="90">
        <v>1.28</v>
      </c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89">
        <v>12630</v>
      </c>
      <c r="BL374" s="91">
        <v>11.24</v>
      </c>
      <c r="BM374" s="91">
        <v>11.24</v>
      </c>
      <c r="BN374" s="94"/>
      <c r="BO374" s="94"/>
      <c r="BP374" s="91">
        <v>11.24</v>
      </c>
      <c r="BQ374" s="94"/>
      <c r="BR374" s="94"/>
      <c r="BS374" s="91">
        <v>11.24</v>
      </c>
      <c r="BT374" s="89">
        <v>17750</v>
      </c>
      <c r="BU374" s="91">
        <v>15.8</v>
      </c>
      <c r="BV374" s="91">
        <v>27.04</v>
      </c>
      <c r="BW374" s="89">
        <v>25140.01</v>
      </c>
      <c r="BX374" s="91">
        <v>22.38</v>
      </c>
      <c r="BY374" s="91">
        <v>49.42</v>
      </c>
      <c r="BZ374" s="89">
        <v>56813.09</v>
      </c>
      <c r="CA374" s="91">
        <v>50.58</v>
      </c>
      <c r="CB374" s="93">
        <v>100</v>
      </c>
      <c r="CC374" s="94"/>
      <c r="CD374" s="94"/>
      <c r="CE374" s="988">
        <v>100</v>
      </c>
      <c r="CF374" s="411"/>
      <c r="CG374" s="404"/>
      <c r="CH374" s="404"/>
      <c r="CI374" s="411"/>
      <c r="CJ374" s="404"/>
      <c r="CK374" s="405"/>
      <c r="CL374" s="460"/>
      <c r="CM374" s="460"/>
      <c r="CN374" s="460"/>
      <c r="CO374" s="467"/>
      <c r="CP374" s="467"/>
      <c r="CQ374" s="407"/>
      <c r="CR374" s="406"/>
      <c r="CS374" s="406"/>
      <c r="CT374" s="407"/>
      <c r="CU374" s="406"/>
      <c r="CV374" s="406"/>
      <c r="CW374" s="407"/>
      <c r="CX374" s="467"/>
      <c r="CY374" s="467"/>
      <c r="CZ374" s="406"/>
      <c r="DA374" s="407"/>
      <c r="DB374" s="467"/>
      <c r="DC374" s="467"/>
      <c r="DD374" s="467"/>
      <c r="DE374" s="467"/>
      <c r="DF374" s="407"/>
    </row>
    <row r="375" spans="1:110" ht="8.4499999999999993" customHeight="1" x14ac:dyDescent="0.2">
      <c r="A375" s="130" t="s">
        <v>720</v>
      </c>
      <c r="B375" s="104">
        <v>360</v>
      </c>
      <c r="C375" s="82" t="s">
        <v>2673</v>
      </c>
      <c r="D375" s="96">
        <v>22</v>
      </c>
      <c r="E375" s="82" t="s">
        <v>2034</v>
      </c>
      <c r="F375" s="82" t="s">
        <v>2024</v>
      </c>
      <c r="G375" s="101">
        <v>7000</v>
      </c>
      <c r="H375" s="98">
        <v>0.08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101">
        <v>7000</v>
      </c>
      <c r="CA375" s="100">
        <v>100</v>
      </c>
      <c r="CB375" s="100">
        <v>100</v>
      </c>
      <c r="CC375" s="99"/>
      <c r="CD375" s="99"/>
      <c r="CE375" s="989">
        <v>100</v>
      </c>
      <c r="CF375" s="410"/>
      <c r="CG375" s="409"/>
      <c r="CH375" s="409"/>
      <c r="CI375" s="407"/>
      <c r="CJ375" s="409"/>
      <c r="CK375" s="407"/>
      <c r="CL375" s="406"/>
      <c r="CM375" s="406"/>
      <c r="CN375" s="406"/>
      <c r="CO375" s="467"/>
      <c r="CP375" s="467"/>
      <c r="CQ375" s="407"/>
      <c r="CR375" s="406"/>
      <c r="CS375" s="406"/>
      <c r="CT375" s="407"/>
      <c r="CU375" s="406"/>
      <c r="CV375" s="406"/>
      <c r="CW375" s="407"/>
      <c r="CX375" s="467"/>
      <c r="CY375" s="467"/>
      <c r="CZ375" s="406"/>
      <c r="DA375" s="407"/>
      <c r="DB375" s="467"/>
      <c r="DC375" s="467"/>
      <c r="DD375" s="467"/>
      <c r="DE375" s="467"/>
      <c r="DF375" s="407"/>
    </row>
    <row r="376" spans="1:110" ht="8.4499999999999993" customHeight="1" x14ac:dyDescent="0.2">
      <c r="A376" s="130" t="s">
        <v>721</v>
      </c>
      <c r="B376" s="104">
        <v>361</v>
      </c>
      <c r="C376" s="82" t="s">
        <v>2674</v>
      </c>
      <c r="D376" s="96">
        <v>26</v>
      </c>
      <c r="E376" s="82" t="s">
        <v>2196</v>
      </c>
      <c r="F376" s="82" t="s">
        <v>2566</v>
      </c>
      <c r="G376" s="100">
        <v>300</v>
      </c>
      <c r="H376" s="98">
        <v>0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100">
        <v>140.01</v>
      </c>
      <c r="BX376" s="102">
        <v>46.67</v>
      </c>
      <c r="BY376" s="102">
        <v>46.67</v>
      </c>
      <c r="BZ376" s="100">
        <v>159.99</v>
      </c>
      <c r="CA376" s="102">
        <v>53.33</v>
      </c>
      <c r="CB376" s="100">
        <v>100</v>
      </c>
      <c r="CC376" s="99"/>
      <c r="CD376" s="99"/>
      <c r="CE376" s="989">
        <v>100</v>
      </c>
      <c r="CF376" s="410"/>
      <c r="CG376" s="409"/>
      <c r="CH376" s="409"/>
      <c r="CI376" s="410"/>
      <c r="CJ376" s="409"/>
      <c r="CK376" s="407"/>
      <c r="CL376" s="406"/>
      <c r="CM376" s="406"/>
      <c r="CN376" s="406"/>
      <c r="CO376" s="467"/>
      <c r="CP376" s="467"/>
      <c r="CQ376" s="407"/>
      <c r="CR376" s="406"/>
      <c r="CS376" s="406"/>
      <c r="CT376" s="407"/>
      <c r="CU376" s="406"/>
      <c r="CV376" s="406"/>
      <c r="CW376" s="407"/>
      <c r="CX376" s="467"/>
      <c r="CY376" s="467"/>
      <c r="CZ376" s="406"/>
      <c r="DA376" s="407"/>
      <c r="DB376" s="467"/>
      <c r="DC376" s="467"/>
      <c r="DD376" s="467"/>
      <c r="DE376" s="467"/>
      <c r="DF376" s="407"/>
    </row>
    <row r="377" spans="1:110" ht="8.4499999999999993" customHeight="1" x14ac:dyDescent="0.2">
      <c r="A377" s="130" t="s">
        <v>815</v>
      </c>
      <c r="B377" s="104">
        <v>362</v>
      </c>
      <c r="C377" s="82" t="s">
        <v>2675</v>
      </c>
      <c r="D377" s="96">
        <v>20</v>
      </c>
      <c r="E377" s="82" t="s">
        <v>2171</v>
      </c>
      <c r="F377" s="82" t="s">
        <v>2170</v>
      </c>
      <c r="G377" s="101">
        <v>2238</v>
      </c>
      <c r="H377" s="98">
        <v>0.03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101">
        <v>2238</v>
      </c>
      <c r="BL377" s="100">
        <v>100</v>
      </c>
      <c r="BM377" s="100">
        <v>100</v>
      </c>
      <c r="BN377" s="99"/>
      <c r="BO377" s="99"/>
      <c r="BP377" s="100">
        <v>100</v>
      </c>
      <c r="BQ377" s="99"/>
      <c r="BR377" s="99"/>
      <c r="BS377" s="100">
        <v>100</v>
      </c>
      <c r="BT377" s="99"/>
      <c r="BU377" s="99"/>
      <c r="BV377" s="100">
        <v>100</v>
      </c>
      <c r="BW377" s="99"/>
      <c r="BX377" s="99"/>
      <c r="BY377" s="100">
        <v>100</v>
      </c>
      <c r="BZ377" s="99"/>
      <c r="CA377" s="99"/>
      <c r="CB377" s="100">
        <v>100</v>
      </c>
      <c r="CC377" s="99"/>
      <c r="CD377" s="99"/>
      <c r="CE377" s="989">
        <v>100</v>
      </c>
      <c r="CF377" s="410"/>
      <c r="CG377" s="409"/>
      <c r="CH377" s="409"/>
      <c r="CI377" s="410"/>
      <c r="CJ377" s="409"/>
      <c r="CK377" s="407"/>
      <c r="CL377" s="406"/>
      <c r="CM377" s="406"/>
      <c r="CN377" s="406"/>
      <c r="CO377" s="467"/>
      <c r="CP377" s="467"/>
      <c r="CQ377" s="407"/>
      <c r="CR377" s="406"/>
      <c r="CS377" s="406"/>
      <c r="CT377" s="407"/>
      <c r="CU377" s="406"/>
      <c r="CV377" s="406"/>
      <c r="CW377" s="407"/>
      <c r="CX377" s="467"/>
      <c r="CY377" s="467"/>
      <c r="CZ377" s="406"/>
      <c r="DA377" s="407"/>
      <c r="DB377" s="467"/>
      <c r="DC377" s="467"/>
      <c r="DD377" s="467"/>
      <c r="DE377" s="467"/>
      <c r="DF377" s="407"/>
    </row>
    <row r="378" spans="1:110" ht="8.4499999999999993" customHeight="1" x14ac:dyDescent="0.2">
      <c r="A378" s="130" t="s">
        <v>816</v>
      </c>
      <c r="B378" s="104">
        <v>363</v>
      </c>
      <c r="C378" s="82" t="s">
        <v>2676</v>
      </c>
      <c r="D378" s="96">
        <v>20</v>
      </c>
      <c r="E378" s="82" t="s">
        <v>2171</v>
      </c>
      <c r="F378" s="82" t="s">
        <v>2170</v>
      </c>
      <c r="G378" s="101">
        <v>4018</v>
      </c>
      <c r="H378" s="98">
        <v>0.05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101">
        <v>4018</v>
      </c>
      <c r="BL378" s="100">
        <v>100</v>
      </c>
      <c r="BM378" s="100">
        <v>100</v>
      </c>
      <c r="BN378" s="99"/>
      <c r="BO378" s="99"/>
      <c r="BP378" s="100">
        <v>100</v>
      </c>
      <c r="BQ378" s="99"/>
      <c r="BR378" s="99"/>
      <c r="BS378" s="100">
        <v>100</v>
      </c>
      <c r="BT378" s="99"/>
      <c r="BU378" s="99"/>
      <c r="BV378" s="100">
        <v>100</v>
      </c>
      <c r="BW378" s="99"/>
      <c r="BX378" s="99"/>
      <c r="BY378" s="100">
        <v>100</v>
      </c>
      <c r="BZ378" s="99"/>
      <c r="CA378" s="99"/>
      <c r="CB378" s="100">
        <v>100</v>
      </c>
      <c r="CC378" s="99"/>
      <c r="CD378" s="99"/>
      <c r="CE378" s="989">
        <v>100</v>
      </c>
      <c r="CF378" s="410"/>
      <c r="CG378" s="409"/>
      <c r="CH378" s="409"/>
      <c r="CI378" s="410"/>
      <c r="CJ378" s="409"/>
      <c r="CK378" s="407"/>
      <c r="CL378" s="406"/>
      <c r="CM378" s="406"/>
      <c r="CN378" s="406"/>
      <c r="CO378" s="467"/>
      <c r="CP378" s="467"/>
      <c r="CQ378" s="407"/>
      <c r="CR378" s="406"/>
      <c r="CS378" s="406"/>
      <c r="CT378" s="407"/>
      <c r="CU378" s="406"/>
      <c r="CV378" s="406"/>
      <c r="CW378" s="407"/>
      <c r="CX378" s="467"/>
      <c r="CY378" s="467"/>
      <c r="CZ378" s="406"/>
      <c r="DA378" s="407"/>
      <c r="DB378" s="467"/>
      <c r="DC378" s="467"/>
      <c r="DD378" s="467"/>
      <c r="DE378" s="467"/>
      <c r="DF378" s="407"/>
    </row>
    <row r="379" spans="1:110" ht="8.4499999999999993" customHeight="1" x14ac:dyDescent="0.2">
      <c r="A379" s="130" t="s">
        <v>817</v>
      </c>
      <c r="B379" s="104">
        <v>364</v>
      </c>
      <c r="C379" s="82" t="s">
        <v>2677</v>
      </c>
      <c r="D379" s="96">
        <v>20</v>
      </c>
      <c r="E379" s="82" t="s">
        <v>2171</v>
      </c>
      <c r="F379" s="82" t="s">
        <v>2170</v>
      </c>
      <c r="G379" s="101">
        <v>6374</v>
      </c>
      <c r="H379" s="98">
        <v>7.0000000000000007E-2</v>
      </c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101">
        <v>6374</v>
      </c>
      <c r="BL379" s="100">
        <v>100</v>
      </c>
      <c r="BM379" s="100">
        <v>100</v>
      </c>
      <c r="BN379" s="99"/>
      <c r="BO379" s="99"/>
      <c r="BP379" s="100">
        <v>100</v>
      </c>
      <c r="BQ379" s="99"/>
      <c r="BR379" s="99"/>
      <c r="BS379" s="100">
        <v>100</v>
      </c>
      <c r="BT379" s="99"/>
      <c r="BU379" s="99"/>
      <c r="BV379" s="100">
        <v>100</v>
      </c>
      <c r="BW379" s="99"/>
      <c r="BX379" s="99"/>
      <c r="BY379" s="100">
        <v>100</v>
      </c>
      <c r="BZ379" s="99"/>
      <c r="CA379" s="99"/>
      <c r="CB379" s="100">
        <v>100</v>
      </c>
      <c r="CC379" s="99"/>
      <c r="CD379" s="99"/>
      <c r="CE379" s="989">
        <v>100</v>
      </c>
      <c r="CF379" s="403"/>
      <c r="CG379" s="404"/>
      <c r="CH379" s="404"/>
      <c r="CI379" s="403"/>
      <c r="CJ379" s="404"/>
      <c r="CK379" s="405"/>
      <c r="CL379" s="460"/>
      <c r="CM379" s="460"/>
      <c r="CN379" s="460"/>
      <c r="CO379" s="467"/>
      <c r="CP379" s="467"/>
      <c r="CQ379" s="407"/>
      <c r="CR379" s="406"/>
      <c r="CS379" s="406"/>
      <c r="CT379" s="407"/>
      <c r="CU379" s="406"/>
      <c r="CV379" s="406"/>
      <c r="CW379" s="407"/>
      <c r="CX379" s="467"/>
      <c r="CY379" s="467"/>
      <c r="CZ379" s="406"/>
      <c r="DA379" s="407"/>
      <c r="DB379" s="467"/>
      <c r="DC379" s="467"/>
      <c r="DD379" s="467"/>
      <c r="DE379" s="467"/>
      <c r="DF379" s="407"/>
    </row>
    <row r="380" spans="1:110" ht="8.4499999999999993" customHeight="1" x14ac:dyDescent="0.2">
      <c r="A380" s="130" t="s">
        <v>819</v>
      </c>
      <c r="B380" s="104">
        <v>365</v>
      </c>
      <c r="C380" s="82" t="s">
        <v>2678</v>
      </c>
      <c r="D380" s="96">
        <v>44</v>
      </c>
      <c r="E380" s="82" t="s">
        <v>2025</v>
      </c>
      <c r="F380" s="82" t="s">
        <v>2024</v>
      </c>
      <c r="G380" s="97">
        <v>50000</v>
      </c>
      <c r="H380" s="98">
        <v>0.56999999999999995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7">
        <v>25000</v>
      </c>
      <c r="BX380" s="102">
        <v>50</v>
      </c>
      <c r="BY380" s="102">
        <v>50</v>
      </c>
      <c r="BZ380" s="97">
        <v>25000</v>
      </c>
      <c r="CA380" s="102">
        <v>50</v>
      </c>
      <c r="CB380" s="100">
        <v>100</v>
      </c>
      <c r="CC380" s="99"/>
      <c r="CD380" s="99"/>
      <c r="CE380" s="989">
        <v>100</v>
      </c>
      <c r="CF380" s="407"/>
      <c r="CG380" s="409"/>
      <c r="CH380" s="409"/>
      <c r="CI380" s="407"/>
      <c r="CJ380" s="409"/>
      <c r="CK380" s="407"/>
      <c r="CL380" s="406"/>
      <c r="CM380" s="406"/>
      <c r="CN380" s="406"/>
      <c r="CO380" s="467"/>
      <c r="CP380" s="467"/>
      <c r="CQ380" s="407"/>
      <c r="CR380" s="406"/>
      <c r="CS380" s="406"/>
      <c r="CT380" s="407"/>
      <c r="CU380" s="406"/>
      <c r="CV380" s="406"/>
      <c r="CW380" s="407"/>
      <c r="CX380" s="467"/>
      <c r="CY380" s="467"/>
      <c r="CZ380" s="406"/>
      <c r="DA380" s="407"/>
      <c r="DB380" s="467"/>
      <c r="DC380" s="467"/>
      <c r="DD380" s="467"/>
      <c r="DE380" s="467"/>
      <c r="DF380" s="407"/>
    </row>
    <row r="381" spans="1:110" ht="8.4499999999999993" customHeight="1" x14ac:dyDescent="0.2">
      <c r="A381" s="130" t="s">
        <v>821</v>
      </c>
      <c r="B381" s="104">
        <v>366</v>
      </c>
      <c r="C381" s="82" t="s">
        <v>2679</v>
      </c>
      <c r="D381" s="96">
        <v>20</v>
      </c>
      <c r="E381" s="82" t="s">
        <v>2033</v>
      </c>
      <c r="F381" s="82" t="s">
        <v>2010</v>
      </c>
      <c r="G381" s="97">
        <v>17750</v>
      </c>
      <c r="H381" s="98">
        <v>0.2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7">
        <v>17750</v>
      </c>
      <c r="BU381" s="100">
        <v>100</v>
      </c>
      <c r="BV381" s="100">
        <v>100</v>
      </c>
      <c r="BW381" s="99"/>
      <c r="BX381" s="99"/>
      <c r="BY381" s="100">
        <v>100</v>
      </c>
      <c r="BZ381" s="99"/>
      <c r="CA381" s="99"/>
      <c r="CB381" s="100">
        <v>100</v>
      </c>
      <c r="CC381" s="99"/>
      <c r="CD381" s="99"/>
      <c r="CE381" s="989">
        <v>100</v>
      </c>
      <c r="CF381" s="410"/>
      <c r="CG381" s="409"/>
      <c r="CH381" s="409"/>
      <c r="CI381" s="410"/>
      <c r="CJ381" s="409"/>
      <c r="CK381" s="407"/>
      <c r="CL381" s="406"/>
      <c r="CM381" s="406"/>
      <c r="CN381" s="406"/>
      <c r="CO381" s="467"/>
      <c r="CP381" s="467"/>
      <c r="CQ381" s="407"/>
      <c r="CR381" s="406"/>
      <c r="CS381" s="406"/>
      <c r="CT381" s="407"/>
      <c r="CU381" s="406"/>
      <c r="CV381" s="406"/>
      <c r="CW381" s="407"/>
      <c r="CX381" s="467"/>
      <c r="CY381" s="467"/>
      <c r="CZ381" s="406"/>
      <c r="DA381" s="407"/>
      <c r="DB381" s="467"/>
      <c r="DC381" s="467"/>
      <c r="DD381" s="467"/>
      <c r="DE381" s="467"/>
      <c r="DF381" s="407"/>
    </row>
    <row r="382" spans="1:110" ht="8.4499999999999993" customHeight="1" x14ac:dyDescent="0.2">
      <c r="A382" s="130" t="s">
        <v>822</v>
      </c>
      <c r="B382" s="104">
        <v>367</v>
      </c>
      <c r="C382" s="82" t="s">
        <v>2680</v>
      </c>
      <c r="D382" s="96">
        <v>14</v>
      </c>
      <c r="E382" s="82" t="s">
        <v>2034</v>
      </c>
      <c r="F382" s="82" t="s">
        <v>2566</v>
      </c>
      <c r="G382" s="97">
        <v>24653.1</v>
      </c>
      <c r="H382" s="98">
        <v>0.28000000000000003</v>
      </c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7">
        <v>24653.1</v>
      </c>
      <c r="CA382" s="100">
        <v>100</v>
      </c>
      <c r="CB382" s="100">
        <v>100</v>
      </c>
      <c r="CC382" s="99"/>
      <c r="CD382" s="99"/>
      <c r="CE382" s="989">
        <v>100</v>
      </c>
      <c r="CF382" s="411"/>
      <c r="CG382" s="404"/>
      <c r="CH382" s="404"/>
      <c r="CI382" s="405"/>
      <c r="CJ382" s="462"/>
      <c r="CK382" s="405"/>
      <c r="CL382" s="460"/>
      <c r="CM382" s="460"/>
      <c r="CN382" s="460"/>
      <c r="CO382" s="467"/>
      <c r="CP382" s="467"/>
      <c r="CQ382" s="407"/>
      <c r="CR382" s="406"/>
      <c r="CS382" s="406"/>
      <c r="CT382" s="407"/>
      <c r="CU382" s="406"/>
      <c r="CV382" s="406"/>
      <c r="CW382" s="407"/>
      <c r="CX382" s="467"/>
      <c r="CY382" s="467"/>
      <c r="CZ382" s="406"/>
      <c r="DA382" s="407"/>
      <c r="DB382" s="467"/>
      <c r="DC382" s="467"/>
      <c r="DD382" s="467"/>
      <c r="DE382" s="467"/>
      <c r="DF382" s="407"/>
    </row>
    <row r="383" spans="1:110" ht="8.4499999999999993" customHeight="1" x14ac:dyDescent="0.2">
      <c r="B383" s="480" t="s">
        <v>207</v>
      </c>
      <c r="C383" s="480" t="s">
        <v>62</v>
      </c>
      <c r="D383" s="480"/>
      <c r="E383" s="480"/>
      <c r="F383" s="480"/>
      <c r="G383" s="107">
        <v>5458222.3700000001</v>
      </c>
      <c r="H383" s="793"/>
      <c r="I383" s="935">
        <v>79411.149999999994</v>
      </c>
      <c r="J383" s="108">
        <v>1.45</v>
      </c>
      <c r="K383" s="793"/>
      <c r="L383" s="935">
        <v>46136.61</v>
      </c>
      <c r="M383" s="108">
        <v>0.85</v>
      </c>
      <c r="N383" s="793"/>
      <c r="O383" s="109">
        <v>153151.35</v>
      </c>
      <c r="P383" s="108">
        <v>2.81</v>
      </c>
      <c r="Q383" s="793"/>
      <c r="R383" s="109">
        <v>224019.68</v>
      </c>
      <c r="S383" s="108">
        <v>4.0999999999999996</v>
      </c>
      <c r="T383" s="793"/>
      <c r="U383" s="109">
        <v>158024.06</v>
      </c>
      <c r="V383" s="108">
        <v>2.9</v>
      </c>
      <c r="W383" s="793"/>
      <c r="X383" s="109">
        <v>233062.93</v>
      </c>
      <c r="Y383" s="108">
        <v>4.2699999999999996</v>
      </c>
      <c r="Z383" s="793"/>
      <c r="AA383" s="109">
        <v>190545.17</v>
      </c>
      <c r="AB383" s="108">
        <v>3.49</v>
      </c>
      <c r="AC383" s="793"/>
      <c r="AD383" s="109">
        <v>189711.28</v>
      </c>
      <c r="AE383" s="108">
        <v>3.48</v>
      </c>
      <c r="AF383" s="793"/>
      <c r="AG383" s="109">
        <v>134207.6</v>
      </c>
      <c r="AH383" s="108">
        <v>2.46</v>
      </c>
      <c r="AI383" s="793"/>
      <c r="AJ383" s="109">
        <v>220549.31</v>
      </c>
      <c r="AK383" s="108">
        <v>4.04</v>
      </c>
      <c r="AL383" s="793"/>
      <c r="AM383" s="109">
        <v>298160.03000000003</v>
      </c>
      <c r="AN383" s="108">
        <v>5.46</v>
      </c>
      <c r="AO383" s="793"/>
      <c r="AP383" s="109">
        <v>206828.13</v>
      </c>
      <c r="AQ383" s="108">
        <v>3.79</v>
      </c>
      <c r="AR383" s="793"/>
      <c r="AS383" s="109">
        <v>114402.78</v>
      </c>
      <c r="AT383" s="108">
        <v>2.1</v>
      </c>
      <c r="AU383" s="793"/>
      <c r="AV383" s="109">
        <v>174394.16</v>
      </c>
      <c r="AW383" s="108">
        <v>3.2</v>
      </c>
      <c r="AX383" s="793"/>
      <c r="AY383" s="109">
        <v>193816.98</v>
      </c>
      <c r="AZ383" s="108">
        <v>3.55</v>
      </c>
      <c r="BA383" s="793"/>
      <c r="BB383" s="109">
        <v>241894.95</v>
      </c>
      <c r="BC383" s="108">
        <v>4.43</v>
      </c>
      <c r="BD383" s="793"/>
      <c r="BE383" s="109">
        <v>277471.48</v>
      </c>
      <c r="BF383" s="108">
        <v>5.08</v>
      </c>
      <c r="BG383" s="793"/>
      <c r="BH383" s="109">
        <v>258429.5</v>
      </c>
      <c r="BI383" s="108">
        <v>4.7300000000000004</v>
      </c>
      <c r="BJ383" s="793"/>
      <c r="BK383" s="109">
        <v>173572.45</v>
      </c>
      <c r="BL383" s="108">
        <v>3.18</v>
      </c>
      <c r="BM383" s="793"/>
      <c r="BN383" s="109">
        <v>329322.03999999998</v>
      </c>
      <c r="BO383" s="108">
        <v>6.03</v>
      </c>
      <c r="BP383" s="793"/>
      <c r="BQ383" s="109">
        <v>414091.62</v>
      </c>
      <c r="BR383" s="108">
        <v>7.59</v>
      </c>
      <c r="BS383" s="793"/>
      <c r="BT383" s="109">
        <v>377134.83</v>
      </c>
      <c r="BU383" s="108">
        <v>6.91</v>
      </c>
      <c r="BV383" s="793"/>
      <c r="BW383" s="109">
        <v>315966.42</v>
      </c>
      <c r="BX383" s="108">
        <v>5.79</v>
      </c>
      <c r="BY383" s="793"/>
      <c r="BZ383" s="109">
        <v>253736.17</v>
      </c>
      <c r="CA383" s="108">
        <v>4.6500000000000004</v>
      </c>
      <c r="CB383" s="793"/>
      <c r="CC383" s="935">
        <v>15332.34</v>
      </c>
      <c r="CD383" s="108">
        <v>0.28000000000000003</v>
      </c>
      <c r="CE383" s="987"/>
      <c r="CF383" s="459"/>
      <c r="CG383" s="404"/>
      <c r="CH383" s="460"/>
      <c r="CI383" s="461"/>
      <c r="CJ383" s="462"/>
      <c r="CK383" s="460"/>
      <c r="CL383" s="460"/>
      <c r="CM383" s="460"/>
      <c r="CN383" s="460"/>
      <c r="CO383" s="467"/>
      <c r="CP383" s="467"/>
      <c r="CQ383" s="407"/>
      <c r="CR383" s="406"/>
      <c r="CS383" s="406"/>
      <c r="CT383" s="407"/>
      <c r="CU383" s="406"/>
      <c r="CV383" s="406"/>
      <c r="CW383" s="407"/>
      <c r="CX383" s="467"/>
      <c r="CY383" s="467"/>
      <c r="CZ383" s="406"/>
      <c r="DA383" s="407"/>
      <c r="DB383" s="467"/>
      <c r="DC383" s="467"/>
      <c r="DD383" s="467"/>
      <c r="DE383" s="467"/>
      <c r="DF383" s="407"/>
    </row>
    <row r="384" spans="1:110" ht="8.4499999999999993" customHeight="1" x14ac:dyDescent="0.2">
      <c r="B384" s="480" t="s">
        <v>208</v>
      </c>
      <c r="C384" s="480" t="s">
        <v>63</v>
      </c>
      <c r="D384" s="480"/>
      <c r="E384" s="480"/>
      <c r="F384" s="480"/>
      <c r="G384" s="480"/>
      <c r="H384" s="480"/>
      <c r="I384" s="935">
        <v>79411.149999999994</v>
      </c>
      <c r="J384" s="793"/>
      <c r="K384" s="108">
        <v>1.45</v>
      </c>
      <c r="L384" s="109">
        <v>125547.76</v>
      </c>
      <c r="M384" s="793"/>
      <c r="N384" s="108">
        <v>2.2999999999999998</v>
      </c>
      <c r="O384" s="109">
        <v>278699.12</v>
      </c>
      <c r="P384" s="793"/>
      <c r="Q384" s="108">
        <v>5.1100000000000003</v>
      </c>
      <c r="R384" s="109">
        <v>502718.8</v>
      </c>
      <c r="S384" s="793"/>
      <c r="T384" s="108">
        <v>9.2100000000000009</v>
      </c>
      <c r="U384" s="109">
        <v>660742.86</v>
      </c>
      <c r="V384" s="793"/>
      <c r="W384" s="110">
        <v>12.11</v>
      </c>
      <c r="X384" s="109">
        <v>893805.79</v>
      </c>
      <c r="Y384" s="793"/>
      <c r="Z384" s="110">
        <v>16.38</v>
      </c>
      <c r="AA384" s="107">
        <v>1084350.96</v>
      </c>
      <c r="AB384" s="793"/>
      <c r="AC384" s="110">
        <v>19.87</v>
      </c>
      <c r="AD384" s="107">
        <v>1274062.24</v>
      </c>
      <c r="AE384" s="793"/>
      <c r="AF384" s="110">
        <v>23.34</v>
      </c>
      <c r="AG384" s="107">
        <v>1408269.85</v>
      </c>
      <c r="AH384" s="793"/>
      <c r="AI384" s="110">
        <v>25.8</v>
      </c>
      <c r="AJ384" s="107">
        <v>1628819.16</v>
      </c>
      <c r="AK384" s="793"/>
      <c r="AL384" s="110">
        <v>29.84</v>
      </c>
      <c r="AM384" s="107">
        <v>1926979.19</v>
      </c>
      <c r="AN384" s="793"/>
      <c r="AO384" s="110">
        <v>35.299999999999997</v>
      </c>
      <c r="AP384" s="107">
        <v>2133807.3199999998</v>
      </c>
      <c r="AQ384" s="793"/>
      <c r="AR384" s="110">
        <v>39.090000000000003</v>
      </c>
      <c r="AS384" s="107">
        <v>2248210.1</v>
      </c>
      <c r="AT384" s="793"/>
      <c r="AU384" s="110">
        <v>41.19</v>
      </c>
      <c r="AV384" s="107">
        <v>2422604.2599999998</v>
      </c>
      <c r="AW384" s="793"/>
      <c r="AX384" s="110">
        <v>44.38</v>
      </c>
      <c r="AY384" s="107">
        <v>2616421.2400000002</v>
      </c>
      <c r="AZ384" s="793"/>
      <c r="BA384" s="110">
        <v>47.94</v>
      </c>
      <c r="BB384" s="107">
        <v>2858316.19</v>
      </c>
      <c r="BC384" s="793"/>
      <c r="BD384" s="110">
        <v>52.37</v>
      </c>
      <c r="BE384" s="107">
        <v>3135787.67</v>
      </c>
      <c r="BF384" s="793"/>
      <c r="BG384" s="110">
        <v>57.45</v>
      </c>
      <c r="BH384" s="107">
        <v>3394217.16</v>
      </c>
      <c r="BI384" s="793"/>
      <c r="BJ384" s="110">
        <v>62.19</v>
      </c>
      <c r="BK384" s="107">
        <v>3567789.62</v>
      </c>
      <c r="BL384" s="793"/>
      <c r="BM384" s="110">
        <v>65.37</v>
      </c>
      <c r="BN384" s="107">
        <v>3897111.65</v>
      </c>
      <c r="BO384" s="793"/>
      <c r="BP384" s="110">
        <v>71.400000000000006</v>
      </c>
      <c r="BQ384" s="107">
        <v>4311203.28</v>
      </c>
      <c r="BR384" s="793"/>
      <c r="BS384" s="110">
        <v>78.989999999999995</v>
      </c>
      <c r="BT384" s="107">
        <v>4688338.1100000003</v>
      </c>
      <c r="BU384" s="793"/>
      <c r="BV384" s="110">
        <v>85.89</v>
      </c>
      <c r="BW384" s="107">
        <v>5004304.53</v>
      </c>
      <c r="BX384" s="793"/>
      <c r="BY384" s="110">
        <v>91.68</v>
      </c>
      <c r="BZ384" s="107">
        <v>5258040.7</v>
      </c>
      <c r="CA384" s="793"/>
      <c r="CB384" s="110">
        <v>96.33</v>
      </c>
      <c r="CC384" s="107">
        <v>5273373.04</v>
      </c>
      <c r="CD384" s="793"/>
      <c r="CE384" s="992">
        <v>96.61</v>
      </c>
      <c r="CF384" s="459"/>
      <c r="CG384" s="460"/>
      <c r="CH384" s="404"/>
      <c r="CI384" s="459"/>
      <c r="CJ384" s="460"/>
      <c r="CK384" s="405"/>
      <c r="CL384" s="460"/>
      <c r="CM384" s="460"/>
      <c r="CN384" s="460"/>
      <c r="CO384" s="467"/>
      <c r="CP384" s="467"/>
      <c r="CQ384" s="407"/>
      <c r="CR384" s="406"/>
      <c r="CS384" s="406"/>
      <c r="CT384" s="407"/>
      <c r="CU384" s="406"/>
      <c r="CV384" s="406"/>
      <c r="CW384" s="407"/>
      <c r="CX384" s="467"/>
      <c r="CY384" s="467"/>
      <c r="CZ384" s="406"/>
      <c r="DA384" s="407"/>
      <c r="DB384" s="467"/>
      <c r="DC384" s="467"/>
      <c r="DD384" s="467"/>
      <c r="DE384" s="467"/>
      <c r="DF384" s="407"/>
    </row>
    <row r="385" spans="1:110" ht="8.4499999999999993" customHeight="1" x14ac:dyDescent="0.2"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387"/>
      <c r="CG385" s="387"/>
      <c r="CH385" s="387"/>
      <c r="CI385" s="387"/>
      <c r="CJ385" s="387"/>
      <c r="CK385" s="387"/>
      <c r="CL385" s="387"/>
      <c r="CM385" s="387"/>
      <c r="CN385" s="387"/>
      <c r="CO385" s="466"/>
      <c r="CP385" s="464"/>
      <c r="CQ385" s="404"/>
      <c r="CR385" s="403"/>
      <c r="CS385" s="462"/>
      <c r="CT385" s="404"/>
      <c r="CU385" s="403"/>
      <c r="CV385" s="404"/>
      <c r="CW385" s="404"/>
      <c r="CX385" s="465"/>
      <c r="CY385" s="464"/>
      <c r="CZ385" s="462"/>
      <c r="DA385" s="404"/>
      <c r="DB385" s="471"/>
      <c r="DC385" s="464"/>
      <c r="DD385" s="466"/>
      <c r="DE385" s="464"/>
      <c r="DF385" s="405"/>
    </row>
    <row r="386" spans="1:110" ht="8.4499999999999993" customHeight="1" x14ac:dyDescent="0.2">
      <c r="A386" s="130" t="s">
        <v>75</v>
      </c>
      <c r="B386" s="86">
        <v>1</v>
      </c>
      <c r="C386" s="87" t="s">
        <v>64</v>
      </c>
      <c r="D386" s="103">
        <v>511</v>
      </c>
      <c r="E386" s="87" t="s">
        <v>1557</v>
      </c>
      <c r="F386" s="87" t="s">
        <v>2024</v>
      </c>
      <c r="G386" s="105">
        <v>174469.87</v>
      </c>
      <c r="H386" s="90">
        <v>1.98</v>
      </c>
      <c r="I386" s="105">
        <v>112976.66</v>
      </c>
      <c r="J386" s="91">
        <v>64.75</v>
      </c>
      <c r="K386" s="91">
        <v>64.75</v>
      </c>
      <c r="L386" s="92">
        <v>1200.3699999999999</v>
      </c>
      <c r="M386" s="90">
        <v>0.69</v>
      </c>
      <c r="N386" s="91">
        <v>65.44</v>
      </c>
      <c r="O386" s="92">
        <v>1200.3699999999999</v>
      </c>
      <c r="P386" s="90">
        <v>0.69</v>
      </c>
      <c r="Q386" s="91">
        <v>66.13</v>
      </c>
      <c r="R386" s="92">
        <v>1200.3699999999999</v>
      </c>
      <c r="S386" s="90">
        <v>0.69</v>
      </c>
      <c r="T386" s="91">
        <v>66.819999999999993</v>
      </c>
      <c r="U386" s="92">
        <v>1141.95</v>
      </c>
      <c r="V386" s="90">
        <v>0.65</v>
      </c>
      <c r="W386" s="91">
        <v>67.47</v>
      </c>
      <c r="X386" s="92">
        <v>1258.78</v>
      </c>
      <c r="Y386" s="90">
        <v>0.72</v>
      </c>
      <c r="Z386" s="91">
        <v>68.19</v>
      </c>
      <c r="AA386" s="89">
        <v>15940.47</v>
      </c>
      <c r="AB386" s="90">
        <v>9.14</v>
      </c>
      <c r="AC386" s="91">
        <v>77.33</v>
      </c>
      <c r="AD386" s="92">
        <v>1141.95</v>
      </c>
      <c r="AE386" s="90">
        <v>0.65</v>
      </c>
      <c r="AF386" s="91">
        <v>77.989999999999995</v>
      </c>
      <c r="AG386" s="92">
        <v>1314.27</v>
      </c>
      <c r="AH386" s="90">
        <v>0.75</v>
      </c>
      <c r="AI386" s="91">
        <v>78.739999999999995</v>
      </c>
      <c r="AJ386" s="92">
        <v>1200.3699999999999</v>
      </c>
      <c r="AK386" s="90">
        <v>0.69</v>
      </c>
      <c r="AL386" s="91">
        <v>79.430000000000007</v>
      </c>
      <c r="AM386" s="92">
        <v>1200.3699999999999</v>
      </c>
      <c r="AN386" s="90">
        <v>0.69</v>
      </c>
      <c r="AO386" s="91">
        <v>80.11</v>
      </c>
      <c r="AP386" s="92">
        <v>1258.78</v>
      </c>
      <c r="AQ386" s="90">
        <v>0.72</v>
      </c>
      <c r="AR386" s="91">
        <v>80.84</v>
      </c>
      <c r="AS386" s="92">
        <v>1258.78</v>
      </c>
      <c r="AT386" s="90">
        <v>0.72</v>
      </c>
      <c r="AU386" s="91">
        <v>81.56</v>
      </c>
      <c r="AV386" s="92">
        <v>1258.78</v>
      </c>
      <c r="AW386" s="90">
        <v>0.72</v>
      </c>
      <c r="AX386" s="91">
        <v>82.28</v>
      </c>
      <c r="AY386" s="92">
        <v>1200.3699999999999</v>
      </c>
      <c r="AZ386" s="90">
        <v>0.69</v>
      </c>
      <c r="BA386" s="91">
        <v>82.97</v>
      </c>
      <c r="BB386" s="92">
        <v>1141.95</v>
      </c>
      <c r="BC386" s="90">
        <v>0.65</v>
      </c>
      <c r="BD386" s="91">
        <v>83.62</v>
      </c>
      <c r="BE386" s="92">
        <v>1141.95</v>
      </c>
      <c r="BF386" s="90">
        <v>0.65</v>
      </c>
      <c r="BG386" s="91">
        <v>84.28</v>
      </c>
      <c r="BH386" s="92">
        <v>1314.27</v>
      </c>
      <c r="BI386" s="90">
        <v>0.75</v>
      </c>
      <c r="BJ386" s="91">
        <v>85.03</v>
      </c>
      <c r="BK386" s="89">
        <v>16003.33</v>
      </c>
      <c r="BL386" s="90">
        <v>9.17</v>
      </c>
      <c r="BM386" s="91">
        <v>94.2</v>
      </c>
      <c r="BN386" s="92">
        <v>1141.95</v>
      </c>
      <c r="BO386" s="90">
        <v>0.65</v>
      </c>
      <c r="BP386" s="91">
        <v>94.86</v>
      </c>
      <c r="BQ386" s="92">
        <v>1314.27</v>
      </c>
      <c r="BR386" s="90">
        <v>0.75</v>
      </c>
      <c r="BS386" s="91">
        <v>95.61</v>
      </c>
      <c r="BT386" s="92">
        <v>1141.95</v>
      </c>
      <c r="BU386" s="90">
        <v>0.65</v>
      </c>
      <c r="BV386" s="91">
        <v>96.26</v>
      </c>
      <c r="BW386" s="92">
        <v>2325.58</v>
      </c>
      <c r="BX386" s="90">
        <v>1.33</v>
      </c>
      <c r="BY386" s="91">
        <v>97.6</v>
      </c>
      <c r="BZ386" s="92">
        <v>4191.9799999999996</v>
      </c>
      <c r="CA386" s="90">
        <v>2.4</v>
      </c>
      <c r="CB386" s="93">
        <v>100</v>
      </c>
      <c r="CC386" s="94"/>
      <c r="CD386" s="94"/>
      <c r="CE386" s="988">
        <v>100</v>
      </c>
      <c r="CF386" s="403"/>
      <c r="CG386" s="462"/>
      <c r="CH386" s="405"/>
      <c r="CI386" s="460"/>
      <c r="CJ386" s="460"/>
      <c r="CK386" s="460"/>
      <c r="CL386" s="460"/>
      <c r="CM386" s="460"/>
      <c r="CN386" s="460"/>
      <c r="CO386" s="467"/>
      <c r="CP386" s="467"/>
      <c r="CQ386" s="407"/>
      <c r="CR386" s="406"/>
      <c r="CS386" s="406"/>
      <c r="CT386" s="407"/>
      <c r="CU386" s="406"/>
      <c r="CV386" s="406"/>
      <c r="CW386" s="407"/>
      <c r="CX386" s="467"/>
      <c r="CY386" s="467"/>
      <c r="CZ386" s="406"/>
      <c r="DA386" s="407"/>
      <c r="DB386" s="467"/>
      <c r="DC386" s="467"/>
      <c r="DD386" s="467"/>
      <c r="DE386" s="467"/>
      <c r="DF386" s="407"/>
    </row>
    <row r="387" spans="1:110" ht="8.4499999999999993" customHeight="1" x14ac:dyDescent="0.2">
      <c r="A387" s="130" t="s">
        <v>76</v>
      </c>
      <c r="B387" s="95">
        <v>2</v>
      </c>
      <c r="C387" s="82" t="s">
        <v>2681</v>
      </c>
      <c r="D387" s="96">
        <v>22</v>
      </c>
      <c r="E387" s="82" t="s">
        <v>1557</v>
      </c>
      <c r="F387" s="82" t="s">
        <v>2376</v>
      </c>
      <c r="G387" s="100">
        <v>900</v>
      </c>
      <c r="H387" s="98">
        <v>0.01</v>
      </c>
      <c r="I387" s="100">
        <v>900</v>
      </c>
      <c r="J387" s="100">
        <v>100</v>
      </c>
      <c r="K387" s="100">
        <v>100</v>
      </c>
      <c r="L387" s="99"/>
      <c r="M387" s="99"/>
      <c r="N387" s="100">
        <v>100</v>
      </c>
      <c r="O387" s="99"/>
      <c r="P387" s="99"/>
      <c r="Q387" s="100">
        <v>100</v>
      </c>
      <c r="R387" s="99"/>
      <c r="S387" s="99"/>
      <c r="T387" s="100">
        <v>100</v>
      </c>
      <c r="U387" s="99"/>
      <c r="V387" s="99"/>
      <c r="W387" s="100">
        <v>100</v>
      </c>
      <c r="X387" s="99"/>
      <c r="Y387" s="99"/>
      <c r="Z387" s="100">
        <v>100</v>
      </c>
      <c r="AA387" s="99"/>
      <c r="AB387" s="99"/>
      <c r="AC387" s="100">
        <v>100</v>
      </c>
      <c r="AD387" s="99"/>
      <c r="AE387" s="99"/>
      <c r="AF387" s="100">
        <v>100</v>
      </c>
      <c r="AG387" s="99"/>
      <c r="AH387" s="99"/>
      <c r="AI387" s="100">
        <v>100</v>
      </c>
      <c r="AJ387" s="99"/>
      <c r="AK387" s="99"/>
      <c r="AL387" s="100">
        <v>100</v>
      </c>
      <c r="AM387" s="99"/>
      <c r="AN387" s="99"/>
      <c r="AO387" s="100">
        <v>100</v>
      </c>
      <c r="AP387" s="99"/>
      <c r="AQ387" s="99"/>
      <c r="AR387" s="100">
        <v>100</v>
      </c>
      <c r="AS387" s="99"/>
      <c r="AT387" s="99"/>
      <c r="AU387" s="100">
        <v>100</v>
      </c>
      <c r="AV387" s="99"/>
      <c r="AW387" s="99"/>
      <c r="AX387" s="100">
        <v>100</v>
      </c>
      <c r="AY387" s="99"/>
      <c r="AZ387" s="99"/>
      <c r="BA387" s="100">
        <v>100</v>
      </c>
      <c r="BB387" s="99"/>
      <c r="BC387" s="99"/>
      <c r="BD387" s="100">
        <v>100</v>
      </c>
      <c r="BE387" s="99"/>
      <c r="BF387" s="99"/>
      <c r="BG387" s="100">
        <v>100</v>
      </c>
      <c r="BH387" s="99"/>
      <c r="BI387" s="99"/>
      <c r="BJ387" s="100">
        <v>100</v>
      </c>
      <c r="BK387" s="99"/>
      <c r="BL387" s="99"/>
      <c r="BM387" s="100">
        <v>100</v>
      </c>
      <c r="BN387" s="99"/>
      <c r="BO387" s="99"/>
      <c r="BP387" s="100">
        <v>100</v>
      </c>
      <c r="BQ387" s="99"/>
      <c r="BR387" s="99"/>
      <c r="BS387" s="100">
        <v>100</v>
      </c>
      <c r="BT387" s="99"/>
      <c r="BU387" s="99"/>
      <c r="BV387" s="100">
        <v>100</v>
      </c>
      <c r="BW387" s="99"/>
      <c r="BX387" s="99"/>
      <c r="BY387" s="100">
        <v>100</v>
      </c>
      <c r="BZ387" s="99"/>
      <c r="CA387" s="99"/>
      <c r="CB387" s="100">
        <v>100</v>
      </c>
      <c r="CC387" s="99"/>
      <c r="CD387" s="99"/>
      <c r="CE387" s="989">
        <v>100</v>
      </c>
      <c r="CF387" s="406"/>
      <c r="CG387" s="406"/>
      <c r="CH387" s="407"/>
      <c r="CI387" s="406"/>
      <c r="CJ387" s="406"/>
      <c r="CK387" s="406"/>
      <c r="CL387" s="406"/>
      <c r="CM387" s="406"/>
      <c r="CN387" s="406"/>
      <c r="CO387" s="467"/>
      <c r="CP387" s="467"/>
      <c r="CQ387" s="407"/>
      <c r="CR387" s="406"/>
      <c r="CS387" s="406"/>
      <c r="CT387" s="407"/>
      <c r="CU387" s="406"/>
      <c r="CV387" s="406"/>
      <c r="CW387" s="407"/>
      <c r="CX387" s="467"/>
      <c r="CY387" s="467"/>
      <c r="CZ387" s="406"/>
      <c r="DA387" s="407"/>
      <c r="DB387" s="467"/>
      <c r="DC387" s="467"/>
      <c r="DD387" s="467"/>
      <c r="DE387" s="467"/>
      <c r="DF387" s="407"/>
    </row>
    <row r="388" spans="1:110" ht="8.4499999999999993" customHeight="1" x14ac:dyDescent="0.2">
      <c r="A388" s="130" t="s">
        <v>77</v>
      </c>
      <c r="B388" s="95">
        <v>3</v>
      </c>
      <c r="C388" s="82" t="s">
        <v>2683</v>
      </c>
      <c r="D388" s="96">
        <v>22</v>
      </c>
      <c r="E388" s="82" t="s">
        <v>1557</v>
      </c>
      <c r="F388" s="82" t="s">
        <v>2376</v>
      </c>
      <c r="G388" s="97">
        <v>35963.870000000003</v>
      </c>
      <c r="H388" s="98">
        <v>0.41</v>
      </c>
      <c r="I388" s="97">
        <v>35963.870000000003</v>
      </c>
      <c r="J388" s="100">
        <v>100</v>
      </c>
      <c r="K388" s="100">
        <v>100</v>
      </c>
      <c r="L388" s="99"/>
      <c r="M388" s="99"/>
      <c r="N388" s="100">
        <v>100</v>
      </c>
      <c r="O388" s="99"/>
      <c r="P388" s="99"/>
      <c r="Q388" s="100">
        <v>100</v>
      </c>
      <c r="R388" s="99"/>
      <c r="S388" s="99"/>
      <c r="T388" s="100">
        <v>100</v>
      </c>
      <c r="U388" s="99"/>
      <c r="V388" s="99"/>
      <c r="W388" s="100">
        <v>100</v>
      </c>
      <c r="X388" s="99"/>
      <c r="Y388" s="99"/>
      <c r="Z388" s="100">
        <v>100</v>
      </c>
      <c r="AA388" s="99"/>
      <c r="AB388" s="99"/>
      <c r="AC388" s="100">
        <v>100</v>
      </c>
      <c r="AD388" s="99"/>
      <c r="AE388" s="99"/>
      <c r="AF388" s="100">
        <v>100</v>
      </c>
      <c r="AG388" s="99"/>
      <c r="AH388" s="99"/>
      <c r="AI388" s="100">
        <v>100</v>
      </c>
      <c r="AJ388" s="99"/>
      <c r="AK388" s="99"/>
      <c r="AL388" s="100">
        <v>100</v>
      </c>
      <c r="AM388" s="99"/>
      <c r="AN388" s="99"/>
      <c r="AO388" s="100">
        <v>100</v>
      </c>
      <c r="AP388" s="99"/>
      <c r="AQ388" s="99"/>
      <c r="AR388" s="100">
        <v>100</v>
      </c>
      <c r="AS388" s="99"/>
      <c r="AT388" s="99"/>
      <c r="AU388" s="100">
        <v>100</v>
      </c>
      <c r="AV388" s="99"/>
      <c r="AW388" s="99"/>
      <c r="AX388" s="100">
        <v>100</v>
      </c>
      <c r="AY388" s="99"/>
      <c r="AZ388" s="99"/>
      <c r="BA388" s="100">
        <v>100</v>
      </c>
      <c r="BB388" s="99"/>
      <c r="BC388" s="99"/>
      <c r="BD388" s="100">
        <v>100</v>
      </c>
      <c r="BE388" s="99"/>
      <c r="BF388" s="99"/>
      <c r="BG388" s="100">
        <v>100</v>
      </c>
      <c r="BH388" s="99"/>
      <c r="BI388" s="99"/>
      <c r="BJ388" s="100">
        <v>100</v>
      </c>
      <c r="BK388" s="99"/>
      <c r="BL388" s="99"/>
      <c r="BM388" s="100">
        <v>100</v>
      </c>
      <c r="BN388" s="99"/>
      <c r="BO388" s="99"/>
      <c r="BP388" s="100">
        <v>100</v>
      </c>
      <c r="BQ388" s="99"/>
      <c r="BR388" s="99"/>
      <c r="BS388" s="100">
        <v>100</v>
      </c>
      <c r="BT388" s="99"/>
      <c r="BU388" s="99"/>
      <c r="BV388" s="100">
        <v>100</v>
      </c>
      <c r="BW388" s="99"/>
      <c r="BX388" s="99"/>
      <c r="BY388" s="100">
        <v>100</v>
      </c>
      <c r="BZ388" s="99"/>
      <c r="CA388" s="99"/>
      <c r="CB388" s="100">
        <v>100</v>
      </c>
      <c r="CC388" s="99"/>
      <c r="CD388" s="99"/>
      <c r="CE388" s="989">
        <v>100</v>
      </c>
      <c r="CF388" s="406"/>
      <c r="CG388" s="406"/>
      <c r="CH388" s="407"/>
      <c r="CI388" s="406"/>
      <c r="CJ388" s="406"/>
      <c r="CK388" s="406"/>
      <c r="CL388" s="406"/>
      <c r="CM388" s="406"/>
      <c r="CN388" s="406"/>
      <c r="CO388" s="467"/>
      <c r="CP388" s="467"/>
      <c r="CQ388" s="407"/>
      <c r="CR388" s="406"/>
      <c r="CS388" s="406"/>
      <c r="CT388" s="407"/>
      <c r="CU388" s="406"/>
      <c r="CV388" s="406"/>
      <c r="CW388" s="407"/>
      <c r="CX388" s="467"/>
      <c r="CY388" s="467"/>
      <c r="CZ388" s="406"/>
      <c r="DA388" s="407"/>
      <c r="DB388" s="467"/>
      <c r="DC388" s="467"/>
      <c r="DD388" s="467"/>
      <c r="DE388" s="467"/>
      <c r="DF388" s="407"/>
    </row>
    <row r="389" spans="1:110" ht="8.4499999999999993" customHeight="1" x14ac:dyDescent="0.2">
      <c r="A389" s="130" t="s">
        <v>78</v>
      </c>
      <c r="B389" s="95">
        <v>4</v>
      </c>
      <c r="C389" s="82" t="s">
        <v>2684</v>
      </c>
      <c r="D389" s="104">
        <v>511</v>
      </c>
      <c r="E389" s="82" t="s">
        <v>1557</v>
      </c>
      <c r="F389" s="82" t="s">
        <v>2024</v>
      </c>
      <c r="G389" s="97">
        <v>26806</v>
      </c>
      <c r="H389" s="98">
        <v>0.3</v>
      </c>
      <c r="I389" s="101">
        <v>1206.27</v>
      </c>
      <c r="J389" s="98">
        <v>4.5</v>
      </c>
      <c r="K389" s="98">
        <v>4.5</v>
      </c>
      <c r="L389" s="101">
        <v>1101.73</v>
      </c>
      <c r="M389" s="98">
        <v>4.1100000000000003</v>
      </c>
      <c r="N389" s="98">
        <v>8.61</v>
      </c>
      <c r="O389" s="101">
        <v>1101.73</v>
      </c>
      <c r="P389" s="98">
        <v>4.1100000000000003</v>
      </c>
      <c r="Q389" s="102">
        <v>12.72</v>
      </c>
      <c r="R389" s="101">
        <v>1101.73</v>
      </c>
      <c r="S389" s="98">
        <v>4.1100000000000003</v>
      </c>
      <c r="T389" s="102">
        <v>16.829999999999998</v>
      </c>
      <c r="U389" s="101">
        <v>1048.1099999999999</v>
      </c>
      <c r="V389" s="98">
        <v>3.91</v>
      </c>
      <c r="W389" s="102">
        <v>20.74</v>
      </c>
      <c r="X389" s="101">
        <v>1155.3399999999999</v>
      </c>
      <c r="Y389" s="98">
        <v>4.3099999999999996</v>
      </c>
      <c r="Z389" s="102">
        <v>25.05</v>
      </c>
      <c r="AA389" s="101">
        <v>1048.1099999999999</v>
      </c>
      <c r="AB389" s="98">
        <v>3.91</v>
      </c>
      <c r="AC389" s="102">
        <v>28.96</v>
      </c>
      <c r="AD389" s="101">
        <v>1048.1099999999999</v>
      </c>
      <c r="AE389" s="98">
        <v>3.91</v>
      </c>
      <c r="AF389" s="102">
        <v>32.869999999999997</v>
      </c>
      <c r="AG389" s="101">
        <v>1206.27</v>
      </c>
      <c r="AH389" s="98">
        <v>4.5</v>
      </c>
      <c r="AI389" s="102">
        <v>37.369999999999997</v>
      </c>
      <c r="AJ389" s="101">
        <v>1101.73</v>
      </c>
      <c r="AK389" s="98">
        <v>4.1100000000000003</v>
      </c>
      <c r="AL389" s="102">
        <v>41.48</v>
      </c>
      <c r="AM389" s="101">
        <v>1101.73</v>
      </c>
      <c r="AN389" s="98">
        <v>4.1100000000000003</v>
      </c>
      <c r="AO389" s="102">
        <v>45.59</v>
      </c>
      <c r="AP389" s="101">
        <v>1155.3399999999999</v>
      </c>
      <c r="AQ389" s="98">
        <v>4.3099999999999996</v>
      </c>
      <c r="AR389" s="102">
        <v>49.9</v>
      </c>
      <c r="AS389" s="101">
        <v>1155.3399999999999</v>
      </c>
      <c r="AT389" s="98">
        <v>4.3099999999999996</v>
      </c>
      <c r="AU389" s="102">
        <v>54.21</v>
      </c>
      <c r="AV389" s="101">
        <v>1155.3399999999999</v>
      </c>
      <c r="AW389" s="98">
        <v>4.3099999999999996</v>
      </c>
      <c r="AX389" s="102">
        <v>58.52</v>
      </c>
      <c r="AY389" s="101">
        <v>1101.73</v>
      </c>
      <c r="AZ389" s="98">
        <v>4.1100000000000003</v>
      </c>
      <c r="BA389" s="102">
        <v>62.63</v>
      </c>
      <c r="BB389" s="101">
        <v>1048.1099999999999</v>
      </c>
      <c r="BC389" s="98">
        <v>3.91</v>
      </c>
      <c r="BD389" s="102">
        <v>66.540000000000006</v>
      </c>
      <c r="BE389" s="101">
        <v>1048.1099999999999</v>
      </c>
      <c r="BF389" s="98">
        <v>3.91</v>
      </c>
      <c r="BG389" s="102">
        <v>70.45</v>
      </c>
      <c r="BH389" s="101">
        <v>1206.27</v>
      </c>
      <c r="BI389" s="98">
        <v>4.5</v>
      </c>
      <c r="BJ389" s="102">
        <v>74.95</v>
      </c>
      <c r="BK389" s="101">
        <v>1101.73</v>
      </c>
      <c r="BL389" s="98">
        <v>4.1100000000000003</v>
      </c>
      <c r="BM389" s="102">
        <v>79.06</v>
      </c>
      <c r="BN389" s="101">
        <v>1048.1099999999999</v>
      </c>
      <c r="BO389" s="98">
        <v>3.91</v>
      </c>
      <c r="BP389" s="102">
        <v>82.97</v>
      </c>
      <c r="BQ389" s="101">
        <v>1206.27</v>
      </c>
      <c r="BR389" s="98">
        <v>4.5</v>
      </c>
      <c r="BS389" s="102">
        <v>87.47</v>
      </c>
      <c r="BT389" s="101">
        <v>1048.1099999999999</v>
      </c>
      <c r="BU389" s="98">
        <v>3.91</v>
      </c>
      <c r="BV389" s="102">
        <v>91.38</v>
      </c>
      <c r="BW389" s="101">
        <v>1155.3399999999999</v>
      </c>
      <c r="BX389" s="98">
        <v>4.3099999999999996</v>
      </c>
      <c r="BY389" s="102">
        <v>95.69</v>
      </c>
      <c r="BZ389" s="101">
        <v>1155.3399999999999</v>
      </c>
      <c r="CA389" s="98">
        <v>4.3099999999999996</v>
      </c>
      <c r="CB389" s="100">
        <v>100</v>
      </c>
      <c r="CC389" s="99"/>
      <c r="CD389" s="99"/>
      <c r="CE389" s="989">
        <v>100</v>
      </c>
      <c r="CF389" s="410"/>
      <c r="CG389" s="408"/>
      <c r="CH389" s="407"/>
      <c r="CI389" s="406"/>
      <c r="CJ389" s="406"/>
      <c r="CK389" s="406"/>
      <c r="CL389" s="406"/>
      <c r="CM389" s="406"/>
      <c r="CN389" s="406"/>
      <c r="CO389" s="467"/>
      <c r="CP389" s="467"/>
      <c r="CQ389" s="407"/>
      <c r="CR389" s="406"/>
      <c r="CS389" s="406"/>
      <c r="CT389" s="407"/>
      <c r="CU389" s="406"/>
      <c r="CV389" s="406"/>
      <c r="CW389" s="407"/>
      <c r="CX389" s="467"/>
      <c r="CY389" s="467"/>
      <c r="CZ389" s="406"/>
      <c r="DA389" s="407"/>
      <c r="DB389" s="467"/>
      <c r="DC389" s="467"/>
      <c r="DD389" s="467"/>
      <c r="DE389" s="467"/>
      <c r="DF389" s="407"/>
    </row>
    <row r="390" spans="1:110" ht="8.4499999999999993" customHeight="1" x14ac:dyDescent="0.2">
      <c r="A390" s="130" t="s">
        <v>79</v>
      </c>
      <c r="B390" s="95">
        <v>5</v>
      </c>
      <c r="C390" s="82" t="s">
        <v>2685</v>
      </c>
      <c r="D390" s="96">
        <v>22</v>
      </c>
      <c r="E390" s="82" t="s">
        <v>1557</v>
      </c>
      <c r="F390" s="82" t="s">
        <v>2376</v>
      </c>
      <c r="G390" s="97">
        <v>60000</v>
      </c>
      <c r="H390" s="98">
        <v>0.68</v>
      </c>
      <c r="I390" s="97">
        <v>60000</v>
      </c>
      <c r="J390" s="100">
        <v>100</v>
      </c>
      <c r="K390" s="100">
        <v>100</v>
      </c>
      <c r="L390" s="99"/>
      <c r="M390" s="99"/>
      <c r="N390" s="100">
        <v>100</v>
      </c>
      <c r="O390" s="99"/>
      <c r="P390" s="99"/>
      <c r="Q390" s="100">
        <v>100</v>
      </c>
      <c r="R390" s="99"/>
      <c r="S390" s="99"/>
      <c r="T390" s="100">
        <v>100</v>
      </c>
      <c r="U390" s="99"/>
      <c r="V390" s="99"/>
      <c r="W390" s="100">
        <v>100</v>
      </c>
      <c r="X390" s="99"/>
      <c r="Y390" s="99"/>
      <c r="Z390" s="100">
        <v>100</v>
      </c>
      <c r="AA390" s="99"/>
      <c r="AB390" s="99"/>
      <c r="AC390" s="100">
        <v>100</v>
      </c>
      <c r="AD390" s="99"/>
      <c r="AE390" s="99"/>
      <c r="AF390" s="100">
        <v>100</v>
      </c>
      <c r="AG390" s="99"/>
      <c r="AH390" s="99"/>
      <c r="AI390" s="100">
        <v>100</v>
      </c>
      <c r="AJ390" s="99"/>
      <c r="AK390" s="99"/>
      <c r="AL390" s="100">
        <v>100</v>
      </c>
      <c r="AM390" s="99"/>
      <c r="AN390" s="99"/>
      <c r="AO390" s="100">
        <v>100</v>
      </c>
      <c r="AP390" s="99"/>
      <c r="AQ390" s="99"/>
      <c r="AR390" s="100">
        <v>100</v>
      </c>
      <c r="AS390" s="99"/>
      <c r="AT390" s="99"/>
      <c r="AU390" s="100">
        <v>100</v>
      </c>
      <c r="AV390" s="99"/>
      <c r="AW390" s="99"/>
      <c r="AX390" s="100">
        <v>100</v>
      </c>
      <c r="AY390" s="99"/>
      <c r="AZ390" s="99"/>
      <c r="BA390" s="100">
        <v>100</v>
      </c>
      <c r="BB390" s="99"/>
      <c r="BC390" s="99"/>
      <c r="BD390" s="100">
        <v>100</v>
      </c>
      <c r="BE390" s="99"/>
      <c r="BF390" s="99"/>
      <c r="BG390" s="100">
        <v>100</v>
      </c>
      <c r="BH390" s="99"/>
      <c r="BI390" s="99"/>
      <c r="BJ390" s="100">
        <v>100</v>
      </c>
      <c r="BK390" s="99"/>
      <c r="BL390" s="99"/>
      <c r="BM390" s="100">
        <v>100</v>
      </c>
      <c r="BN390" s="99"/>
      <c r="BO390" s="99"/>
      <c r="BP390" s="100">
        <v>100</v>
      </c>
      <c r="BQ390" s="99"/>
      <c r="BR390" s="99"/>
      <c r="BS390" s="100">
        <v>100</v>
      </c>
      <c r="BT390" s="99"/>
      <c r="BU390" s="99"/>
      <c r="BV390" s="100">
        <v>100</v>
      </c>
      <c r="BW390" s="99"/>
      <c r="BX390" s="99"/>
      <c r="BY390" s="100">
        <v>100</v>
      </c>
      <c r="BZ390" s="99"/>
      <c r="CA390" s="99"/>
      <c r="CB390" s="100">
        <v>100</v>
      </c>
      <c r="CC390" s="99"/>
      <c r="CD390" s="99"/>
      <c r="CE390" s="989">
        <v>100</v>
      </c>
      <c r="CF390" s="406"/>
      <c r="CG390" s="406"/>
      <c r="CH390" s="407"/>
      <c r="CI390" s="406"/>
      <c r="CJ390" s="406"/>
      <c r="CK390" s="406"/>
      <c r="CL390" s="406"/>
      <c r="CM390" s="406"/>
      <c r="CN390" s="406"/>
      <c r="CO390" s="467"/>
      <c r="CP390" s="467"/>
      <c r="CQ390" s="407"/>
      <c r="CR390" s="406"/>
      <c r="CS390" s="406"/>
      <c r="CT390" s="407"/>
      <c r="CU390" s="406"/>
      <c r="CV390" s="406"/>
      <c r="CW390" s="407"/>
      <c r="CX390" s="467"/>
      <c r="CY390" s="467"/>
      <c r="CZ390" s="406"/>
      <c r="DA390" s="407"/>
      <c r="DB390" s="467"/>
      <c r="DC390" s="467"/>
      <c r="DD390" s="467"/>
      <c r="DE390" s="467"/>
      <c r="DF390" s="407"/>
    </row>
    <row r="391" spans="1:110" ht="8.4499999999999993" customHeight="1" x14ac:dyDescent="0.2">
      <c r="A391" s="130" t="s">
        <v>80</v>
      </c>
      <c r="B391" s="95">
        <v>6</v>
      </c>
      <c r="C391" s="82" t="s">
        <v>2686</v>
      </c>
      <c r="D391" s="104">
        <v>511</v>
      </c>
      <c r="E391" s="82" t="s">
        <v>1557</v>
      </c>
      <c r="F391" s="82" t="s">
        <v>2024</v>
      </c>
      <c r="G391" s="101">
        <v>2400</v>
      </c>
      <c r="H391" s="98">
        <v>0.03</v>
      </c>
      <c r="I391" s="100">
        <v>108</v>
      </c>
      <c r="J391" s="98">
        <v>4.5</v>
      </c>
      <c r="K391" s="98">
        <v>4.5</v>
      </c>
      <c r="L391" s="102">
        <v>98.64</v>
      </c>
      <c r="M391" s="98">
        <v>4.1100000000000003</v>
      </c>
      <c r="N391" s="98">
        <v>8.61</v>
      </c>
      <c r="O391" s="102">
        <v>98.64</v>
      </c>
      <c r="P391" s="98">
        <v>4.1100000000000003</v>
      </c>
      <c r="Q391" s="102">
        <v>12.72</v>
      </c>
      <c r="R391" s="102">
        <v>98.64</v>
      </c>
      <c r="S391" s="98">
        <v>4.1100000000000003</v>
      </c>
      <c r="T391" s="102">
        <v>16.829999999999998</v>
      </c>
      <c r="U391" s="102">
        <v>93.84</v>
      </c>
      <c r="V391" s="98">
        <v>3.91</v>
      </c>
      <c r="W391" s="102">
        <v>20.74</v>
      </c>
      <c r="X391" s="100">
        <v>103.44</v>
      </c>
      <c r="Y391" s="98">
        <v>4.3099999999999996</v>
      </c>
      <c r="Z391" s="102">
        <v>25.05</v>
      </c>
      <c r="AA391" s="102">
        <v>93.84</v>
      </c>
      <c r="AB391" s="98">
        <v>3.91</v>
      </c>
      <c r="AC391" s="102">
        <v>28.96</v>
      </c>
      <c r="AD391" s="102">
        <v>93.84</v>
      </c>
      <c r="AE391" s="98">
        <v>3.91</v>
      </c>
      <c r="AF391" s="102">
        <v>32.869999999999997</v>
      </c>
      <c r="AG391" s="100">
        <v>108</v>
      </c>
      <c r="AH391" s="98">
        <v>4.5</v>
      </c>
      <c r="AI391" s="102">
        <v>37.369999999999997</v>
      </c>
      <c r="AJ391" s="102">
        <v>98.64</v>
      </c>
      <c r="AK391" s="98">
        <v>4.1100000000000003</v>
      </c>
      <c r="AL391" s="102">
        <v>41.48</v>
      </c>
      <c r="AM391" s="102">
        <v>98.64</v>
      </c>
      <c r="AN391" s="98">
        <v>4.1100000000000003</v>
      </c>
      <c r="AO391" s="102">
        <v>45.59</v>
      </c>
      <c r="AP391" s="100">
        <v>103.44</v>
      </c>
      <c r="AQ391" s="98">
        <v>4.3099999999999996</v>
      </c>
      <c r="AR391" s="102">
        <v>49.9</v>
      </c>
      <c r="AS391" s="100">
        <v>103.44</v>
      </c>
      <c r="AT391" s="98">
        <v>4.3099999999999996</v>
      </c>
      <c r="AU391" s="102">
        <v>54.21</v>
      </c>
      <c r="AV391" s="100">
        <v>103.44</v>
      </c>
      <c r="AW391" s="98">
        <v>4.3099999999999996</v>
      </c>
      <c r="AX391" s="102">
        <v>58.52</v>
      </c>
      <c r="AY391" s="102">
        <v>98.64</v>
      </c>
      <c r="AZ391" s="98">
        <v>4.1100000000000003</v>
      </c>
      <c r="BA391" s="102">
        <v>62.63</v>
      </c>
      <c r="BB391" s="102">
        <v>93.84</v>
      </c>
      <c r="BC391" s="98">
        <v>3.91</v>
      </c>
      <c r="BD391" s="102">
        <v>66.540000000000006</v>
      </c>
      <c r="BE391" s="102">
        <v>93.84</v>
      </c>
      <c r="BF391" s="98">
        <v>3.91</v>
      </c>
      <c r="BG391" s="102">
        <v>70.45</v>
      </c>
      <c r="BH391" s="100">
        <v>108</v>
      </c>
      <c r="BI391" s="98">
        <v>4.5</v>
      </c>
      <c r="BJ391" s="102">
        <v>74.95</v>
      </c>
      <c r="BK391" s="102">
        <v>98.64</v>
      </c>
      <c r="BL391" s="98">
        <v>4.1100000000000003</v>
      </c>
      <c r="BM391" s="102">
        <v>79.06</v>
      </c>
      <c r="BN391" s="102">
        <v>93.84</v>
      </c>
      <c r="BO391" s="98">
        <v>3.91</v>
      </c>
      <c r="BP391" s="102">
        <v>82.97</v>
      </c>
      <c r="BQ391" s="100">
        <v>108</v>
      </c>
      <c r="BR391" s="98">
        <v>4.5</v>
      </c>
      <c r="BS391" s="102">
        <v>87.47</v>
      </c>
      <c r="BT391" s="102">
        <v>93.84</v>
      </c>
      <c r="BU391" s="98">
        <v>3.91</v>
      </c>
      <c r="BV391" s="102">
        <v>91.38</v>
      </c>
      <c r="BW391" s="100">
        <v>103.44</v>
      </c>
      <c r="BX391" s="98">
        <v>4.3099999999999996</v>
      </c>
      <c r="BY391" s="102">
        <v>95.69</v>
      </c>
      <c r="BZ391" s="100">
        <v>103.44</v>
      </c>
      <c r="CA391" s="98">
        <v>4.3099999999999996</v>
      </c>
      <c r="CB391" s="100">
        <v>100</v>
      </c>
      <c r="CC391" s="99"/>
      <c r="CD391" s="99"/>
      <c r="CE391" s="989">
        <v>100</v>
      </c>
      <c r="CF391" s="406"/>
      <c r="CG391" s="406"/>
      <c r="CH391" s="407"/>
      <c r="CI391" s="406"/>
      <c r="CJ391" s="406"/>
      <c r="CK391" s="406"/>
      <c r="CL391" s="406"/>
      <c r="CM391" s="406"/>
      <c r="CN391" s="406"/>
      <c r="CO391" s="467"/>
      <c r="CP391" s="467"/>
      <c r="CQ391" s="407"/>
      <c r="CR391" s="406"/>
      <c r="CS391" s="406"/>
      <c r="CT391" s="407"/>
      <c r="CU391" s="406"/>
      <c r="CV391" s="406"/>
      <c r="CW391" s="407"/>
      <c r="CX391" s="467"/>
      <c r="CY391" s="467"/>
      <c r="CZ391" s="406"/>
      <c r="DA391" s="407"/>
      <c r="DB391" s="467"/>
      <c r="DC391" s="467"/>
      <c r="DD391" s="467"/>
      <c r="DE391" s="467"/>
      <c r="DF391" s="407"/>
    </row>
    <row r="392" spans="1:110" ht="8.4499999999999993" customHeight="1" x14ac:dyDescent="0.2">
      <c r="A392" s="130" t="s">
        <v>81</v>
      </c>
      <c r="B392" s="95">
        <v>7</v>
      </c>
      <c r="C392" s="82" t="s">
        <v>2687</v>
      </c>
      <c r="D392" s="96">
        <v>30</v>
      </c>
      <c r="E392" s="82" t="s">
        <v>2621</v>
      </c>
      <c r="F392" s="82" t="s">
        <v>2024</v>
      </c>
      <c r="G392" s="101">
        <v>4000</v>
      </c>
      <c r="H392" s="98">
        <v>0.05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101">
        <v>1066.8</v>
      </c>
      <c r="BX392" s="102">
        <v>26.67</v>
      </c>
      <c r="BY392" s="102">
        <v>26.67</v>
      </c>
      <c r="BZ392" s="101">
        <v>2933.2</v>
      </c>
      <c r="CA392" s="102">
        <v>73.33</v>
      </c>
      <c r="CB392" s="100">
        <v>100</v>
      </c>
      <c r="CC392" s="99"/>
      <c r="CD392" s="99"/>
      <c r="CE392" s="989">
        <v>100</v>
      </c>
      <c r="CF392" s="410"/>
      <c r="CG392" s="407"/>
      <c r="CH392" s="407"/>
      <c r="CI392" s="406"/>
      <c r="CJ392" s="406"/>
      <c r="CK392" s="406"/>
      <c r="CL392" s="406"/>
      <c r="CM392" s="406"/>
      <c r="CN392" s="406"/>
      <c r="CO392" s="467"/>
      <c r="CP392" s="467"/>
      <c r="CQ392" s="406"/>
      <c r="CR392" s="406"/>
      <c r="CS392" s="406"/>
      <c r="CT392" s="406"/>
      <c r="CU392" s="406"/>
      <c r="CV392" s="406"/>
      <c r="CW392" s="406"/>
      <c r="CX392" s="467"/>
      <c r="CY392" s="467"/>
      <c r="CZ392" s="406"/>
      <c r="DA392" s="406"/>
      <c r="DB392" s="468"/>
      <c r="DC392" s="467"/>
      <c r="DD392" s="468"/>
      <c r="DE392" s="467"/>
      <c r="DF392" s="407"/>
    </row>
    <row r="393" spans="1:110" ht="8.4499999999999993" customHeight="1" x14ac:dyDescent="0.2">
      <c r="A393" s="130" t="s">
        <v>153</v>
      </c>
      <c r="B393" s="95">
        <v>8</v>
      </c>
      <c r="C393" s="82" t="s">
        <v>2688</v>
      </c>
      <c r="D393" s="104">
        <v>511</v>
      </c>
      <c r="E393" s="82" t="s">
        <v>1557</v>
      </c>
      <c r="F393" s="82" t="s">
        <v>2024</v>
      </c>
      <c r="G393" s="97">
        <v>44400</v>
      </c>
      <c r="H393" s="98">
        <v>0.5</v>
      </c>
      <c r="I393" s="97">
        <v>14798.52</v>
      </c>
      <c r="J393" s="102">
        <v>33.33</v>
      </c>
      <c r="K393" s="102">
        <v>33.33</v>
      </c>
      <c r="L393" s="99"/>
      <c r="M393" s="99"/>
      <c r="N393" s="102">
        <v>33.33</v>
      </c>
      <c r="O393" s="99"/>
      <c r="P393" s="99"/>
      <c r="Q393" s="102">
        <v>33.33</v>
      </c>
      <c r="R393" s="99"/>
      <c r="S393" s="99"/>
      <c r="T393" s="102">
        <v>33.33</v>
      </c>
      <c r="U393" s="99"/>
      <c r="V393" s="99"/>
      <c r="W393" s="102">
        <v>33.33</v>
      </c>
      <c r="X393" s="99"/>
      <c r="Y393" s="99"/>
      <c r="Z393" s="102">
        <v>33.33</v>
      </c>
      <c r="AA393" s="97">
        <v>14798.52</v>
      </c>
      <c r="AB393" s="102">
        <v>33.33</v>
      </c>
      <c r="AC393" s="102">
        <v>66.66</v>
      </c>
      <c r="AD393" s="99"/>
      <c r="AE393" s="99"/>
      <c r="AF393" s="102">
        <v>66.66</v>
      </c>
      <c r="AG393" s="99"/>
      <c r="AH393" s="99"/>
      <c r="AI393" s="102">
        <v>66.66</v>
      </c>
      <c r="AJ393" s="99"/>
      <c r="AK393" s="99"/>
      <c r="AL393" s="102">
        <v>66.66</v>
      </c>
      <c r="AM393" s="99"/>
      <c r="AN393" s="99"/>
      <c r="AO393" s="102">
        <v>66.66</v>
      </c>
      <c r="AP393" s="99"/>
      <c r="AQ393" s="99"/>
      <c r="AR393" s="102">
        <v>66.66</v>
      </c>
      <c r="AS393" s="99"/>
      <c r="AT393" s="99"/>
      <c r="AU393" s="102">
        <v>66.66</v>
      </c>
      <c r="AV393" s="99"/>
      <c r="AW393" s="99"/>
      <c r="AX393" s="102">
        <v>66.66</v>
      </c>
      <c r="AY393" s="99"/>
      <c r="AZ393" s="99"/>
      <c r="BA393" s="102">
        <v>66.66</v>
      </c>
      <c r="BB393" s="99"/>
      <c r="BC393" s="99"/>
      <c r="BD393" s="102">
        <v>66.66</v>
      </c>
      <c r="BE393" s="99"/>
      <c r="BF393" s="99"/>
      <c r="BG393" s="102">
        <v>66.66</v>
      </c>
      <c r="BH393" s="99"/>
      <c r="BI393" s="99"/>
      <c r="BJ393" s="102">
        <v>66.66</v>
      </c>
      <c r="BK393" s="97">
        <v>14802.96</v>
      </c>
      <c r="BL393" s="102">
        <v>33.340000000000003</v>
      </c>
      <c r="BM393" s="100">
        <v>100</v>
      </c>
      <c r="BN393" s="99"/>
      <c r="BO393" s="99"/>
      <c r="BP393" s="100">
        <v>100</v>
      </c>
      <c r="BQ393" s="99"/>
      <c r="BR393" s="99"/>
      <c r="BS393" s="100">
        <v>100</v>
      </c>
      <c r="BT393" s="99"/>
      <c r="BU393" s="99"/>
      <c r="BV393" s="100">
        <v>100</v>
      </c>
      <c r="BW393" s="99"/>
      <c r="BX393" s="99"/>
      <c r="BY393" s="100">
        <v>100</v>
      </c>
      <c r="BZ393" s="99"/>
      <c r="CA393" s="99"/>
      <c r="CB393" s="100">
        <v>100</v>
      </c>
      <c r="CC393" s="99"/>
      <c r="CD393" s="99"/>
      <c r="CE393" s="989">
        <v>100</v>
      </c>
      <c r="CF393" s="410"/>
      <c r="CG393" s="408"/>
      <c r="CH393" s="407"/>
      <c r="CI393" s="406"/>
      <c r="CJ393" s="406"/>
      <c r="CK393" s="406"/>
      <c r="CL393" s="406"/>
      <c r="CM393" s="406"/>
      <c r="CN393" s="406"/>
      <c r="CO393" s="468"/>
      <c r="CP393" s="467"/>
      <c r="CQ393" s="407"/>
      <c r="CR393" s="406"/>
      <c r="CS393" s="406"/>
      <c r="CT393" s="407"/>
      <c r="CU393" s="406"/>
      <c r="CV393" s="406"/>
      <c r="CW393" s="407"/>
      <c r="CX393" s="467"/>
      <c r="CY393" s="467"/>
      <c r="CZ393" s="406"/>
      <c r="DA393" s="407"/>
      <c r="DB393" s="467"/>
      <c r="DC393" s="467"/>
      <c r="DD393" s="467"/>
      <c r="DE393" s="467"/>
      <c r="DF393" s="407"/>
    </row>
    <row r="394" spans="1:110" ht="8.4499999999999993" customHeight="1" x14ac:dyDescent="0.2">
      <c r="A394" s="130" t="s">
        <v>82</v>
      </c>
      <c r="B394" s="86">
        <v>9</v>
      </c>
      <c r="C394" s="87" t="s">
        <v>65</v>
      </c>
      <c r="D394" s="103">
        <v>511</v>
      </c>
      <c r="E394" s="87" t="s">
        <v>1557</v>
      </c>
      <c r="F394" s="87" t="s">
        <v>2024</v>
      </c>
      <c r="G394" s="89">
        <v>65715.25</v>
      </c>
      <c r="H394" s="90">
        <v>0.75</v>
      </c>
      <c r="I394" s="92">
        <v>1101.28</v>
      </c>
      <c r="J394" s="90">
        <v>1.68</v>
      </c>
      <c r="K394" s="90">
        <v>1.68</v>
      </c>
      <c r="L394" s="92">
        <v>1005.84</v>
      </c>
      <c r="M394" s="90">
        <v>1.53</v>
      </c>
      <c r="N394" s="90">
        <v>3.21</v>
      </c>
      <c r="O394" s="92">
        <v>1005.84</v>
      </c>
      <c r="P394" s="90">
        <v>1.53</v>
      </c>
      <c r="Q394" s="90">
        <v>4.74</v>
      </c>
      <c r="R394" s="92">
        <v>1005.84</v>
      </c>
      <c r="S394" s="90">
        <v>1.53</v>
      </c>
      <c r="T394" s="90">
        <v>6.27</v>
      </c>
      <c r="U394" s="93">
        <v>956.89</v>
      </c>
      <c r="V394" s="90">
        <v>1.46</v>
      </c>
      <c r="W394" s="90">
        <v>7.73</v>
      </c>
      <c r="X394" s="92">
        <v>2173.4899999999998</v>
      </c>
      <c r="Y394" s="90">
        <v>3.31</v>
      </c>
      <c r="Z394" s="91">
        <v>11.04</v>
      </c>
      <c r="AA394" s="92">
        <v>5973.35</v>
      </c>
      <c r="AB394" s="90">
        <v>9.1</v>
      </c>
      <c r="AC394" s="91">
        <v>20.14</v>
      </c>
      <c r="AD394" s="92">
        <v>1973.35</v>
      </c>
      <c r="AE394" s="90">
        <v>3.01</v>
      </c>
      <c r="AF394" s="91">
        <v>23.15</v>
      </c>
      <c r="AG394" s="89">
        <v>17982.849999999999</v>
      </c>
      <c r="AH394" s="91">
        <v>27.39</v>
      </c>
      <c r="AI394" s="91">
        <v>50.54</v>
      </c>
      <c r="AJ394" s="92">
        <v>2073.04</v>
      </c>
      <c r="AK394" s="90">
        <v>3.16</v>
      </c>
      <c r="AL394" s="91">
        <v>53.69</v>
      </c>
      <c r="AM394" s="89">
        <v>12537.23</v>
      </c>
      <c r="AN394" s="91">
        <v>19.100000000000001</v>
      </c>
      <c r="AO394" s="91">
        <v>72.790000000000006</v>
      </c>
      <c r="AP394" s="92">
        <v>2294.4499999999998</v>
      </c>
      <c r="AQ394" s="90">
        <v>3.49</v>
      </c>
      <c r="AR394" s="91">
        <v>76.28</v>
      </c>
      <c r="AS394" s="92">
        <v>1175.82</v>
      </c>
      <c r="AT394" s="90">
        <v>1.79</v>
      </c>
      <c r="AU394" s="91">
        <v>78.069999999999993</v>
      </c>
      <c r="AV394" s="92">
        <v>1175.82</v>
      </c>
      <c r="AW394" s="90">
        <v>1.79</v>
      </c>
      <c r="AX394" s="91">
        <v>79.86</v>
      </c>
      <c r="AY394" s="92">
        <v>1828.06</v>
      </c>
      <c r="AZ394" s="90">
        <v>2.76</v>
      </c>
      <c r="BA394" s="91">
        <v>82.63</v>
      </c>
      <c r="BB394" s="92">
        <v>1740.06</v>
      </c>
      <c r="BC394" s="90">
        <v>2.63</v>
      </c>
      <c r="BD394" s="91">
        <v>85.25</v>
      </c>
      <c r="BE394" s="92">
        <v>1740.06</v>
      </c>
      <c r="BF394" s="90">
        <v>2.63</v>
      </c>
      <c r="BG394" s="91">
        <v>87.88</v>
      </c>
      <c r="BH394" s="92">
        <v>1841.52</v>
      </c>
      <c r="BI394" s="90">
        <v>2.78</v>
      </c>
      <c r="BJ394" s="91">
        <v>90.66</v>
      </c>
      <c r="BK394" s="92">
        <v>1005.84</v>
      </c>
      <c r="BL394" s="90">
        <v>1.53</v>
      </c>
      <c r="BM394" s="91">
        <v>92.19</v>
      </c>
      <c r="BN394" s="93">
        <v>956.89</v>
      </c>
      <c r="BO394" s="90">
        <v>1.46</v>
      </c>
      <c r="BP394" s="91">
        <v>93.65</v>
      </c>
      <c r="BQ394" s="92">
        <v>1101.28</v>
      </c>
      <c r="BR394" s="90">
        <v>1.68</v>
      </c>
      <c r="BS394" s="91">
        <v>95.33</v>
      </c>
      <c r="BT394" s="93">
        <v>956.89</v>
      </c>
      <c r="BU394" s="90">
        <v>1.46</v>
      </c>
      <c r="BV394" s="91">
        <v>96.79</v>
      </c>
      <c r="BW394" s="92">
        <v>1054.78</v>
      </c>
      <c r="BX394" s="90">
        <v>1.61</v>
      </c>
      <c r="BY394" s="91">
        <v>98.39</v>
      </c>
      <c r="BZ394" s="92">
        <v>1054.78</v>
      </c>
      <c r="CA394" s="90">
        <v>1.61</v>
      </c>
      <c r="CB394" s="93">
        <v>100</v>
      </c>
      <c r="CC394" s="94"/>
      <c r="CD394" s="94"/>
      <c r="CE394" s="988">
        <v>100</v>
      </c>
      <c r="CF394" s="403"/>
      <c r="CG394" s="462"/>
      <c r="CH394" s="405"/>
      <c r="CI394" s="460"/>
      <c r="CJ394" s="460"/>
      <c r="CK394" s="460"/>
      <c r="CL394" s="460"/>
      <c r="CM394" s="460"/>
      <c r="CN394" s="460"/>
      <c r="CO394" s="467"/>
      <c r="CP394" s="467"/>
      <c r="CQ394" s="409"/>
      <c r="CR394" s="410"/>
      <c r="CS394" s="408"/>
      <c r="CT394" s="409"/>
      <c r="CU394" s="410"/>
      <c r="CV394" s="409"/>
      <c r="CW394" s="407"/>
      <c r="CX394" s="467"/>
      <c r="CY394" s="467"/>
      <c r="CZ394" s="406"/>
      <c r="DA394" s="407"/>
      <c r="DB394" s="467"/>
      <c r="DC394" s="467"/>
      <c r="DD394" s="467"/>
      <c r="DE394" s="467"/>
      <c r="DF394" s="407"/>
    </row>
    <row r="395" spans="1:110" ht="8.4499999999999993" customHeight="1" x14ac:dyDescent="0.2">
      <c r="A395" s="130" t="s">
        <v>83</v>
      </c>
      <c r="B395" s="96">
        <v>10</v>
      </c>
      <c r="C395" s="82" t="s">
        <v>2690</v>
      </c>
      <c r="D395" s="104">
        <v>511</v>
      </c>
      <c r="E395" s="82" t="s">
        <v>1557</v>
      </c>
      <c r="F395" s="82" t="s">
        <v>2024</v>
      </c>
      <c r="G395" s="101">
        <v>3065.77</v>
      </c>
      <c r="H395" s="98">
        <v>0.03</v>
      </c>
      <c r="I395" s="100">
        <v>137.96</v>
      </c>
      <c r="J395" s="98">
        <v>4.5</v>
      </c>
      <c r="K395" s="98">
        <v>4.5</v>
      </c>
      <c r="L395" s="100">
        <v>126</v>
      </c>
      <c r="M395" s="98">
        <v>4.1100000000000003</v>
      </c>
      <c r="N395" s="98">
        <v>8.61</v>
      </c>
      <c r="O395" s="100">
        <v>126</v>
      </c>
      <c r="P395" s="98">
        <v>4.1100000000000003</v>
      </c>
      <c r="Q395" s="102">
        <v>12.72</v>
      </c>
      <c r="R395" s="100">
        <v>126</v>
      </c>
      <c r="S395" s="98">
        <v>4.1100000000000003</v>
      </c>
      <c r="T395" s="102">
        <v>16.829999999999998</v>
      </c>
      <c r="U395" s="100">
        <v>119.87</v>
      </c>
      <c r="V395" s="98">
        <v>3.91</v>
      </c>
      <c r="W395" s="102">
        <v>20.74</v>
      </c>
      <c r="X395" s="100">
        <v>132.13</v>
      </c>
      <c r="Y395" s="98">
        <v>4.3099999999999996</v>
      </c>
      <c r="Z395" s="102">
        <v>25.05</v>
      </c>
      <c r="AA395" s="100">
        <v>119.87</v>
      </c>
      <c r="AB395" s="98">
        <v>3.91</v>
      </c>
      <c r="AC395" s="102">
        <v>28.96</v>
      </c>
      <c r="AD395" s="100">
        <v>119.87</v>
      </c>
      <c r="AE395" s="98">
        <v>3.91</v>
      </c>
      <c r="AF395" s="102">
        <v>32.869999999999997</v>
      </c>
      <c r="AG395" s="100">
        <v>137.96</v>
      </c>
      <c r="AH395" s="98">
        <v>4.5</v>
      </c>
      <c r="AI395" s="102">
        <v>37.369999999999997</v>
      </c>
      <c r="AJ395" s="100">
        <v>126</v>
      </c>
      <c r="AK395" s="98">
        <v>4.1100000000000003</v>
      </c>
      <c r="AL395" s="102">
        <v>41.48</v>
      </c>
      <c r="AM395" s="100">
        <v>126</v>
      </c>
      <c r="AN395" s="98">
        <v>4.1100000000000003</v>
      </c>
      <c r="AO395" s="102">
        <v>45.59</v>
      </c>
      <c r="AP395" s="100">
        <v>132.13</v>
      </c>
      <c r="AQ395" s="98">
        <v>4.3099999999999996</v>
      </c>
      <c r="AR395" s="102">
        <v>49.9</v>
      </c>
      <c r="AS395" s="100">
        <v>132.13</v>
      </c>
      <c r="AT395" s="98">
        <v>4.3099999999999996</v>
      </c>
      <c r="AU395" s="102">
        <v>54.21</v>
      </c>
      <c r="AV395" s="100">
        <v>132.13</v>
      </c>
      <c r="AW395" s="98">
        <v>4.3099999999999996</v>
      </c>
      <c r="AX395" s="102">
        <v>58.52</v>
      </c>
      <c r="AY395" s="100">
        <v>126</v>
      </c>
      <c r="AZ395" s="98">
        <v>4.1100000000000003</v>
      </c>
      <c r="BA395" s="102">
        <v>62.63</v>
      </c>
      <c r="BB395" s="100">
        <v>119.87</v>
      </c>
      <c r="BC395" s="98">
        <v>3.91</v>
      </c>
      <c r="BD395" s="102">
        <v>66.540000000000006</v>
      </c>
      <c r="BE395" s="100">
        <v>119.87</v>
      </c>
      <c r="BF395" s="98">
        <v>3.91</v>
      </c>
      <c r="BG395" s="102">
        <v>70.45</v>
      </c>
      <c r="BH395" s="100">
        <v>137.96</v>
      </c>
      <c r="BI395" s="98">
        <v>4.5</v>
      </c>
      <c r="BJ395" s="102">
        <v>74.95</v>
      </c>
      <c r="BK395" s="100">
        <v>126</v>
      </c>
      <c r="BL395" s="98">
        <v>4.1100000000000003</v>
      </c>
      <c r="BM395" s="102">
        <v>79.06</v>
      </c>
      <c r="BN395" s="100">
        <v>119.87</v>
      </c>
      <c r="BO395" s="98">
        <v>3.91</v>
      </c>
      <c r="BP395" s="102">
        <v>82.97</v>
      </c>
      <c r="BQ395" s="100">
        <v>137.96</v>
      </c>
      <c r="BR395" s="98">
        <v>4.5</v>
      </c>
      <c r="BS395" s="102">
        <v>87.47</v>
      </c>
      <c r="BT395" s="100">
        <v>119.87</v>
      </c>
      <c r="BU395" s="98">
        <v>3.91</v>
      </c>
      <c r="BV395" s="102">
        <v>91.38</v>
      </c>
      <c r="BW395" s="100">
        <v>132.13</v>
      </c>
      <c r="BX395" s="98">
        <v>4.3099999999999996</v>
      </c>
      <c r="BY395" s="102">
        <v>95.69</v>
      </c>
      <c r="BZ395" s="100">
        <v>132.13</v>
      </c>
      <c r="CA395" s="98">
        <v>4.3099999999999996</v>
      </c>
      <c r="CB395" s="100">
        <v>100</v>
      </c>
      <c r="CC395" s="99"/>
      <c r="CD395" s="99"/>
      <c r="CE395" s="989">
        <v>100</v>
      </c>
      <c r="CF395" s="410"/>
      <c r="CG395" s="408"/>
      <c r="CH395" s="407"/>
      <c r="CI395" s="406"/>
      <c r="CJ395" s="406"/>
      <c r="CK395" s="406"/>
      <c r="CL395" s="406"/>
      <c r="CM395" s="406"/>
      <c r="CN395" s="406"/>
      <c r="CO395" s="467"/>
      <c r="CP395" s="467"/>
      <c r="CQ395" s="406"/>
      <c r="CR395" s="407"/>
      <c r="CS395" s="407"/>
      <c r="CT395" s="407"/>
      <c r="CU395" s="406"/>
      <c r="CV395" s="406"/>
      <c r="CW395" s="407"/>
      <c r="CX395" s="467"/>
      <c r="CY395" s="467"/>
      <c r="CZ395" s="406"/>
      <c r="DA395" s="407"/>
      <c r="DB395" s="467"/>
      <c r="DC395" s="467"/>
      <c r="DD395" s="467"/>
      <c r="DE395" s="467"/>
      <c r="DF395" s="407"/>
    </row>
    <row r="396" spans="1:110" ht="8.4499999999999993" customHeight="1" x14ac:dyDescent="0.2">
      <c r="A396" s="130" t="s">
        <v>84</v>
      </c>
      <c r="B396" s="96">
        <v>11</v>
      </c>
      <c r="C396" s="82" t="s">
        <v>2691</v>
      </c>
      <c r="D396" s="104">
        <v>511</v>
      </c>
      <c r="E396" s="82" t="s">
        <v>1557</v>
      </c>
      <c r="F396" s="82" t="s">
        <v>2024</v>
      </c>
      <c r="G396" s="101">
        <v>8998.74</v>
      </c>
      <c r="H396" s="98">
        <v>0.1</v>
      </c>
      <c r="I396" s="100">
        <v>404.94</v>
      </c>
      <c r="J396" s="98">
        <v>4.5</v>
      </c>
      <c r="K396" s="98">
        <v>4.5</v>
      </c>
      <c r="L396" s="100">
        <v>369.85</v>
      </c>
      <c r="M396" s="98">
        <v>4.1100000000000003</v>
      </c>
      <c r="N396" s="98">
        <v>8.61</v>
      </c>
      <c r="O396" s="100">
        <v>369.85</v>
      </c>
      <c r="P396" s="98">
        <v>4.1100000000000003</v>
      </c>
      <c r="Q396" s="102">
        <v>12.72</v>
      </c>
      <c r="R396" s="100">
        <v>369.85</v>
      </c>
      <c r="S396" s="98">
        <v>4.1100000000000003</v>
      </c>
      <c r="T396" s="102">
        <v>16.829999999999998</v>
      </c>
      <c r="U396" s="100">
        <v>351.85</v>
      </c>
      <c r="V396" s="98">
        <v>3.91</v>
      </c>
      <c r="W396" s="102">
        <v>20.74</v>
      </c>
      <c r="X396" s="100">
        <v>387.85</v>
      </c>
      <c r="Y396" s="98">
        <v>4.3099999999999996</v>
      </c>
      <c r="Z396" s="102">
        <v>25.05</v>
      </c>
      <c r="AA396" s="100">
        <v>351.85</v>
      </c>
      <c r="AB396" s="98">
        <v>3.91</v>
      </c>
      <c r="AC396" s="102">
        <v>28.96</v>
      </c>
      <c r="AD396" s="100">
        <v>351.85</v>
      </c>
      <c r="AE396" s="98">
        <v>3.91</v>
      </c>
      <c r="AF396" s="102">
        <v>32.869999999999997</v>
      </c>
      <c r="AG396" s="100">
        <v>404.94</v>
      </c>
      <c r="AH396" s="98">
        <v>4.5</v>
      </c>
      <c r="AI396" s="102">
        <v>37.369999999999997</v>
      </c>
      <c r="AJ396" s="100">
        <v>369.85</v>
      </c>
      <c r="AK396" s="98">
        <v>4.1100000000000003</v>
      </c>
      <c r="AL396" s="102">
        <v>41.48</v>
      </c>
      <c r="AM396" s="100">
        <v>369.85</v>
      </c>
      <c r="AN396" s="98">
        <v>4.1100000000000003</v>
      </c>
      <c r="AO396" s="102">
        <v>45.59</v>
      </c>
      <c r="AP396" s="100">
        <v>387.85</v>
      </c>
      <c r="AQ396" s="98">
        <v>4.3099999999999996</v>
      </c>
      <c r="AR396" s="102">
        <v>49.9</v>
      </c>
      <c r="AS396" s="100">
        <v>387.85</v>
      </c>
      <c r="AT396" s="98">
        <v>4.3099999999999996</v>
      </c>
      <c r="AU396" s="102">
        <v>54.21</v>
      </c>
      <c r="AV396" s="100">
        <v>387.85</v>
      </c>
      <c r="AW396" s="98">
        <v>4.3099999999999996</v>
      </c>
      <c r="AX396" s="102">
        <v>58.52</v>
      </c>
      <c r="AY396" s="100">
        <v>369.85</v>
      </c>
      <c r="AZ396" s="98">
        <v>4.1100000000000003</v>
      </c>
      <c r="BA396" s="102">
        <v>62.63</v>
      </c>
      <c r="BB396" s="100">
        <v>351.85</v>
      </c>
      <c r="BC396" s="98">
        <v>3.91</v>
      </c>
      <c r="BD396" s="102">
        <v>66.540000000000006</v>
      </c>
      <c r="BE396" s="100">
        <v>351.85</v>
      </c>
      <c r="BF396" s="98">
        <v>3.91</v>
      </c>
      <c r="BG396" s="102">
        <v>70.45</v>
      </c>
      <c r="BH396" s="100">
        <v>404.94</v>
      </c>
      <c r="BI396" s="98">
        <v>4.5</v>
      </c>
      <c r="BJ396" s="102">
        <v>74.95</v>
      </c>
      <c r="BK396" s="100">
        <v>369.85</v>
      </c>
      <c r="BL396" s="98">
        <v>4.1100000000000003</v>
      </c>
      <c r="BM396" s="102">
        <v>79.06</v>
      </c>
      <c r="BN396" s="100">
        <v>351.85</v>
      </c>
      <c r="BO396" s="98">
        <v>3.91</v>
      </c>
      <c r="BP396" s="102">
        <v>82.97</v>
      </c>
      <c r="BQ396" s="100">
        <v>404.94</v>
      </c>
      <c r="BR396" s="98">
        <v>4.5</v>
      </c>
      <c r="BS396" s="102">
        <v>87.47</v>
      </c>
      <c r="BT396" s="100">
        <v>351.85</v>
      </c>
      <c r="BU396" s="98">
        <v>3.91</v>
      </c>
      <c r="BV396" s="102">
        <v>91.38</v>
      </c>
      <c r="BW396" s="100">
        <v>387.85</v>
      </c>
      <c r="BX396" s="98">
        <v>4.3099999999999996</v>
      </c>
      <c r="BY396" s="102">
        <v>95.69</v>
      </c>
      <c r="BZ396" s="100">
        <v>387.85</v>
      </c>
      <c r="CA396" s="98">
        <v>4.3099999999999996</v>
      </c>
      <c r="CB396" s="100">
        <v>100</v>
      </c>
      <c r="CC396" s="99"/>
      <c r="CD396" s="99"/>
      <c r="CE396" s="989">
        <v>100</v>
      </c>
      <c r="CF396" s="407"/>
      <c r="CG396" s="408"/>
      <c r="CH396" s="407"/>
      <c r="CI396" s="406"/>
      <c r="CJ396" s="406"/>
      <c r="CK396" s="406"/>
      <c r="CL396" s="406"/>
      <c r="CM396" s="406"/>
      <c r="CN396" s="406"/>
      <c r="CO396" s="467"/>
      <c r="CP396" s="467"/>
      <c r="CQ396" s="406"/>
      <c r="CR396" s="406"/>
      <c r="CS396" s="406"/>
      <c r="CT396" s="406"/>
      <c r="CU396" s="406"/>
      <c r="CV396" s="406"/>
      <c r="CW396" s="406"/>
      <c r="CX396" s="470"/>
      <c r="CY396" s="467"/>
      <c r="CZ396" s="407"/>
      <c r="DA396" s="407"/>
      <c r="DB396" s="467"/>
      <c r="DC396" s="467"/>
      <c r="DD396" s="467"/>
      <c r="DE396" s="467"/>
      <c r="DF396" s="407"/>
    </row>
    <row r="397" spans="1:110" ht="8.4499999999999993" customHeight="1" x14ac:dyDescent="0.2">
      <c r="A397" s="130" t="s">
        <v>85</v>
      </c>
      <c r="B397" s="96">
        <v>12</v>
      </c>
      <c r="C397" s="82" t="s">
        <v>2692</v>
      </c>
      <c r="D397" s="96">
        <v>22</v>
      </c>
      <c r="E397" s="82" t="s">
        <v>1951</v>
      </c>
      <c r="F397" s="82" t="s">
        <v>1954</v>
      </c>
      <c r="G397" s="97">
        <v>15712.11</v>
      </c>
      <c r="H397" s="98">
        <v>0.18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7">
        <v>15712.11</v>
      </c>
      <c r="AH397" s="100">
        <v>100</v>
      </c>
      <c r="AI397" s="100">
        <v>100</v>
      </c>
      <c r="AJ397" s="99"/>
      <c r="AK397" s="99"/>
      <c r="AL397" s="100">
        <v>100</v>
      </c>
      <c r="AM397" s="99"/>
      <c r="AN397" s="99"/>
      <c r="AO397" s="100">
        <v>100</v>
      </c>
      <c r="AP397" s="99"/>
      <c r="AQ397" s="99"/>
      <c r="AR397" s="100">
        <v>100</v>
      </c>
      <c r="AS397" s="99"/>
      <c r="AT397" s="99"/>
      <c r="AU397" s="100">
        <v>100</v>
      </c>
      <c r="AV397" s="99"/>
      <c r="AW397" s="99"/>
      <c r="AX397" s="100">
        <v>100</v>
      </c>
      <c r="AY397" s="99"/>
      <c r="AZ397" s="99"/>
      <c r="BA397" s="100">
        <v>100</v>
      </c>
      <c r="BB397" s="99"/>
      <c r="BC397" s="99"/>
      <c r="BD397" s="100">
        <v>100</v>
      </c>
      <c r="BE397" s="99"/>
      <c r="BF397" s="99"/>
      <c r="BG397" s="100">
        <v>100</v>
      </c>
      <c r="BH397" s="99"/>
      <c r="BI397" s="99"/>
      <c r="BJ397" s="100">
        <v>100</v>
      </c>
      <c r="BK397" s="99"/>
      <c r="BL397" s="99"/>
      <c r="BM397" s="100">
        <v>100</v>
      </c>
      <c r="BN397" s="99"/>
      <c r="BO397" s="99"/>
      <c r="BP397" s="100">
        <v>100</v>
      </c>
      <c r="BQ397" s="99"/>
      <c r="BR397" s="99"/>
      <c r="BS397" s="100">
        <v>100</v>
      </c>
      <c r="BT397" s="99"/>
      <c r="BU397" s="99"/>
      <c r="BV397" s="100">
        <v>100</v>
      </c>
      <c r="BW397" s="99"/>
      <c r="BX397" s="99"/>
      <c r="BY397" s="100">
        <v>100</v>
      </c>
      <c r="BZ397" s="99"/>
      <c r="CA397" s="99"/>
      <c r="CB397" s="100">
        <v>100</v>
      </c>
      <c r="CC397" s="99"/>
      <c r="CD397" s="99"/>
      <c r="CE397" s="989">
        <v>100</v>
      </c>
      <c r="CF397" s="406"/>
      <c r="CG397" s="406"/>
      <c r="CH397" s="407"/>
      <c r="CI397" s="406"/>
      <c r="CJ397" s="406"/>
      <c r="CK397" s="406"/>
      <c r="CL397" s="406"/>
      <c r="CM397" s="406"/>
      <c r="CN397" s="406"/>
      <c r="CO397" s="474"/>
      <c r="CP397" s="464"/>
      <c r="CQ397" s="404"/>
      <c r="CR397" s="411"/>
      <c r="CS397" s="404"/>
      <c r="CT397" s="404"/>
      <c r="CU397" s="411"/>
      <c r="CV397" s="404"/>
      <c r="CW397" s="405"/>
      <c r="CX397" s="464"/>
      <c r="CY397" s="464"/>
      <c r="CZ397" s="460"/>
      <c r="DA397" s="405"/>
      <c r="DB397" s="464"/>
      <c r="DC397" s="464"/>
      <c r="DD397" s="464"/>
      <c r="DE397" s="464"/>
      <c r="DF397" s="405"/>
    </row>
    <row r="398" spans="1:110" ht="8.4499999999999993" customHeight="1" x14ac:dyDescent="0.2">
      <c r="A398" s="130" t="s">
        <v>157</v>
      </c>
      <c r="B398" s="96">
        <v>13</v>
      </c>
      <c r="C398" s="82" t="s">
        <v>2693</v>
      </c>
      <c r="D398" s="96">
        <v>20</v>
      </c>
      <c r="E398" s="82" t="s">
        <v>2180</v>
      </c>
      <c r="F398" s="82" t="s">
        <v>2374</v>
      </c>
      <c r="G398" s="97">
        <v>10348.68</v>
      </c>
      <c r="H398" s="98">
        <v>0.12</v>
      </c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7">
        <v>10348.68</v>
      </c>
      <c r="AN398" s="100">
        <v>100</v>
      </c>
      <c r="AO398" s="100">
        <v>100</v>
      </c>
      <c r="AP398" s="99"/>
      <c r="AQ398" s="99"/>
      <c r="AR398" s="100">
        <v>100</v>
      </c>
      <c r="AS398" s="99"/>
      <c r="AT398" s="99"/>
      <c r="AU398" s="100">
        <v>100</v>
      </c>
      <c r="AV398" s="99"/>
      <c r="AW398" s="99"/>
      <c r="AX398" s="100">
        <v>100</v>
      </c>
      <c r="AY398" s="99"/>
      <c r="AZ398" s="99"/>
      <c r="BA398" s="100">
        <v>100</v>
      </c>
      <c r="BB398" s="99"/>
      <c r="BC398" s="99"/>
      <c r="BD398" s="100">
        <v>100</v>
      </c>
      <c r="BE398" s="99"/>
      <c r="BF398" s="99"/>
      <c r="BG398" s="100">
        <v>100</v>
      </c>
      <c r="BH398" s="99"/>
      <c r="BI398" s="99"/>
      <c r="BJ398" s="100">
        <v>100</v>
      </c>
      <c r="BK398" s="99"/>
      <c r="BL398" s="99"/>
      <c r="BM398" s="100">
        <v>100</v>
      </c>
      <c r="BN398" s="99"/>
      <c r="BO398" s="99"/>
      <c r="BP398" s="100">
        <v>100</v>
      </c>
      <c r="BQ398" s="99"/>
      <c r="BR398" s="99"/>
      <c r="BS398" s="100">
        <v>100</v>
      </c>
      <c r="BT398" s="99"/>
      <c r="BU398" s="99"/>
      <c r="BV398" s="100">
        <v>100</v>
      </c>
      <c r="BW398" s="99"/>
      <c r="BX398" s="99"/>
      <c r="BY398" s="100">
        <v>100</v>
      </c>
      <c r="BZ398" s="99"/>
      <c r="CA398" s="99"/>
      <c r="CB398" s="100">
        <v>100</v>
      </c>
      <c r="CC398" s="99"/>
      <c r="CD398" s="99"/>
      <c r="CE398" s="989">
        <v>100</v>
      </c>
      <c r="CF398" s="406"/>
      <c r="CG398" s="406"/>
      <c r="CH398" s="407"/>
      <c r="CI398" s="406"/>
      <c r="CJ398" s="406"/>
      <c r="CK398" s="406"/>
      <c r="CL398" s="406"/>
      <c r="CM398" s="406"/>
      <c r="CN398" s="406"/>
      <c r="CO398" s="474"/>
      <c r="CP398" s="464"/>
      <c r="CQ398" s="404"/>
      <c r="CR398" s="403"/>
      <c r="CS398" s="404"/>
      <c r="CT398" s="404"/>
      <c r="CU398" s="411"/>
      <c r="CV398" s="404"/>
      <c r="CW398" s="405"/>
      <c r="CX398" s="464"/>
      <c r="CY398" s="464"/>
      <c r="CZ398" s="460"/>
      <c r="DA398" s="405"/>
      <c r="DB398" s="464"/>
      <c r="DC398" s="464"/>
      <c r="DD398" s="464"/>
      <c r="DE398" s="464"/>
      <c r="DF398" s="405"/>
    </row>
    <row r="399" spans="1:110" ht="8.4499999999999993" customHeight="1" x14ac:dyDescent="0.2">
      <c r="A399" s="130" t="s">
        <v>158</v>
      </c>
      <c r="B399" s="96">
        <v>14</v>
      </c>
      <c r="C399" s="82" t="s">
        <v>2694</v>
      </c>
      <c r="D399" s="96">
        <v>83</v>
      </c>
      <c r="E399" s="82" t="s">
        <v>2029</v>
      </c>
      <c r="F399" s="82" t="s">
        <v>2167</v>
      </c>
      <c r="G399" s="101">
        <v>2793.36</v>
      </c>
      <c r="H399" s="98">
        <v>0.03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100">
        <v>706.72</v>
      </c>
      <c r="AZ399" s="102">
        <v>25.3</v>
      </c>
      <c r="BA399" s="102">
        <v>25.3</v>
      </c>
      <c r="BB399" s="100">
        <v>673.2</v>
      </c>
      <c r="BC399" s="102">
        <v>24.1</v>
      </c>
      <c r="BD399" s="102">
        <v>49.4</v>
      </c>
      <c r="BE399" s="100">
        <v>673.2</v>
      </c>
      <c r="BF399" s="102">
        <v>24.1</v>
      </c>
      <c r="BG399" s="102">
        <v>73.5</v>
      </c>
      <c r="BH399" s="100">
        <v>740.24</v>
      </c>
      <c r="BI399" s="102">
        <v>26.5</v>
      </c>
      <c r="BJ399" s="100">
        <v>100</v>
      </c>
      <c r="BK399" s="99"/>
      <c r="BL399" s="99"/>
      <c r="BM399" s="100">
        <v>100</v>
      </c>
      <c r="BN399" s="99"/>
      <c r="BO399" s="99"/>
      <c r="BP399" s="100">
        <v>100</v>
      </c>
      <c r="BQ399" s="99"/>
      <c r="BR399" s="99"/>
      <c r="BS399" s="100">
        <v>100</v>
      </c>
      <c r="BT399" s="99"/>
      <c r="BU399" s="99"/>
      <c r="BV399" s="100">
        <v>100</v>
      </c>
      <c r="BW399" s="99"/>
      <c r="BX399" s="99"/>
      <c r="BY399" s="100">
        <v>100</v>
      </c>
      <c r="BZ399" s="99"/>
      <c r="CA399" s="99"/>
      <c r="CB399" s="100">
        <v>100</v>
      </c>
      <c r="CC399" s="99"/>
      <c r="CD399" s="99"/>
      <c r="CE399" s="989">
        <v>100</v>
      </c>
      <c r="CF399" s="406"/>
      <c r="CG399" s="406"/>
      <c r="CH399" s="407"/>
      <c r="CI399" s="406"/>
      <c r="CJ399" s="406"/>
      <c r="CK399" s="406"/>
      <c r="CL399" s="406"/>
      <c r="CM399" s="406"/>
      <c r="CN399" s="406"/>
      <c r="CO399" s="473"/>
      <c r="CP399" s="467"/>
      <c r="CQ399" s="409"/>
      <c r="CR399" s="410"/>
      <c r="CS399" s="409"/>
      <c r="CT399" s="409"/>
      <c r="CU399" s="410"/>
      <c r="CV399" s="409"/>
      <c r="CW399" s="407"/>
      <c r="CX399" s="467"/>
      <c r="CY399" s="467"/>
      <c r="CZ399" s="406"/>
      <c r="DA399" s="407"/>
      <c r="DB399" s="467"/>
      <c r="DC399" s="467"/>
      <c r="DD399" s="467"/>
      <c r="DE399" s="467"/>
      <c r="DF399" s="407"/>
    </row>
    <row r="400" spans="1:110" ht="8.4499999999999993" customHeight="1" x14ac:dyDescent="0.2">
      <c r="A400" s="130" t="s">
        <v>518</v>
      </c>
      <c r="B400" s="96">
        <v>15</v>
      </c>
      <c r="C400" s="82" t="s">
        <v>2695</v>
      </c>
      <c r="D400" s="104">
        <v>149</v>
      </c>
      <c r="E400" s="82" t="s">
        <v>1950</v>
      </c>
      <c r="F400" s="82" t="s">
        <v>2027</v>
      </c>
      <c r="G400" s="101">
        <v>7574.22</v>
      </c>
      <c r="H400" s="98">
        <v>0.09</v>
      </c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101">
        <v>1118.71</v>
      </c>
      <c r="Y400" s="102">
        <v>14.77</v>
      </c>
      <c r="Z400" s="102">
        <v>14.77</v>
      </c>
      <c r="AA400" s="101">
        <v>1016.46</v>
      </c>
      <c r="AB400" s="102">
        <v>13.42</v>
      </c>
      <c r="AC400" s="102">
        <v>28.19</v>
      </c>
      <c r="AD400" s="101">
        <v>1016.46</v>
      </c>
      <c r="AE400" s="102">
        <v>13.42</v>
      </c>
      <c r="AF400" s="102">
        <v>41.61</v>
      </c>
      <c r="AG400" s="101">
        <v>1169.46</v>
      </c>
      <c r="AH400" s="102">
        <v>15.44</v>
      </c>
      <c r="AI400" s="102">
        <v>57.05</v>
      </c>
      <c r="AJ400" s="101">
        <v>1067.21</v>
      </c>
      <c r="AK400" s="102">
        <v>14.09</v>
      </c>
      <c r="AL400" s="102">
        <v>71.14</v>
      </c>
      <c r="AM400" s="101">
        <v>1067.21</v>
      </c>
      <c r="AN400" s="102">
        <v>14.09</v>
      </c>
      <c r="AO400" s="102">
        <v>85.23</v>
      </c>
      <c r="AP400" s="101">
        <v>1118.71</v>
      </c>
      <c r="AQ400" s="102">
        <v>14.77</v>
      </c>
      <c r="AR400" s="100">
        <v>100</v>
      </c>
      <c r="AS400" s="99"/>
      <c r="AT400" s="99"/>
      <c r="AU400" s="100">
        <v>100</v>
      </c>
      <c r="AV400" s="99"/>
      <c r="AW400" s="99"/>
      <c r="AX400" s="100">
        <v>100</v>
      </c>
      <c r="AY400" s="99"/>
      <c r="AZ400" s="99"/>
      <c r="BA400" s="100">
        <v>100</v>
      </c>
      <c r="BB400" s="99"/>
      <c r="BC400" s="99"/>
      <c r="BD400" s="100">
        <v>100</v>
      </c>
      <c r="BE400" s="99"/>
      <c r="BF400" s="99"/>
      <c r="BG400" s="100">
        <v>100</v>
      </c>
      <c r="BH400" s="99"/>
      <c r="BI400" s="99"/>
      <c r="BJ400" s="100">
        <v>100</v>
      </c>
      <c r="BK400" s="99"/>
      <c r="BL400" s="99"/>
      <c r="BM400" s="100">
        <v>100</v>
      </c>
      <c r="BN400" s="99"/>
      <c r="BO400" s="99"/>
      <c r="BP400" s="100">
        <v>100</v>
      </c>
      <c r="BQ400" s="99"/>
      <c r="BR400" s="99"/>
      <c r="BS400" s="100">
        <v>100</v>
      </c>
      <c r="BT400" s="99"/>
      <c r="BU400" s="99"/>
      <c r="BV400" s="100">
        <v>100</v>
      </c>
      <c r="BW400" s="99"/>
      <c r="BX400" s="99"/>
      <c r="BY400" s="100">
        <v>100</v>
      </c>
      <c r="BZ400" s="99"/>
      <c r="CA400" s="99"/>
      <c r="CB400" s="100">
        <v>100</v>
      </c>
      <c r="CC400" s="99"/>
      <c r="CD400" s="99"/>
      <c r="CE400" s="989">
        <v>100</v>
      </c>
      <c r="CF400" s="407"/>
      <c r="CG400" s="408"/>
      <c r="CH400" s="407"/>
      <c r="CI400" s="406"/>
      <c r="CJ400" s="406"/>
      <c r="CK400" s="406"/>
      <c r="CL400" s="406"/>
      <c r="CM400" s="406"/>
      <c r="CN400" s="406"/>
      <c r="CO400" s="473"/>
      <c r="CP400" s="467"/>
      <c r="CQ400" s="407"/>
      <c r="CR400" s="406"/>
      <c r="CS400" s="406"/>
      <c r="CT400" s="407"/>
      <c r="CU400" s="406"/>
      <c r="CV400" s="406"/>
      <c r="CW400" s="407"/>
      <c r="CX400" s="467"/>
      <c r="CY400" s="467"/>
      <c r="CZ400" s="406"/>
      <c r="DA400" s="407"/>
      <c r="DB400" s="467"/>
      <c r="DC400" s="467"/>
      <c r="DD400" s="467"/>
      <c r="DE400" s="467"/>
      <c r="DF400" s="407"/>
    </row>
    <row r="401" spans="1:110" ht="8.4499999999999993" customHeight="1" x14ac:dyDescent="0.2">
      <c r="A401" s="130" t="s">
        <v>519</v>
      </c>
      <c r="B401" s="96">
        <v>16</v>
      </c>
      <c r="C401" s="82" t="s">
        <v>2696</v>
      </c>
      <c r="D401" s="104">
        <v>148</v>
      </c>
      <c r="E401" s="82" t="s">
        <v>2180</v>
      </c>
      <c r="F401" s="82" t="s">
        <v>2030</v>
      </c>
      <c r="G401" s="100">
        <v>814</v>
      </c>
      <c r="H401" s="98">
        <v>0.01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100">
        <v>115.51</v>
      </c>
      <c r="AN401" s="102">
        <v>14.19</v>
      </c>
      <c r="AO401" s="102">
        <v>14.19</v>
      </c>
      <c r="AP401" s="100">
        <v>120.96</v>
      </c>
      <c r="AQ401" s="102">
        <v>14.86</v>
      </c>
      <c r="AR401" s="102">
        <v>29.05</v>
      </c>
      <c r="AS401" s="100">
        <v>121.04</v>
      </c>
      <c r="AT401" s="102">
        <v>14.87</v>
      </c>
      <c r="AU401" s="102">
        <v>43.92</v>
      </c>
      <c r="AV401" s="100">
        <v>121.04</v>
      </c>
      <c r="AW401" s="102">
        <v>14.87</v>
      </c>
      <c r="AX401" s="102">
        <v>58.79</v>
      </c>
      <c r="AY401" s="100">
        <v>115.51</v>
      </c>
      <c r="AZ401" s="102">
        <v>14.19</v>
      </c>
      <c r="BA401" s="102">
        <v>72.98</v>
      </c>
      <c r="BB401" s="100">
        <v>109.97</v>
      </c>
      <c r="BC401" s="102">
        <v>13.51</v>
      </c>
      <c r="BD401" s="102">
        <v>86.49</v>
      </c>
      <c r="BE401" s="100">
        <v>109.97</v>
      </c>
      <c r="BF401" s="102">
        <v>13.51</v>
      </c>
      <c r="BG401" s="100">
        <v>100</v>
      </c>
      <c r="BH401" s="99"/>
      <c r="BI401" s="99"/>
      <c r="BJ401" s="100">
        <v>100</v>
      </c>
      <c r="BK401" s="99"/>
      <c r="BL401" s="99"/>
      <c r="BM401" s="100">
        <v>100</v>
      </c>
      <c r="BN401" s="99"/>
      <c r="BO401" s="99"/>
      <c r="BP401" s="100">
        <v>100</v>
      </c>
      <c r="BQ401" s="99"/>
      <c r="BR401" s="99"/>
      <c r="BS401" s="100">
        <v>100</v>
      </c>
      <c r="BT401" s="99"/>
      <c r="BU401" s="99"/>
      <c r="BV401" s="100">
        <v>100</v>
      </c>
      <c r="BW401" s="99"/>
      <c r="BX401" s="99"/>
      <c r="BY401" s="100">
        <v>100</v>
      </c>
      <c r="BZ401" s="99"/>
      <c r="CA401" s="99"/>
      <c r="CB401" s="100">
        <v>100</v>
      </c>
      <c r="CC401" s="99"/>
      <c r="CD401" s="99"/>
      <c r="CE401" s="989">
        <v>100</v>
      </c>
      <c r="CF401" s="407"/>
      <c r="CG401" s="408"/>
      <c r="CH401" s="407"/>
      <c r="CI401" s="406"/>
      <c r="CJ401" s="406"/>
      <c r="CK401" s="406"/>
      <c r="CL401" s="406"/>
      <c r="CM401" s="406"/>
      <c r="CN401" s="406"/>
      <c r="CO401" s="473"/>
      <c r="CP401" s="467"/>
      <c r="CQ401" s="409"/>
      <c r="CR401" s="410"/>
      <c r="CS401" s="409"/>
      <c r="CT401" s="409"/>
      <c r="CU401" s="410"/>
      <c r="CV401" s="409"/>
      <c r="CW401" s="407"/>
      <c r="CX401" s="467"/>
      <c r="CY401" s="467"/>
      <c r="CZ401" s="406"/>
      <c r="DA401" s="407"/>
      <c r="DB401" s="467"/>
      <c r="DC401" s="467"/>
      <c r="DD401" s="467"/>
      <c r="DE401" s="467"/>
      <c r="DF401" s="407"/>
    </row>
    <row r="402" spans="1:110" ht="8.4499999999999993" customHeight="1" x14ac:dyDescent="0.2">
      <c r="A402" s="130" t="s">
        <v>520</v>
      </c>
      <c r="B402" s="96">
        <v>17</v>
      </c>
      <c r="C402" s="82" t="s">
        <v>2697</v>
      </c>
      <c r="D402" s="96">
        <v>20</v>
      </c>
      <c r="E402" s="82" t="s">
        <v>1555</v>
      </c>
      <c r="F402" s="82" t="s">
        <v>1952</v>
      </c>
      <c r="G402" s="101">
        <v>4000</v>
      </c>
      <c r="H402" s="98">
        <v>0.05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101">
        <v>4000</v>
      </c>
      <c r="AB402" s="100">
        <v>100</v>
      </c>
      <c r="AC402" s="100">
        <v>100</v>
      </c>
      <c r="AD402" s="99"/>
      <c r="AE402" s="99"/>
      <c r="AF402" s="100">
        <v>100</v>
      </c>
      <c r="AG402" s="99"/>
      <c r="AH402" s="99"/>
      <c r="AI402" s="100">
        <v>100</v>
      </c>
      <c r="AJ402" s="99"/>
      <c r="AK402" s="99"/>
      <c r="AL402" s="100">
        <v>100</v>
      </c>
      <c r="AM402" s="99"/>
      <c r="AN402" s="99"/>
      <c r="AO402" s="100">
        <v>100</v>
      </c>
      <c r="AP402" s="99"/>
      <c r="AQ402" s="99"/>
      <c r="AR402" s="100">
        <v>100</v>
      </c>
      <c r="AS402" s="99"/>
      <c r="AT402" s="99"/>
      <c r="AU402" s="100">
        <v>100</v>
      </c>
      <c r="AV402" s="99"/>
      <c r="AW402" s="99"/>
      <c r="AX402" s="100">
        <v>100</v>
      </c>
      <c r="AY402" s="99"/>
      <c r="AZ402" s="99"/>
      <c r="BA402" s="100">
        <v>100</v>
      </c>
      <c r="BB402" s="99"/>
      <c r="BC402" s="99"/>
      <c r="BD402" s="100">
        <v>100</v>
      </c>
      <c r="BE402" s="99"/>
      <c r="BF402" s="99"/>
      <c r="BG402" s="100">
        <v>100</v>
      </c>
      <c r="BH402" s="99"/>
      <c r="BI402" s="99"/>
      <c r="BJ402" s="100">
        <v>100</v>
      </c>
      <c r="BK402" s="99"/>
      <c r="BL402" s="99"/>
      <c r="BM402" s="100">
        <v>100</v>
      </c>
      <c r="BN402" s="99"/>
      <c r="BO402" s="99"/>
      <c r="BP402" s="100">
        <v>100</v>
      </c>
      <c r="BQ402" s="99"/>
      <c r="BR402" s="99"/>
      <c r="BS402" s="100">
        <v>100</v>
      </c>
      <c r="BT402" s="99"/>
      <c r="BU402" s="99"/>
      <c r="BV402" s="100">
        <v>100</v>
      </c>
      <c r="BW402" s="99"/>
      <c r="BX402" s="99"/>
      <c r="BY402" s="100">
        <v>100</v>
      </c>
      <c r="BZ402" s="99"/>
      <c r="CA402" s="99"/>
      <c r="CB402" s="100">
        <v>100</v>
      </c>
      <c r="CC402" s="99"/>
      <c r="CD402" s="99"/>
      <c r="CE402" s="989">
        <v>100</v>
      </c>
      <c r="CF402" s="406"/>
      <c r="CG402" s="406"/>
      <c r="CH402" s="407"/>
      <c r="CI402" s="406"/>
      <c r="CJ402" s="406"/>
      <c r="CK402" s="406"/>
      <c r="CL402" s="406"/>
      <c r="CM402" s="406"/>
      <c r="CN402" s="406"/>
      <c r="CO402" s="473"/>
      <c r="CP402" s="467"/>
      <c r="CQ402" s="409"/>
      <c r="CR402" s="410"/>
      <c r="CS402" s="409"/>
      <c r="CT402" s="409"/>
      <c r="CU402" s="410"/>
      <c r="CV402" s="409"/>
      <c r="CW402" s="407"/>
      <c r="CX402" s="467"/>
      <c r="CY402" s="467"/>
      <c r="CZ402" s="406"/>
      <c r="DA402" s="407"/>
      <c r="DB402" s="467"/>
      <c r="DC402" s="467"/>
      <c r="DD402" s="467"/>
      <c r="DE402" s="467"/>
      <c r="DF402" s="407"/>
    </row>
    <row r="403" spans="1:110" ht="8.4499999999999993" customHeight="1" x14ac:dyDescent="0.2">
      <c r="A403" s="130" t="s">
        <v>521</v>
      </c>
      <c r="B403" s="96">
        <v>18</v>
      </c>
      <c r="C403" s="82" t="s">
        <v>2698</v>
      </c>
      <c r="D403" s="104">
        <v>511</v>
      </c>
      <c r="E403" s="82" t="s">
        <v>1557</v>
      </c>
      <c r="F403" s="82" t="s">
        <v>2024</v>
      </c>
      <c r="G403" s="101">
        <v>2500</v>
      </c>
      <c r="H403" s="98">
        <v>0.03</v>
      </c>
      <c r="I403" s="100">
        <v>112.5</v>
      </c>
      <c r="J403" s="98">
        <v>4.5</v>
      </c>
      <c r="K403" s="98">
        <v>4.5</v>
      </c>
      <c r="L403" s="100">
        <v>102.75</v>
      </c>
      <c r="M403" s="98">
        <v>4.1100000000000003</v>
      </c>
      <c r="N403" s="98">
        <v>8.61</v>
      </c>
      <c r="O403" s="100">
        <v>102.75</v>
      </c>
      <c r="P403" s="98">
        <v>4.1100000000000003</v>
      </c>
      <c r="Q403" s="102">
        <v>12.72</v>
      </c>
      <c r="R403" s="100">
        <v>102.75</v>
      </c>
      <c r="S403" s="98">
        <v>4.1100000000000003</v>
      </c>
      <c r="T403" s="102">
        <v>16.829999999999998</v>
      </c>
      <c r="U403" s="102">
        <v>97.75</v>
      </c>
      <c r="V403" s="98">
        <v>3.91</v>
      </c>
      <c r="W403" s="102">
        <v>20.74</v>
      </c>
      <c r="X403" s="100">
        <v>107.75</v>
      </c>
      <c r="Y403" s="98">
        <v>4.3099999999999996</v>
      </c>
      <c r="Z403" s="102">
        <v>25.05</v>
      </c>
      <c r="AA403" s="102">
        <v>97.75</v>
      </c>
      <c r="AB403" s="98">
        <v>3.91</v>
      </c>
      <c r="AC403" s="102">
        <v>28.96</v>
      </c>
      <c r="AD403" s="102">
        <v>97.75</v>
      </c>
      <c r="AE403" s="98">
        <v>3.91</v>
      </c>
      <c r="AF403" s="102">
        <v>32.869999999999997</v>
      </c>
      <c r="AG403" s="100">
        <v>112.5</v>
      </c>
      <c r="AH403" s="98">
        <v>4.5</v>
      </c>
      <c r="AI403" s="102">
        <v>37.369999999999997</v>
      </c>
      <c r="AJ403" s="100">
        <v>102.75</v>
      </c>
      <c r="AK403" s="98">
        <v>4.1100000000000003</v>
      </c>
      <c r="AL403" s="102">
        <v>41.48</v>
      </c>
      <c r="AM403" s="100">
        <v>102.75</v>
      </c>
      <c r="AN403" s="98">
        <v>4.1100000000000003</v>
      </c>
      <c r="AO403" s="102">
        <v>45.59</v>
      </c>
      <c r="AP403" s="100">
        <v>107.75</v>
      </c>
      <c r="AQ403" s="98">
        <v>4.3099999999999996</v>
      </c>
      <c r="AR403" s="102">
        <v>49.9</v>
      </c>
      <c r="AS403" s="100">
        <v>107.75</v>
      </c>
      <c r="AT403" s="98">
        <v>4.3099999999999996</v>
      </c>
      <c r="AU403" s="102">
        <v>54.21</v>
      </c>
      <c r="AV403" s="100">
        <v>107.75</v>
      </c>
      <c r="AW403" s="98">
        <v>4.3099999999999996</v>
      </c>
      <c r="AX403" s="102">
        <v>58.52</v>
      </c>
      <c r="AY403" s="100">
        <v>102.75</v>
      </c>
      <c r="AZ403" s="98">
        <v>4.1100000000000003</v>
      </c>
      <c r="BA403" s="102">
        <v>62.63</v>
      </c>
      <c r="BB403" s="102">
        <v>97.75</v>
      </c>
      <c r="BC403" s="98">
        <v>3.91</v>
      </c>
      <c r="BD403" s="102">
        <v>66.540000000000006</v>
      </c>
      <c r="BE403" s="102">
        <v>97.75</v>
      </c>
      <c r="BF403" s="98">
        <v>3.91</v>
      </c>
      <c r="BG403" s="102">
        <v>70.45</v>
      </c>
      <c r="BH403" s="100">
        <v>112.5</v>
      </c>
      <c r="BI403" s="98">
        <v>4.5</v>
      </c>
      <c r="BJ403" s="102">
        <v>74.95</v>
      </c>
      <c r="BK403" s="100">
        <v>102.75</v>
      </c>
      <c r="BL403" s="98">
        <v>4.1100000000000003</v>
      </c>
      <c r="BM403" s="102">
        <v>79.06</v>
      </c>
      <c r="BN403" s="102">
        <v>97.75</v>
      </c>
      <c r="BO403" s="98">
        <v>3.91</v>
      </c>
      <c r="BP403" s="102">
        <v>82.97</v>
      </c>
      <c r="BQ403" s="100">
        <v>112.5</v>
      </c>
      <c r="BR403" s="98">
        <v>4.5</v>
      </c>
      <c r="BS403" s="102">
        <v>87.47</v>
      </c>
      <c r="BT403" s="102">
        <v>97.75</v>
      </c>
      <c r="BU403" s="98">
        <v>3.91</v>
      </c>
      <c r="BV403" s="102">
        <v>91.38</v>
      </c>
      <c r="BW403" s="100">
        <v>107.75</v>
      </c>
      <c r="BX403" s="98">
        <v>4.3099999999999996</v>
      </c>
      <c r="BY403" s="102">
        <v>95.69</v>
      </c>
      <c r="BZ403" s="100">
        <v>107.75</v>
      </c>
      <c r="CA403" s="98">
        <v>4.3099999999999996</v>
      </c>
      <c r="CB403" s="100">
        <v>100</v>
      </c>
      <c r="CC403" s="99"/>
      <c r="CD403" s="99"/>
      <c r="CE403" s="989">
        <v>100</v>
      </c>
      <c r="CF403" s="410"/>
      <c r="CG403" s="408"/>
      <c r="CH403" s="407"/>
      <c r="CI403" s="406"/>
      <c r="CJ403" s="406"/>
      <c r="CK403" s="406"/>
      <c r="CL403" s="406"/>
      <c r="CM403" s="406"/>
      <c r="CN403" s="406"/>
      <c r="CO403" s="473"/>
      <c r="CP403" s="467"/>
      <c r="CQ403" s="409"/>
      <c r="CR403" s="409"/>
      <c r="CS403" s="408"/>
      <c r="CT403" s="409"/>
      <c r="CU403" s="407"/>
      <c r="CV403" s="409"/>
      <c r="CW403" s="407"/>
      <c r="CX403" s="467"/>
      <c r="CY403" s="467"/>
      <c r="CZ403" s="406"/>
      <c r="DA403" s="407"/>
      <c r="DB403" s="467"/>
      <c r="DC403" s="467"/>
      <c r="DD403" s="467"/>
      <c r="DE403" s="467"/>
      <c r="DF403" s="407"/>
    </row>
    <row r="404" spans="1:110" ht="8.4499999999999993" customHeight="1" x14ac:dyDescent="0.2">
      <c r="A404" s="130" t="s">
        <v>2346</v>
      </c>
      <c r="B404" s="96">
        <v>19</v>
      </c>
      <c r="C404" s="82" t="s">
        <v>2699</v>
      </c>
      <c r="D404" s="104">
        <v>511</v>
      </c>
      <c r="E404" s="82" t="s">
        <v>1557</v>
      </c>
      <c r="F404" s="82" t="s">
        <v>2024</v>
      </c>
      <c r="G404" s="101">
        <v>7758.37</v>
      </c>
      <c r="H404" s="98">
        <v>0.09</v>
      </c>
      <c r="I404" s="100">
        <v>349.13</v>
      </c>
      <c r="J404" s="98">
        <v>4.5</v>
      </c>
      <c r="K404" s="98">
        <v>4.5</v>
      </c>
      <c r="L404" s="100">
        <v>318.87</v>
      </c>
      <c r="M404" s="98">
        <v>4.1100000000000003</v>
      </c>
      <c r="N404" s="98">
        <v>8.61</v>
      </c>
      <c r="O404" s="100">
        <v>318.87</v>
      </c>
      <c r="P404" s="98">
        <v>4.1100000000000003</v>
      </c>
      <c r="Q404" s="102">
        <v>12.72</v>
      </c>
      <c r="R404" s="100">
        <v>318.87</v>
      </c>
      <c r="S404" s="98">
        <v>4.1100000000000003</v>
      </c>
      <c r="T404" s="102">
        <v>16.829999999999998</v>
      </c>
      <c r="U404" s="100">
        <v>303.35000000000002</v>
      </c>
      <c r="V404" s="98">
        <v>3.91</v>
      </c>
      <c r="W404" s="102">
        <v>20.74</v>
      </c>
      <c r="X404" s="100">
        <v>334.39</v>
      </c>
      <c r="Y404" s="98">
        <v>4.3099999999999996</v>
      </c>
      <c r="Z404" s="102">
        <v>25.05</v>
      </c>
      <c r="AA404" s="100">
        <v>303.35000000000002</v>
      </c>
      <c r="AB404" s="98">
        <v>3.91</v>
      </c>
      <c r="AC404" s="102">
        <v>28.96</v>
      </c>
      <c r="AD404" s="100">
        <v>303.35000000000002</v>
      </c>
      <c r="AE404" s="98">
        <v>3.91</v>
      </c>
      <c r="AF404" s="102">
        <v>32.869999999999997</v>
      </c>
      <c r="AG404" s="100">
        <v>349.13</v>
      </c>
      <c r="AH404" s="98">
        <v>4.5</v>
      </c>
      <c r="AI404" s="102">
        <v>37.369999999999997</v>
      </c>
      <c r="AJ404" s="100">
        <v>318.87</v>
      </c>
      <c r="AK404" s="98">
        <v>4.1100000000000003</v>
      </c>
      <c r="AL404" s="102">
        <v>41.48</v>
      </c>
      <c r="AM404" s="100">
        <v>318.87</v>
      </c>
      <c r="AN404" s="98">
        <v>4.1100000000000003</v>
      </c>
      <c r="AO404" s="102">
        <v>45.59</v>
      </c>
      <c r="AP404" s="100">
        <v>334.39</v>
      </c>
      <c r="AQ404" s="98">
        <v>4.3099999999999996</v>
      </c>
      <c r="AR404" s="102">
        <v>49.9</v>
      </c>
      <c r="AS404" s="100">
        <v>334.39</v>
      </c>
      <c r="AT404" s="98">
        <v>4.3099999999999996</v>
      </c>
      <c r="AU404" s="102">
        <v>54.21</v>
      </c>
      <c r="AV404" s="100">
        <v>334.39</v>
      </c>
      <c r="AW404" s="98">
        <v>4.3099999999999996</v>
      </c>
      <c r="AX404" s="102">
        <v>58.52</v>
      </c>
      <c r="AY404" s="100">
        <v>318.87</v>
      </c>
      <c r="AZ404" s="98">
        <v>4.1100000000000003</v>
      </c>
      <c r="BA404" s="102">
        <v>62.63</v>
      </c>
      <c r="BB404" s="100">
        <v>303.35000000000002</v>
      </c>
      <c r="BC404" s="98">
        <v>3.91</v>
      </c>
      <c r="BD404" s="102">
        <v>66.540000000000006</v>
      </c>
      <c r="BE404" s="100">
        <v>303.35000000000002</v>
      </c>
      <c r="BF404" s="98">
        <v>3.91</v>
      </c>
      <c r="BG404" s="102">
        <v>70.45</v>
      </c>
      <c r="BH404" s="100">
        <v>349.13</v>
      </c>
      <c r="BI404" s="98">
        <v>4.5</v>
      </c>
      <c r="BJ404" s="102">
        <v>74.95</v>
      </c>
      <c r="BK404" s="100">
        <v>318.87</v>
      </c>
      <c r="BL404" s="98">
        <v>4.1100000000000003</v>
      </c>
      <c r="BM404" s="102">
        <v>79.06</v>
      </c>
      <c r="BN404" s="100">
        <v>303.35000000000002</v>
      </c>
      <c r="BO404" s="98">
        <v>3.91</v>
      </c>
      <c r="BP404" s="102">
        <v>82.97</v>
      </c>
      <c r="BQ404" s="100">
        <v>349.13</v>
      </c>
      <c r="BR404" s="98">
        <v>4.5</v>
      </c>
      <c r="BS404" s="102">
        <v>87.47</v>
      </c>
      <c r="BT404" s="100">
        <v>303.35000000000002</v>
      </c>
      <c r="BU404" s="98">
        <v>3.91</v>
      </c>
      <c r="BV404" s="102">
        <v>91.38</v>
      </c>
      <c r="BW404" s="100">
        <v>334.39</v>
      </c>
      <c r="BX404" s="98">
        <v>4.3099999999999996</v>
      </c>
      <c r="BY404" s="102">
        <v>95.69</v>
      </c>
      <c r="BZ404" s="100">
        <v>334.39</v>
      </c>
      <c r="CA404" s="98">
        <v>4.3099999999999996</v>
      </c>
      <c r="CB404" s="100">
        <v>100</v>
      </c>
      <c r="CC404" s="99"/>
      <c r="CD404" s="99"/>
      <c r="CE404" s="989">
        <v>100</v>
      </c>
      <c r="CF404" s="411"/>
      <c r="CG404" s="462"/>
      <c r="CH404" s="405"/>
      <c r="CI404" s="460"/>
      <c r="CJ404" s="460"/>
      <c r="CK404" s="460"/>
      <c r="CL404" s="460"/>
      <c r="CM404" s="460"/>
      <c r="CN404" s="460"/>
      <c r="CO404" s="473"/>
      <c r="CP404" s="467"/>
      <c r="CQ404" s="409"/>
      <c r="CR404" s="406"/>
      <c r="CS404" s="406"/>
      <c r="CT404" s="409"/>
      <c r="CU404" s="407"/>
      <c r="CV404" s="409"/>
      <c r="CW404" s="407"/>
      <c r="CX404" s="467"/>
      <c r="CY404" s="467"/>
      <c r="CZ404" s="406"/>
      <c r="DA404" s="407"/>
      <c r="DB404" s="467"/>
      <c r="DC404" s="467"/>
      <c r="DD404" s="467"/>
      <c r="DE404" s="467"/>
      <c r="DF404" s="407"/>
    </row>
    <row r="405" spans="1:110" ht="8.4499999999999993" customHeight="1" x14ac:dyDescent="0.2">
      <c r="A405" s="130" t="s">
        <v>2347</v>
      </c>
      <c r="B405" s="96">
        <v>20</v>
      </c>
      <c r="C405" s="82" t="s">
        <v>2700</v>
      </c>
      <c r="D405" s="104">
        <v>511</v>
      </c>
      <c r="E405" s="82" t="s">
        <v>1557</v>
      </c>
      <c r="F405" s="82" t="s">
        <v>2024</v>
      </c>
      <c r="G405" s="101">
        <v>2150</v>
      </c>
      <c r="H405" s="98">
        <v>0.02</v>
      </c>
      <c r="I405" s="102">
        <v>96.75</v>
      </c>
      <c r="J405" s="98">
        <v>4.5</v>
      </c>
      <c r="K405" s="98">
        <v>4.5</v>
      </c>
      <c r="L405" s="102">
        <v>88.37</v>
      </c>
      <c r="M405" s="98">
        <v>4.1100000000000003</v>
      </c>
      <c r="N405" s="98">
        <v>8.61</v>
      </c>
      <c r="O405" s="102">
        <v>88.37</v>
      </c>
      <c r="P405" s="98">
        <v>4.1100000000000003</v>
      </c>
      <c r="Q405" s="102">
        <v>12.72</v>
      </c>
      <c r="R405" s="102">
        <v>88.37</v>
      </c>
      <c r="S405" s="98">
        <v>4.1100000000000003</v>
      </c>
      <c r="T405" s="102">
        <v>16.829999999999998</v>
      </c>
      <c r="U405" s="102">
        <v>84.07</v>
      </c>
      <c r="V405" s="98">
        <v>3.91</v>
      </c>
      <c r="W405" s="102">
        <v>20.74</v>
      </c>
      <c r="X405" s="102">
        <v>92.67</v>
      </c>
      <c r="Y405" s="98">
        <v>4.3099999999999996</v>
      </c>
      <c r="Z405" s="102">
        <v>25.05</v>
      </c>
      <c r="AA405" s="102">
        <v>84.07</v>
      </c>
      <c r="AB405" s="98">
        <v>3.91</v>
      </c>
      <c r="AC405" s="102">
        <v>28.96</v>
      </c>
      <c r="AD405" s="102">
        <v>84.07</v>
      </c>
      <c r="AE405" s="98">
        <v>3.91</v>
      </c>
      <c r="AF405" s="102">
        <v>32.869999999999997</v>
      </c>
      <c r="AG405" s="102">
        <v>96.75</v>
      </c>
      <c r="AH405" s="98">
        <v>4.5</v>
      </c>
      <c r="AI405" s="102">
        <v>37.369999999999997</v>
      </c>
      <c r="AJ405" s="102">
        <v>88.37</v>
      </c>
      <c r="AK405" s="98">
        <v>4.1100000000000003</v>
      </c>
      <c r="AL405" s="102">
        <v>41.48</v>
      </c>
      <c r="AM405" s="102">
        <v>88.37</v>
      </c>
      <c r="AN405" s="98">
        <v>4.1100000000000003</v>
      </c>
      <c r="AO405" s="102">
        <v>45.59</v>
      </c>
      <c r="AP405" s="102">
        <v>92.67</v>
      </c>
      <c r="AQ405" s="98">
        <v>4.3099999999999996</v>
      </c>
      <c r="AR405" s="102">
        <v>49.9</v>
      </c>
      <c r="AS405" s="102">
        <v>92.67</v>
      </c>
      <c r="AT405" s="98">
        <v>4.3099999999999996</v>
      </c>
      <c r="AU405" s="102">
        <v>54.21</v>
      </c>
      <c r="AV405" s="102">
        <v>92.67</v>
      </c>
      <c r="AW405" s="98">
        <v>4.3099999999999996</v>
      </c>
      <c r="AX405" s="102">
        <v>58.52</v>
      </c>
      <c r="AY405" s="102">
        <v>88.37</v>
      </c>
      <c r="AZ405" s="98">
        <v>4.1100000000000003</v>
      </c>
      <c r="BA405" s="102">
        <v>62.63</v>
      </c>
      <c r="BB405" s="102">
        <v>84.07</v>
      </c>
      <c r="BC405" s="98">
        <v>3.91</v>
      </c>
      <c r="BD405" s="102">
        <v>66.540000000000006</v>
      </c>
      <c r="BE405" s="102">
        <v>84.07</v>
      </c>
      <c r="BF405" s="98">
        <v>3.91</v>
      </c>
      <c r="BG405" s="102">
        <v>70.45</v>
      </c>
      <c r="BH405" s="102">
        <v>96.75</v>
      </c>
      <c r="BI405" s="98">
        <v>4.5</v>
      </c>
      <c r="BJ405" s="102">
        <v>74.95</v>
      </c>
      <c r="BK405" s="102">
        <v>88.37</v>
      </c>
      <c r="BL405" s="98">
        <v>4.1100000000000003</v>
      </c>
      <c r="BM405" s="102">
        <v>79.06</v>
      </c>
      <c r="BN405" s="102">
        <v>84.07</v>
      </c>
      <c r="BO405" s="98">
        <v>3.91</v>
      </c>
      <c r="BP405" s="102">
        <v>82.97</v>
      </c>
      <c r="BQ405" s="102">
        <v>96.75</v>
      </c>
      <c r="BR405" s="98">
        <v>4.5</v>
      </c>
      <c r="BS405" s="102">
        <v>87.47</v>
      </c>
      <c r="BT405" s="102">
        <v>84.07</v>
      </c>
      <c r="BU405" s="98">
        <v>3.91</v>
      </c>
      <c r="BV405" s="102">
        <v>91.38</v>
      </c>
      <c r="BW405" s="102">
        <v>92.67</v>
      </c>
      <c r="BX405" s="98">
        <v>4.3099999999999996</v>
      </c>
      <c r="BY405" s="102">
        <v>95.69</v>
      </c>
      <c r="BZ405" s="102">
        <v>92.67</v>
      </c>
      <c r="CA405" s="98">
        <v>4.3099999999999996</v>
      </c>
      <c r="CB405" s="100">
        <v>100</v>
      </c>
      <c r="CC405" s="99"/>
      <c r="CD405" s="99"/>
      <c r="CE405" s="989">
        <v>100</v>
      </c>
      <c r="CF405" s="411"/>
      <c r="CG405" s="462"/>
      <c r="CH405" s="405"/>
      <c r="CI405" s="460"/>
      <c r="CJ405" s="460"/>
      <c r="CK405" s="460"/>
      <c r="CL405" s="460"/>
      <c r="CM405" s="460"/>
      <c r="CN405" s="460"/>
      <c r="CO405" s="467"/>
      <c r="CP405" s="467"/>
      <c r="CQ405" s="409"/>
      <c r="CR405" s="406"/>
      <c r="CS405" s="406"/>
      <c r="CT405" s="409"/>
      <c r="CU405" s="407"/>
      <c r="CV405" s="409"/>
      <c r="CW405" s="407"/>
      <c r="CX405" s="467"/>
      <c r="CY405" s="467"/>
      <c r="CZ405" s="406"/>
      <c r="DA405" s="407"/>
      <c r="DB405" s="467"/>
      <c r="DC405" s="467"/>
      <c r="DD405" s="467"/>
      <c r="DE405" s="467"/>
      <c r="DF405" s="407"/>
    </row>
    <row r="406" spans="1:110" ht="8.4499999999999993" customHeight="1" x14ac:dyDescent="0.2">
      <c r="A406" s="130" t="s">
        <v>86</v>
      </c>
      <c r="B406" s="88">
        <v>21</v>
      </c>
      <c r="C406" s="87" t="s">
        <v>327</v>
      </c>
      <c r="D406" s="103">
        <v>511</v>
      </c>
      <c r="E406" s="87" t="s">
        <v>1557</v>
      </c>
      <c r="F406" s="87" t="s">
        <v>2024</v>
      </c>
      <c r="G406" s="360">
        <v>1475807.01</v>
      </c>
      <c r="H406" s="91">
        <v>16.77</v>
      </c>
      <c r="I406" s="89">
        <v>66411.320000000007</v>
      </c>
      <c r="J406" s="90">
        <v>4.5</v>
      </c>
      <c r="K406" s="90">
        <v>4.5</v>
      </c>
      <c r="L406" s="89">
        <v>60655.67</v>
      </c>
      <c r="M406" s="90">
        <v>4.1100000000000003</v>
      </c>
      <c r="N406" s="90">
        <v>8.61</v>
      </c>
      <c r="O406" s="89">
        <v>60655.67</v>
      </c>
      <c r="P406" s="90">
        <v>4.1100000000000003</v>
      </c>
      <c r="Q406" s="91">
        <v>12.72</v>
      </c>
      <c r="R406" s="89">
        <v>60655.67</v>
      </c>
      <c r="S406" s="90">
        <v>4.1100000000000003</v>
      </c>
      <c r="T406" s="91">
        <v>16.829999999999998</v>
      </c>
      <c r="U406" s="89">
        <v>57704.05</v>
      </c>
      <c r="V406" s="90">
        <v>3.91</v>
      </c>
      <c r="W406" s="91">
        <v>20.74</v>
      </c>
      <c r="X406" s="89">
        <v>63607.28</v>
      </c>
      <c r="Y406" s="90">
        <v>4.3099999999999996</v>
      </c>
      <c r="Z406" s="91">
        <v>25.05</v>
      </c>
      <c r="AA406" s="89">
        <v>57704.05</v>
      </c>
      <c r="AB406" s="90">
        <v>3.91</v>
      </c>
      <c r="AC406" s="91">
        <v>28.96</v>
      </c>
      <c r="AD406" s="89">
        <v>57704.05</v>
      </c>
      <c r="AE406" s="90">
        <v>3.91</v>
      </c>
      <c r="AF406" s="91">
        <v>32.869999999999997</v>
      </c>
      <c r="AG406" s="89">
        <v>66411.320000000007</v>
      </c>
      <c r="AH406" s="90">
        <v>4.5</v>
      </c>
      <c r="AI406" s="91">
        <v>37.369999999999997</v>
      </c>
      <c r="AJ406" s="89">
        <v>60655.67</v>
      </c>
      <c r="AK406" s="90">
        <v>4.1100000000000003</v>
      </c>
      <c r="AL406" s="91">
        <v>41.48</v>
      </c>
      <c r="AM406" s="89">
        <v>60655.67</v>
      </c>
      <c r="AN406" s="90">
        <v>4.1100000000000003</v>
      </c>
      <c r="AO406" s="91">
        <v>45.59</v>
      </c>
      <c r="AP406" s="89">
        <v>63607.28</v>
      </c>
      <c r="AQ406" s="90">
        <v>4.3099999999999996</v>
      </c>
      <c r="AR406" s="91">
        <v>49.9</v>
      </c>
      <c r="AS406" s="89">
        <v>63607.28</v>
      </c>
      <c r="AT406" s="90">
        <v>4.3099999999999996</v>
      </c>
      <c r="AU406" s="91">
        <v>54.21</v>
      </c>
      <c r="AV406" s="89">
        <v>63607.28</v>
      </c>
      <c r="AW406" s="90">
        <v>4.3099999999999996</v>
      </c>
      <c r="AX406" s="91">
        <v>58.52</v>
      </c>
      <c r="AY406" s="89">
        <v>60655.67</v>
      </c>
      <c r="AZ406" s="90">
        <v>4.1100000000000003</v>
      </c>
      <c r="BA406" s="91">
        <v>62.63</v>
      </c>
      <c r="BB406" s="89">
        <v>57704.05</v>
      </c>
      <c r="BC406" s="90">
        <v>3.91</v>
      </c>
      <c r="BD406" s="91">
        <v>66.540000000000006</v>
      </c>
      <c r="BE406" s="89">
        <v>57704.05</v>
      </c>
      <c r="BF406" s="90">
        <v>3.91</v>
      </c>
      <c r="BG406" s="91">
        <v>70.45</v>
      </c>
      <c r="BH406" s="89">
        <v>66411.320000000007</v>
      </c>
      <c r="BI406" s="90">
        <v>4.5</v>
      </c>
      <c r="BJ406" s="91">
        <v>74.95</v>
      </c>
      <c r="BK406" s="89">
        <v>60655.67</v>
      </c>
      <c r="BL406" s="90">
        <v>4.1100000000000003</v>
      </c>
      <c r="BM406" s="91">
        <v>79.06</v>
      </c>
      <c r="BN406" s="89">
        <v>57704.05</v>
      </c>
      <c r="BO406" s="90">
        <v>3.91</v>
      </c>
      <c r="BP406" s="91">
        <v>82.97</v>
      </c>
      <c r="BQ406" s="89">
        <v>66411.320000000007</v>
      </c>
      <c r="BR406" s="90">
        <v>4.5</v>
      </c>
      <c r="BS406" s="91">
        <v>87.47</v>
      </c>
      <c r="BT406" s="89">
        <v>57704.05</v>
      </c>
      <c r="BU406" s="90">
        <v>3.91</v>
      </c>
      <c r="BV406" s="91">
        <v>91.38</v>
      </c>
      <c r="BW406" s="89">
        <v>63607.28</v>
      </c>
      <c r="BX406" s="90">
        <v>4.3099999999999996</v>
      </c>
      <c r="BY406" s="91">
        <v>95.69</v>
      </c>
      <c r="BZ406" s="89">
        <v>63607.28</v>
      </c>
      <c r="CA406" s="90">
        <v>4.3099999999999996</v>
      </c>
      <c r="CB406" s="93">
        <v>100</v>
      </c>
      <c r="CC406" s="94"/>
      <c r="CD406" s="94"/>
      <c r="CE406" s="988">
        <v>100</v>
      </c>
      <c r="CF406" s="410"/>
      <c r="CG406" s="408"/>
      <c r="CH406" s="407"/>
      <c r="CI406" s="406"/>
      <c r="CJ406" s="406"/>
      <c r="CK406" s="406"/>
      <c r="CL406" s="406"/>
      <c r="CM406" s="406"/>
      <c r="CN406" s="406"/>
      <c r="CO406" s="474"/>
      <c r="CP406" s="464"/>
      <c r="CQ406" s="404"/>
      <c r="CR406" s="403"/>
      <c r="CS406" s="404"/>
      <c r="CT406" s="404"/>
      <c r="CU406" s="403"/>
      <c r="CV406" s="404"/>
      <c r="CW406" s="405"/>
      <c r="CX406" s="464"/>
      <c r="CY406" s="464"/>
      <c r="CZ406" s="460"/>
      <c r="DA406" s="405"/>
      <c r="DB406" s="464"/>
      <c r="DC406" s="464"/>
      <c r="DD406" s="464"/>
      <c r="DE406" s="464"/>
      <c r="DF406" s="405"/>
    </row>
    <row r="407" spans="1:110" ht="8.4499999999999993" customHeight="1" x14ac:dyDescent="0.2">
      <c r="A407" s="130" t="s">
        <v>524</v>
      </c>
      <c r="B407" s="88">
        <v>22</v>
      </c>
      <c r="C407" s="87" t="s">
        <v>2701</v>
      </c>
      <c r="D407" s="103">
        <v>511</v>
      </c>
      <c r="E407" s="87" t="s">
        <v>1557</v>
      </c>
      <c r="F407" s="87" t="s">
        <v>2024</v>
      </c>
      <c r="G407" s="105">
        <v>848019.21</v>
      </c>
      <c r="H407" s="90">
        <v>9.64</v>
      </c>
      <c r="I407" s="89">
        <v>38160.86</v>
      </c>
      <c r="J407" s="90">
        <v>4.5</v>
      </c>
      <c r="K407" s="90">
        <v>4.5</v>
      </c>
      <c r="L407" s="89">
        <v>34853.589999999997</v>
      </c>
      <c r="M407" s="90">
        <v>4.1100000000000003</v>
      </c>
      <c r="N407" s="90">
        <v>8.61</v>
      </c>
      <c r="O407" s="89">
        <v>34853.589999999997</v>
      </c>
      <c r="P407" s="90">
        <v>4.1100000000000003</v>
      </c>
      <c r="Q407" s="91">
        <v>12.72</v>
      </c>
      <c r="R407" s="89">
        <v>34853.589999999997</v>
      </c>
      <c r="S407" s="90">
        <v>4.1100000000000003</v>
      </c>
      <c r="T407" s="91">
        <v>16.829999999999998</v>
      </c>
      <c r="U407" s="89">
        <v>33157.550000000003</v>
      </c>
      <c r="V407" s="90">
        <v>3.91</v>
      </c>
      <c r="W407" s="91">
        <v>20.74</v>
      </c>
      <c r="X407" s="89">
        <v>36549.629999999997</v>
      </c>
      <c r="Y407" s="90">
        <v>4.3099999999999996</v>
      </c>
      <c r="Z407" s="91">
        <v>25.05</v>
      </c>
      <c r="AA407" s="89">
        <v>33157.550000000003</v>
      </c>
      <c r="AB407" s="90">
        <v>3.91</v>
      </c>
      <c r="AC407" s="91">
        <v>28.96</v>
      </c>
      <c r="AD407" s="89">
        <v>33157.550000000003</v>
      </c>
      <c r="AE407" s="90">
        <v>3.91</v>
      </c>
      <c r="AF407" s="91">
        <v>32.869999999999997</v>
      </c>
      <c r="AG407" s="89">
        <v>38160.86</v>
      </c>
      <c r="AH407" s="90">
        <v>4.5</v>
      </c>
      <c r="AI407" s="91">
        <v>37.369999999999997</v>
      </c>
      <c r="AJ407" s="89">
        <v>34853.589999999997</v>
      </c>
      <c r="AK407" s="90">
        <v>4.1100000000000003</v>
      </c>
      <c r="AL407" s="91">
        <v>41.48</v>
      </c>
      <c r="AM407" s="89">
        <v>34853.589999999997</v>
      </c>
      <c r="AN407" s="90">
        <v>4.1100000000000003</v>
      </c>
      <c r="AO407" s="91">
        <v>45.59</v>
      </c>
      <c r="AP407" s="89">
        <v>36549.629999999997</v>
      </c>
      <c r="AQ407" s="90">
        <v>4.3099999999999996</v>
      </c>
      <c r="AR407" s="91">
        <v>49.9</v>
      </c>
      <c r="AS407" s="89">
        <v>36549.629999999997</v>
      </c>
      <c r="AT407" s="90">
        <v>4.3099999999999996</v>
      </c>
      <c r="AU407" s="91">
        <v>54.21</v>
      </c>
      <c r="AV407" s="89">
        <v>36549.629999999997</v>
      </c>
      <c r="AW407" s="90">
        <v>4.3099999999999996</v>
      </c>
      <c r="AX407" s="91">
        <v>58.52</v>
      </c>
      <c r="AY407" s="89">
        <v>34853.589999999997</v>
      </c>
      <c r="AZ407" s="90">
        <v>4.1100000000000003</v>
      </c>
      <c r="BA407" s="91">
        <v>62.63</v>
      </c>
      <c r="BB407" s="89">
        <v>33157.550000000003</v>
      </c>
      <c r="BC407" s="90">
        <v>3.91</v>
      </c>
      <c r="BD407" s="91">
        <v>66.540000000000006</v>
      </c>
      <c r="BE407" s="89">
        <v>33157.550000000003</v>
      </c>
      <c r="BF407" s="90">
        <v>3.91</v>
      </c>
      <c r="BG407" s="91">
        <v>70.45</v>
      </c>
      <c r="BH407" s="89">
        <v>38160.86</v>
      </c>
      <c r="BI407" s="90">
        <v>4.5</v>
      </c>
      <c r="BJ407" s="91">
        <v>74.95</v>
      </c>
      <c r="BK407" s="89">
        <v>34853.589999999997</v>
      </c>
      <c r="BL407" s="90">
        <v>4.1100000000000003</v>
      </c>
      <c r="BM407" s="91">
        <v>79.06</v>
      </c>
      <c r="BN407" s="89">
        <v>33157.550000000003</v>
      </c>
      <c r="BO407" s="90">
        <v>3.91</v>
      </c>
      <c r="BP407" s="91">
        <v>82.97</v>
      </c>
      <c r="BQ407" s="89">
        <v>38160.86</v>
      </c>
      <c r="BR407" s="90">
        <v>4.5</v>
      </c>
      <c r="BS407" s="91">
        <v>87.47</v>
      </c>
      <c r="BT407" s="89">
        <v>33157.550000000003</v>
      </c>
      <c r="BU407" s="90">
        <v>3.91</v>
      </c>
      <c r="BV407" s="91">
        <v>91.38</v>
      </c>
      <c r="BW407" s="89">
        <v>36549.629999999997</v>
      </c>
      <c r="BX407" s="90">
        <v>4.3099999999999996</v>
      </c>
      <c r="BY407" s="91">
        <v>95.69</v>
      </c>
      <c r="BZ407" s="89">
        <v>36549.629999999997</v>
      </c>
      <c r="CA407" s="90">
        <v>4.3099999999999996</v>
      </c>
      <c r="CB407" s="93">
        <v>100</v>
      </c>
      <c r="CC407" s="94"/>
      <c r="CD407" s="94"/>
      <c r="CE407" s="988">
        <v>100</v>
      </c>
      <c r="CF407" s="410"/>
      <c r="CG407" s="408"/>
      <c r="CH407" s="407"/>
      <c r="CI407" s="406"/>
      <c r="CJ407" s="406"/>
      <c r="CK407" s="406"/>
      <c r="CL407" s="406"/>
      <c r="CM407" s="406"/>
      <c r="CN407" s="406"/>
      <c r="CO407" s="473"/>
      <c r="CP407" s="467"/>
      <c r="CQ407" s="409"/>
      <c r="CR407" s="407"/>
      <c r="CS407" s="409"/>
      <c r="CT407" s="409"/>
      <c r="CU407" s="407"/>
      <c r="CV407" s="409"/>
      <c r="CW407" s="407"/>
      <c r="CX407" s="467"/>
      <c r="CY407" s="467"/>
      <c r="CZ407" s="406"/>
      <c r="DA407" s="407"/>
      <c r="DB407" s="467"/>
      <c r="DC407" s="467"/>
      <c r="DD407" s="467"/>
      <c r="DE407" s="467"/>
      <c r="DF407" s="407"/>
    </row>
    <row r="408" spans="1:110" ht="8.4499999999999993" customHeight="1" x14ac:dyDescent="0.2">
      <c r="A408" s="130" t="s">
        <v>526</v>
      </c>
      <c r="B408" s="96">
        <v>23</v>
      </c>
      <c r="C408" s="82" t="s">
        <v>2702</v>
      </c>
      <c r="D408" s="104">
        <v>511</v>
      </c>
      <c r="E408" s="82" t="s">
        <v>1557</v>
      </c>
      <c r="F408" s="82" t="s">
        <v>2024</v>
      </c>
      <c r="G408" s="106">
        <v>161000</v>
      </c>
      <c r="H408" s="98">
        <v>1.83</v>
      </c>
      <c r="I408" s="101">
        <v>7245</v>
      </c>
      <c r="J408" s="98">
        <v>4.5</v>
      </c>
      <c r="K408" s="98">
        <v>4.5</v>
      </c>
      <c r="L408" s="101">
        <v>6617.1</v>
      </c>
      <c r="M408" s="98">
        <v>4.1100000000000003</v>
      </c>
      <c r="N408" s="98">
        <v>8.61</v>
      </c>
      <c r="O408" s="101">
        <v>6617.1</v>
      </c>
      <c r="P408" s="98">
        <v>4.1100000000000003</v>
      </c>
      <c r="Q408" s="102">
        <v>12.72</v>
      </c>
      <c r="R408" s="101">
        <v>6617.1</v>
      </c>
      <c r="S408" s="98">
        <v>4.1100000000000003</v>
      </c>
      <c r="T408" s="102">
        <v>16.829999999999998</v>
      </c>
      <c r="U408" s="101">
        <v>6295.1</v>
      </c>
      <c r="V408" s="98">
        <v>3.91</v>
      </c>
      <c r="W408" s="102">
        <v>20.74</v>
      </c>
      <c r="X408" s="101">
        <v>6939.1</v>
      </c>
      <c r="Y408" s="98">
        <v>4.3099999999999996</v>
      </c>
      <c r="Z408" s="102">
        <v>25.05</v>
      </c>
      <c r="AA408" s="101">
        <v>6295.1</v>
      </c>
      <c r="AB408" s="98">
        <v>3.91</v>
      </c>
      <c r="AC408" s="102">
        <v>28.96</v>
      </c>
      <c r="AD408" s="101">
        <v>6295.1</v>
      </c>
      <c r="AE408" s="98">
        <v>3.91</v>
      </c>
      <c r="AF408" s="102">
        <v>32.869999999999997</v>
      </c>
      <c r="AG408" s="101">
        <v>7245</v>
      </c>
      <c r="AH408" s="98">
        <v>4.5</v>
      </c>
      <c r="AI408" s="102">
        <v>37.369999999999997</v>
      </c>
      <c r="AJ408" s="101">
        <v>6617.1</v>
      </c>
      <c r="AK408" s="98">
        <v>4.1100000000000003</v>
      </c>
      <c r="AL408" s="102">
        <v>41.48</v>
      </c>
      <c r="AM408" s="101">
        <v>6617.1</v>
      </c>
      <c r="AN408" s="98">
        <v>4.1100000000000003</v>
      </c>
      <c r="AO408" s="102">
        <v>45.59</v>
      </c>
      <c r="AP408" s="101">
        <v>6939.1</v>
      </c>
      <c r="AQ408" s="98">
        <v>4.3099999999999996</v>
      </c>
      <c r="AR408" s="102">
        <v>49.9</v>
      </c>
      <c r="AS408" s="101">
        <v>6939.1</v>
      </c>
      <c r="AT408" s="98">
        <v>4.3099999999999996</v>
      </c>
      <c r="AU408" s="102">
        <v>54.21</v>
      </c>
      <c r="AV408" s="101">
        <v>6939.1</v>
      </c>
      <c r="AW408" s="98">
        <v>4.3099999999999996</v>
      </c>
      <c r="AX408" s="102">
        <v>58.52</v>
      </c>
      <c r="AY408" s="101">
        <v>6617.1</v>
      </c>
      <c r="AZ408" s="98">
        <v>4.1100000000000003</v>
      </c>
      <c r="BA408" s="102">
        <v>62.63</v>
      </c>
      <c r="BB408" s="101">
        <v>6295.1</v>
      </c>
      <c r="BC408" s="98">
        <v>3.91</v>
      </c>
      <c r="BD408" s="102">
        <v>66.540000000000006</v>
      </c>
      <c r="BE408" s="101">
        <v>6295.1</v>
      </c>
      <c r="BF408" s="98">
        <v>3.91</v>
      </c>
      <c r="BG408" s="102">
        <v>70.45</v>
      </c>
      <c r="BH408" s="101">
        <v>7245</v>
      </c>
      <c r="BI408" s="98">
        <v>4.5</v>
      </c>
      <c r="BJ408" s="102">
        <v>74.95</v>
      </c>
      <c r="BK408" s="101">
        <v>6617.1</v>
      </c>
      <c r="BL408" s="98">
        <v>4.1100000000000003</v>
      </c>
      <c r="BM408" s="102">
        <v>79.06</v>
      </c>
      <c r="BN408" s="101">
        <v>6295.1</v>
      </c>
      <c r="BO408" s="98">
        <v>3.91</v>
      </c>
      <c r="BP408" s="102">
        <v>82.97</v>
      </c>
      <c r="BQ408" s="101">
        <v>7245</v>
      </c>
      <c r="BR408" s="98">
        <v>4.5</v>
      </c>
      <c r="BS408" s="102">
        <v>87.47</v>
      </c>
      <c r="BT408" s="101">
        <v>6295.1</v>
      </c>
      <c r="BU408" s="98">
        <v>3.91</v>
      </c>
      <c r="BV408" s="102">
        <v>91.38</v>
      </c>
      <c r="BW408" s="101">
        <v>6939.1</v>
      </c>
      <c r="BX408" s="98">
        <v>4.3099999999999996</v>
      </c>
      <c r="BY408" s="102">
        <v>95.69</v>
      </c>
      <c r="BZ408" s="101">
        <v>6939.1</v>
      </c>
      <c r="CA408" s="98">
        <v>4.3099999999999996</v>
      </c>
      <c r="CB408" s="100">
        <v>100</v>
      </c>
      <c r="CC408" s="99"/>
      <c r="CD408" s="99"/>
      <c r="CE408" s="989">
        <v>100</v>
      </c>
      <c r="CF408" s="410"/>
      <c r="CG408" s="408"/>
      <c r="CH408" s="407"/>
      <c r="CI408" s="406"/>
      <c r="CJ408" s="406"/>
      <c r="CK408" s="406"/>
      <c r="CL408" s="406"/>
      <c r="CM408" s="406"/>
      <c r="CN408" s="406"/>
      <c r="CO408" s="473"/>
      <c r="CP408" s="467"/>
      <c r="CQ408" s="409"/>
      <c r="CR408" s="407"/>
      <c r="CS408" s="408"/>
      <c r="CT408" s="409"/>
      <c r="CU408" s="407"/>
      <c r="CV408" s="409"/>
      <c r="CW408" s="407"/>
      <c r="CX408" s="467"/>
      <c r="CY408" s="467"/>
      <c r="CZ408" s="406"/>
      <c r="DA408" s="407"/>
      <c r="DB408" s="467"/>
      <c r="DC408" s="467"/>
      <c r="DD408" s="467"/>
      <c r="DE408" s="467"/>
      <c r="DF408" s="407"/>
    </row>
    <row r="409" spans="1:110" ht="8.4499999999999993" customHeight="1" x14ac:dyDescent="0.2">
      <c r="A409" s="130" t="s">
        <v>528</v>
      </c>
      <c r="B409" s="96">
        <v>24</v>
      </c>
      <c r="C409" s="82" t="s">
        <v>2703</v>
      </c>
      <c r="D409" s="104">
        <v>511</v>
      </c>
      <c r="E409" s="82" t="s">
        <v>1557</v>
      </c>
      <c r="F409" s="82" t="s">
        <v>2024</v>
      </c>
      <c r="G409" s="97">
        <v>31200</v>
      </c>
      <c r="H409" s="98">
        <v>0.35</v>
      </c>
      <c r="I409" s="101">
        <v>1404</v>
      </c>
      <c r="J409" s="98">
        <v>4.5</v>
      </c>
      <c r="K409" s="98">
        <v>4.5</v>
      </c>
      <c r="L409" s="101">
        <v>1282.32</v>
      </c>
      <c r="M409" s="98">
        <v>4.1100000000000003</v>
      </c>
      <c r="N409" s="98">
        <v>8.61</v>
      </c>
      <c r="O409" s="101">
        <v>1282.32</v>
      </c>
      <c r="P409" s="98">
        <v>4.1100000000000003</v>
      </c>
      <c r="Q409" s="102">
        <v>12.72</v>
      </c>
      <c r="R409" s="101">
        <v>1282.32</v>
      </c>
      <c r="S409" s="98">
        <v>4.1100000000000003</v>
      </c>
      <c r="T409" s="102">
        <v>16.829999999999998</v>
      </c>
      <c r="U409" s="101">
        <v>1219.92</v>
      </c>
      <c r="V409" s="98">
        <v>3.91</v>
      </c>
      <c r="W409" s="102">
        <v>20.74</v>
      </c>
      <c r="X409" s="101">
        <v>1344.72</v>
      </c>
      <c r="Y409" s="98">
        <v>4.3099999999999996</v>
      </c>
      <c r="Z409" s="102">
        <v>25.05</v>
      </c>
      <c r="AA409" s="101">
        <v>1219.92</v>
      </c>
      <c r="AB409" s="98">
        <v>3.91</v>
      </c>
      <c r="AC409" s="102">
        <v>28.96</v>
      </c>
      <c r="AD409" s="101">
        <v>1219.92</v>
      </c>
      <c r="AE409" s="98">
        <v>3.91</v>
      </c>
      <c r="AF409" s="102">
        <v>32.869999999999997</v>
      </c>
      <c r="AG409" s="101">
        <v>1404</v>
      </c>
      <c r="AH409" s="98">
        <v>4.5</v>
      </c>
      <c r="AI409" s="102">
        <v>37.369999999999997</v>
      </c>
      <c r="AJ409" s="101">
        <v>1282.32</v>
      </c>
      <c r="AK409" s="98">
        <v>4.1100000000000003</v>
      </c>
      <c r="AL409" s="102">
        <v>41.48</v>
      </c>
      <c r="AM409" s="101">
        <v>1282.32</v>
      </c>
      <c r="AN409" s="98">
        <v>4.1100000000000003</v>
      </c>
      <c r="AO409" s="102">
        <v>45.59</v>
      </c>
      <c r="AP409" s="101">
        <v>1344.72</v>
      </c>
      <c r="AQ409" s="98">
        <v>4.3099999999999996</v>
      </c>
      <c r="AR409" s="102">
        <v>49.9</v>
      </c>
      <c r="AS409" s="101">
        <v>1344.72</v>
      </c>
      <c r="AT409" s="98">
        <v>4.3099999999999996</v>
      </c>
      <c r="AU409" s="102">
        <v>54.21</v>
      </c>
      <c r="AV409" s="101">
        <v>1344.72</v>
      </c>
      <c r="AW409" s="98">
        <v>4.3099999999999996</v>
      </c>
      <c r="AX409" s="102">
        <v>58.52</v>
      </c>
      <c r="AY409" s="101">
        <v>1282.32</v>
      </c>
      <c r="AZ409" s="98">
        <v>4.1100000000000003</v>
      </c>
      <c r="BA409" s="102">
        <v>62.63</v>
      </c>
      <c r="BB409" s="101">
        <v>1219.92</v>
      </c>
      <c r="BC409" s="98">
        <v>3.91</v>
      </c>
      <c r="BD409" s="102">
        <v>66.540000000000006</v>
      </c>
      <c r="BE409" s="101">
        <v>1219.92</v>
      </c>
      <c r="BF409" s="98">
        <v>3.91</v>
      </c>
      <c r="BG409" s="102">
        <v>70.45</v>
      </c>
      <c r="BH409" s="101">
        <v>1404</v>
      </c>
      <c r="BI409" s="98">
        <v>4.5</v>
      </c>
      <c r="BJ409" s="102">
        <v>74.95</v>
      </c>
      <c r="BK409" s="101">
        <v>1282.32</v>
      </c>
      <c r="BL409" s="98">
        <v>4.1100000000000003</v>
      </c>
      <c r="BM409" s="102">
        <v>79.06</v>
      </c>
      <c r="BN409" s="101">
        <v>1219.92</v>
      </c>
      <c r="BO409" s="98">
        <v>3.91</v>
      </c>
      <c r="BP409" s="102">
        <v>82.97</v>
      </c>
      <c r="BQ409" s="101">
        <v>1404</v>
      </c>
      <c r="BR409" s="98">
        <v>4.5</v>
      </c>
      <c r="BS409" s="102">
        <v>87.47</v>
      </c>
      <c r="BT409" s="101">
        <v>1219.92</v>
      </c>
      <c r="BU409" s="98">
        <v>3.91</v>
      </c>
      <c r="BV409" s="102">
        <v>91.38</v>
      </c>
      <c r="BW409" s="101">
        <v>1344.72</v>
      </c>
      <c r="BX409" s="98">
        <v>4.3099999999999996</v>
      </c>
      <c r="BY409" s="102">
        <v>95.69</v>
      </c>
      <c r="BZ409" s="101">
        <v>1344.72</v>
      </c>
      <c r="CA409" s="98">
        <v>4.3099999999999996</v>
      </c>
      <c r="CB409" s="100">
        <v>100</v>
      </c>
      <c r="CC409" s="99"/>
      <c r="CD409" s="99"/>
      <c r="CE409" s="989">
        <v>100</v>
      </c>
      <c r="CF409" s="410"/>
      <c r="CG409" s="408"/>
      <c r="CH409" s="407"/>
      <c r="CI409" s="406"/>
      <c r="CJ409" s="406"/>
      <c r="CK409" s="406"/>
      <c r="CL409" s="406"/>
      <c r="CM409" s="406"/>
      <c r="CN409" s="406"/>
      <c r="CO409" s="473"/>
      <c r="CP409" s="467"/>
      <c r="CQ409" s="409"/>
      <c r="CR409" s="407"/>
      <c r="CS409" s="409"/>
      <c r="CT409" s="409"/>
      <c r="CU409" s="407"/>
      <c r="CV409" s="409"/>
      <c r="CW409" s="407"/>
      <c r="CX409" s="467"/>
      <c r="CY409" s="467"/>
      <c r="CZ409" s="406"/>
      <c r="DA409" s="407"/>
      <c r="DB409" s="467"/>
      <c r="DC409" s="467"/>
      <c r="DD409" s="467"/>
      <c r="DE409" s="467"/>
      <c r="DF409" s="407"/>
    </row>
    <row r="410" spans="1:110" ht="8.4499999999999993" customHeight="1" x14ac:dyDescent="0.2">
      <c r="A410" s="130" t="s">
        <v>529</v>
      </c>
      <c r="B410" s="96">
        <v>25</v>
      </c>
      <c r="C410" s="82" t="s">
        <v>2704</v>
      </c>
      <c r="D410" s="104">
        <v>511</v>
      </c>
      <c r="E410" s="82" t="s">
        <v>1557</v>
      </c>
      <c r="F410" s="82" t="s">
        <v>2024</v>
      </c>
      <c r="G410" s="97">
        <v>57500</v>
      </c>
      <c r="H410" s="98">
        <v>0.65</v>
      </c>
      <c r="I410" s="101">
        <v>2587.5</v>
      </c>
      <c r="J410" s="98">
        <v>4.5</v>
      </c>
      <c r="K410" s="98">
        <v>4.5</v>
      </c>
      <c r="L410" s="101">
        <v>2363.25</v>
      </c>
      <c r="M410" s="98">
        <v>4.1100000000000003</v>
      </c>
      <c r="N410" s="98">
        <v>8.61</v>
      </c>
      <c r="O410" s="101">
        <v>2363.25</v>
      </c>
      <c r="P410" s="98">
        <v>4.1100000000000003</v>
      </c>
      <c r="Q410" s="102">
        <v>12.72</v>
      </c>
      <c r="R410" s="101">
        <v>2363.25</v>
      </c>
      <c r="S410" s="98">
        <v>4.1100000000000003</v>
      </c>
      <c r="T410" s="102">
        <v>16.829999999999998</v>
      </c>
      <c r="U410" s="101">
        <v>2248.25</v>
      </c>
      <c r="V410" s="98">
        <v>3.91</v>
      </c>
      <c r="W410" s="102">
        <v>20.74</v>
      </c>
      <c r="X410" s="101">
        <v>2478.25</v>
      </c>
      <c r="Y410" s="98">
        <v>4.3099999999999996</v>
      </c>
      <c r="Z410" s="102">
        <v>25.05</v>
      </c>
      <c r="AA410" s="101">
        <v>2248.25</v>
      </c>
      <c r="AB410" s="98">
        <v>3.91</v>
      </c>
      <c r="AC410" s="102">
        <v>28.96</v>
      </c>
      <c r="AD410" s="101">
        <v>2248.25</v>
      </c>
      <c r="AE410" s="98">
        <v>3.91</v>
      </c>
      <c r="AF410" s="102">
        <v>32.869999999999997</v>
      </c>
      <c r="AG410" s="101">
        <v>2587.5</v>
      </c>
      <c r="AH410" s="98">
        <v>4.5</v>
      </c>
      <c r="AI410" s="102">
        <v>37.369999999999997</v>
      </c>
      <c r="AJ410" s="101">
        <v>2363.25</v>
      </c>
      <c r="AK410" s="98">
        <v>4.1100000000000003</v>
      </c>
      <c r="AL410" s="102">
        <v>41.48</v>
      </c>
      <c r="AM410" s="101">
        <v>2363.25</v>
      </c>
      <c r="AN410" s="98">
        <v>4.1100000000000003</v>
      </c>
      <c r="AO410" s="102">
        <v>45.59</v>
      </c>
      <c r="AP410" s="101">
        <v>2478.25</v>
      </c>
      <c r="AQ410" s="98">
        <v>4.3099999999999996</v>
      </c>
      <c r="AR410" s="102">
        <v>49.9</v>
      </c>
      <c r="AS410" s="101">
        <v>2478.25</v>
      </c>
      <c r="AT410" s="98">
        <v>4.3099999999999996</v>
      </c>
      <c r="AU410" s="102">
        <v>54.21</v>
      </c>
      <c r="AV410" s="101">
        <v>2478.25</v>
      </c>
      <c r="AW410" s="98">
        <v>4.3099999999999996</v>
      </c>
      <c r="AX410" s="102">
        <v>58.52</v>
      </c>
      <c r="AY410" s="101">
        <v>2363.25</v>
      </c>
      <c r="AZ410" s="98">
        <v>4.1100000000000003</v>
      </c>
      <c r="BA410" s="102">
        <v>62.63</v>
      </c>
      <c r="BB410" s="101">
        <v>2248.25</v>
      </c>
      <c r="BC410" s="98">
        <v>3.91</v>
      </c>
      <c r="BD410" s="102">
        <v>66.540000000000006</v>
      </c>
      <c r="BE410" s="101">
        <v>2248.25</v>
      </c>
      <c r="BF410" s="98">
        <v>3.91</v>
      </c>
      <c r="BG410" s="102">
        <v>70.45</v>
      </c>
      <c r="BH410" s="101">
        <v>2587.5</v>
      </c>
      <c r="BI410" s="98">
        <v>4.5</v>
      </c>
      <c r="BJ410" s="102">
        <v>74.95</v>
      </c>
      <c r="BK410" s="101">
        <v>2363.25</v>
      </c>
      <c r="BL410" s="98">
        <v>4.1100000000000003</v>
      </c>
      <c r="BM410" s="102">
        <v>79.06</v>
      </c>
      <c r="BN410" s="101">
        <v>2248.25</v>
      </c>
      <c r="BO410" s="98">
        <v>3.91</v>
      </c>
      <c r="BP410" s="102">
        <v>82.97</v>
      </c>
      <c r="BQ410" s="101">
        <v>2587.5</v>
      </c>
      <c r="BR410" s="98">
        <v>4.5</v>
      </c>
      <c r="BS410" s="102">
        <v>87.47</v>
      </c>
      <c r="BT410" s="101">
        <v>2248.25</v>
      </c>
      <c r="BU410" s="98">
        <v>3.91</v>
      </c>
      <c r="BV410" s="102">
        <v>91.38</v>
      </c>
      <c r="BW410" s="101">
        <v>2478.25</v>
      </c>
      <c r="BX410" s="98">
        <v>4.3099999999999996</v>
      </c>
      <c r="BY410" s="102">
        <v>95.69</v>
      </c>
      <c r="BZ410" s="101">
        <v>2478.25</v>
      </c>
      <c r="CA410" s="98">
        <v>4.3099999999999996</v>
      </c>
      <c r="CB410" s="100">
        <v>100</v>
      </c>
      <c r="CC410" s="99"/>
      <c r="CD410" s="99"/>
      <c r="CE410" s="989">
        <v>100</v>
      </c>
      <c r="CF410" s="412"/>
      <c r="CG410" s="408"/>
      <c r="CH410" s="407"/>
      <c r="CI410" s="406"/>
      <c r="CJ410" s="406"/>
      <c r="CK410" s="406"/>
      <c r="CL410" s="406"/>
      <c r="CM410" s="406"/>
      <c r="CN410" s="406"/>
      <c r="CO410" s="473"/>
      <c r="CP410" s="467"/>
      <c r="CQ410" s="409"/>
      <c r="CR410" s="409"/>
      <c r="CS410" s="408"/>
      <c r="CT410" s="409"/>
      <c r="CU410" s="407"/>
      <c r="CV410" s="409"/>
      <c r="CW410" s="407"/>
      <c r="CX410" s="467"/>
      <c r="CY410" s="467"/>
      <c r="CZ410" s="406"/>
      <c r="DA410" s="407"/>
      <c r="DB410" s="467"/>
      <c r="DC410" s="467"/>
      <c r="DD410" s="467"/>
      <c r="DE410" s="467"/>
      <c r="DF410" s="407"/>
    </row>
    <row r="411" spans="1:110" ht="8.4499999999999993" customHeight="1" x14ac:dyDescent="0.2">
      <c r="A411" s="130" t="s">
        <v>530</v>
      </c>
      <c r="B411" s="96">
        <v>26</v>
      </c>
      <c r="C411" s="82" t="s">
        <v>2705</v>
      </c>
      <c r="D411" s="104">
        <v>511</v>
      </c>
      <c r="E411" s="82" t="s">
        <v>1557</v>
      </c>
      <c r="F411" s="82" t="s">
        <v>2024</v>
      </c>
      <c r="G411" s="97">
        <v>46000</v>
      </c>
      <c r="H411" s="98">
        <v>0.52</v>
      </c>
      <c r="I411" s="101">
        <v>2070</v>
      </c>
      <c r="J411" s="98">
        <v>4.5</v>
      </c>
      <c r="K411" s="98">
        <v>4.5</v>
      </c>
      <c r="L411" s="101">
        <v>1890.6</v>
      </c>
      <c r="M411" s="98">
        <v>4.1100000000000003</v>
      </c>
      <c r="N411" s="98">
        <v>8.61</v>
      </c>
      <c r="O411" s="101">
        <v>1890.6</v>
      </c>
      <c r="P411" s="98">
        <v>4.1100000000000003</v>
      </c>
      <c r="Q411" s="102">
        <v>12.72</v>
      </c>
      <c r="R411" s="101">
        <v>1890.6</v>
      </c>
      <c r="S411" s="98">
        <v>4.1100000000000003</v>
      </c>
      <c r="T411" s="102">
        <v>16.829999999999998</v>
      </c>
      <c r="U411" s="101">
        <v>1798.6</v>
      </c>
      <c r="V411" s="98">
        <v>3.91</v>
      </c>
      <c r="W411" s="102">
        <v>20.74</v>
      </c>
      <c r="X411" s="101">
        <v>1982.6</v>
      </c>
      <c r="Y411" s="98">
        <v>4.3099999999999996</v>
      </c>
      <c r="Z411" s="102">
        <v>25.05</v>
      </c>
      <c r="AA411" s="101">
        <v>1798.6</v>
      </c>
      <c r="AB411" s="98">
        <v>3.91</v>
      </c>
      <c r="AC411" s="102">
        <v>28.96</v>
      </c>
      <c r="AD411" s="101">
        <v>1798.6</v>
      </c>
      <c r="AE411" s="98">
        <v>3.91</v>
      </c>
      <c r="AF411" s="102">
        <v>32.869999999999997</v>
      </c>
      <c r="AG411" s="101">
        <v>2070</v>
      </c>
      <c r="AH411" s="98">
        <v>4.5</v>
      </c>
      <c r="AI411" s="102">
        <v>37.369999999999997</v>
      </c>
      <c r="AJ411" s="101">
        <v>1890.6</v>
      </c>
      <c r="AK411" s="98">
        <v>4.1100000000000003</v>
      </c>
      <c r="AL411" s="102">
        <v>41.48</v>
      </c>
      <c r="AM411" s="101">
        <v>1890.6</v>
      </c>
      <c r="AN411" s="98">
        <v>4.1100000000000003</v>
      </c>
      <c r="AO411" s="102">
        <v>45.59</v>
      </c>
      <c r="AP411" s="101">
        <v>1982.6</v>
      </c>
      <c r="AQ411" s="98">
        <v>4.3099999999999996</v>
      </c>
      <c r="AR411" s="102">
        <v>49.9</v>
      </c>
      <c r="AS411" s="101">
        <v>1982.6</v>
      </c>
      <c r="AT411" s="98">
        <v>4.3099999999999996</v>
      </c>
      <c r="AU411" s="102">
        <v>54.21</v>
      </c>
      <c r="AV411" s="101">
        <v>1982.6</v>
      </c>
      <c r="AW411" s="98">
        <v>4.3099999999999996</v>
      </c>
      <c r="AX411" s="102">
        <v>58.52</v>
      </c>
      <c r="AY411" s="101">
        <v>1890.6</v>
      </c>
      <c r="AZ411" s="98">
        <v>4.1100000000000003</v>
      </c>
      <c r="BA411" s="102">
        <v>62.63</v>
      </c>
      <c r="BB411" s="101">
        <v>1798.6</v>
      </c>
      <c r="BC411" s="98">
        <v>3.91</v>
      </c>
      <c r="BD411" s="102">
        <v>66.540000000000006</v>
      </c>
      <c r="BE411" s="101">
        <v>1798.6</v>
      </c>
      <c r="BF411" s="98">
        <v>3.91</v>
      </c>
      <c r="BG411" s="102">
        <v>70.45</v>
      </c>
      <c r="BH411" s="101">
        <v>2070</v>
      </c>
      <c r="BI411" s="98">
        <v>4.5</v>
      </c>
      <c r="BJ411" s="102">
        <v>74.95</v>
      </c>
      <c r="BK411" s="101">
        <v>1890.6</v>
      </c>
      <c r="BL411" s="98">
        <v>4.1100000000000003</v>
      </c>
      <c r="BM411" s="102">
        <v>79.06</v>
      </c>
      <c r="BN411" s="101">
        <v>1798.6</v>
      </c>
      <c r="BO411" s="98">
        <v>3.91</v>
      </c>
      <c r="BP411" s="102">
        <v>82.97</v>
      </c>
      <c r="BQ411" s="101">
        <v>2070</v>
      </c>
      <c r="BR411" s="98">
        <v>4.5</v>
      </c>
      <c r="BS411" s="102">
        <v>87.47</v>
      </c>
      <c r="BT411" s="101">
        <v>1798.6</v>
      </c>
      <c r="BU411" s="98">
        <v>3.91</v>
      </c>
      <c r="BV411" s="102">
        <v>91.38</v>
      </c>
      <c r="BW411" s="101">
        <v>1982.6</v>
      </c>
      <c r="BX411" s="98">
        <v>4.3099999999999996</v>
      </c>
      <c r="BY411" s="102">
        <v>95.69</v>
      </c>
      <c r="BZ411" s="101">
        <v>1982.6</v>
      </c>
      <c r="CA411" s="98">
        <v>4.3099999999999996</v>
      </c>
      <c r="CB411" s="100">
        <v>100</v>
      </c>
      <c r="CC411" s="99"/>
      <c r="CD411" s="99"/>
      <c r="CE411" s="989">
        <v>100</v>
      </c>
      <c r="CF411" s="410"/>
      <c r="CG411" s="408"/>
      <c r="CH411" s="407"/>
      <c r="CI411" s="406"/>
      <c r="CJ411" s="406"/>
      <c r="CK411" s="406"/>
      <c r="CL411" s="406"/>
      <c r="CM411" s="406"/>
      <c r="CN411" s="406"/>
      <c r="CO411" s="473"/>
      <c r="CP411" s="467"/>
      <c r="CQ411" s="409"/>
      <c r="CR411" s="407"/>
      <c r="CS411" s="409"/>
      <c r="CT411" s="409"/>
      <c r="CU411" s="407"/>
      <c r="CV411" s="409"/>
      <c r="CW411" s="407"/>
      <c r="CX411" s="467"/>
      <c r="CY411" s="467"/>
      <c r="CZ411" s="406"/>
      <c r="DA411" s="407"/>
      <c r="DB411" s="467"/>
      <c r="DC411" s="467"/>
      <c r="DD411" s="467"/>
      <c r="DE411" s="467"/>
      <c r="DF411" s="407"/>
    </row>
    <row r="412" spans="1:110" ht="8.4499999999999993" customHeight="1" x14ac:dyDescent="0.2">
      <c r="A412" s="130" t="s">
        <v>531</v>
      </c>
      <c r="B412" s="96">
        <v>27</v>
      </c>
      <c r="C412" s="82" t="s">
        <v>2706</v>
      </c>
      <c r="D412" s="104">
        <v>511</v>
      </c>
      <c r="E412" s="82" t="s">
        <v>1557</v>
      </c>
      <c r="F412" s="82" t="s">
        <v>2024</v>
      </c>
      <c r="G412" s="106">
        <v>236358.1</v>
      </c>
      <c r="H412" s="98">
        <v>2.69</v>
      </c>
      <c r="I412" s="97">
        <v>10636.11</v>
      </c>
      <c r="J412" s="98">
        <v>4.5</v>
      </c>
      <c r="K412" s="98">
        <v>4.5</v>
      </c>
      <c r="L412" s="101">
        <v>9714.32</v>
      </c>
      <c r="M412" s="98">
        <v>4.1100000000000003</v>
      </c>
      <c r="N412" s="98">
        <v>8.61</v>
      </c>
      <c r="O412" s="101">
        <v>9714.32</v>
      </c>
      <c r="P412" s="98">
        <v>4.1100000000000003</v>
      </c>
      <c r="Q412" s="102">
        <v>12.72</v>
      </c>
      <c r="R412" s="101">
        <v>9714.32</v>
      </c>
      <c r="S412" s="98">
        <v>4.1100000000000003</v>
      </c>
      <c r="T412" s="102">
        <v>16.829999999999998</v>
      </c>
      <c r="U412" s="101">
        <v>9241.6</v>
      </c>
      <c r="V412" s="98">
        <v>3.91</v>
      </c>
      <c r="W412" s="102">
        <v>20.74</v>
      </c>
      <c r="X412" s="97">
        <v>10187.030000000001</v>
      </c>
      <c r="Y412" s="98">
        <v>4.3099999999999996</v>
      </c>
      <c r="Z412" s="102">
        <v>25.05</v>
      </c>
      <c r="AA412" s="101">
        <v>9241.6</v>
      </c>
      <c r="AB412" s="98">
        <v>3.91</v>
      </c>
      <c r="AC412" s="102">
        <v>28.96</v>
      </c>
      <c r="AD412" s="101">
        <v>9241.6</v>
      </c>
      <c r="AE412" s="98">
        <v>3.91</v>
      </c>
      <c r="AF412" s="102">
        <v>32.869999999999997</v>
      </c>
      <c r="AG412" s="97">
        <v>10636.11</v>
      </c>
      <c r="AH412" s="98">
        <v>4.5</v>
      </c>
      <c r="AI412" s="102">
        <v>37.369999999999997</v>
      </c>
      <c r="AJ412" s="101">
        <v>9714.32</v>
      </c>
      <c r="AK412" s="98">
        <v>4.1100000000000003</v>
      </c>
      <c r="AL412" s="102">
        <v>41.48</v>
      </c>
      <c r="AM412" s="101">
        <v>9714.32</v>
      </c>
      <c r="AN412" s="98">
        <v>4.1100000000000003</v>
      </c>
      <c r="AO412" s="102">
        <v>45.59</v>
      </c>
      <c r="AP412" s="97">
        <v>10187.030000000001</v>
      </c>
      <c r="AQ412" s="98">
        <v>4.3099999999999996</v>
      </c>
      <c r="AR412" s="102">
        <v>49.9</v>
      </c>
      <c r="AS412" s="97">
        <v>10187.030000000001</v>
      </c>
      <c r="AT412" s="98">
        <v>4.3099999999999996</v>
      </c>
      <c r="AU412" s="102">
        <v>54.21</v>
      </c>
      <c r="AV412" s="97">
        <v>10187.030000000001</v>
      </c>
      <c r="AW412" s="98">
        <v>4.3099999999999996</v>
      </c>
      <c r="AX412" s="102">
        <v>58.52</v>
      </c>
      <c r="AY412" s="101">
        <v>9714.32</v>
      </c>
      <c r="AZ412" s="98">
        <v>4.1100000000000003</v>
      </c>
      <c r="BA412" s="102">
        <v>62.63</v>
      </c>
      <c r="BB412" s="101">
        <v>9241.6</v>
      </c>
      <c r="BC412" s="98">
        <v>3.91</v>
      </c>
      <c r="BD412" s="102">
        <v>66.540000000000006</v>
      </c>
      <c r="BE412" s="101">
        <v>9241.6</v>
      </c>
      <c r="BF412" s="98">
        <v>3.91</v>
      </c>
      <c r="BG412" s="102">
        <v>70.45</v>
      </c>
      <c r="BH412" s="97">
        <v>10636.11</v>
      </c>
      <c r="BI412" s="98">
        <v>4.5</v>
      </c>
      <c r="BJ412" s="102">
        <v>74.95</v>
      </c>
      <c r="BK412" s="101">
        <v>9714.32</v>
      </c>
      <c r="BL412" s="98">
        <v>4.1100000000000003</v>
      </c>
      <c r="BM412" s="102">
        <v>79.06</v>
      </c>
      <c r="BN412" s="101">
        <v>9241.6</v>
      </c>
      <c r="BO412" s="98">
        <v>3.91</v>
      </c>
      <c r="BP412" s="102">
        <v>82.97</v>
      </c>
      <c r="BQ412" s="97">
        <v>10636.11</v>
      </c>
      <c r="BR412" s="98">
        <v>4.5</v>
      </c>
      <c r="BS412" s="102">
        <v>87.47</v>
      </c>
      <c r="BT412" s="101">
        <v>9241.6</v>
      </c>
      <c r="BU412" s="98">
        <v>3.91</v>
      </c>
      <c r="BV412" s="102">
        <v>91.38</v>
      </c>
      <c r="BW412" s="97">
        <v>10187.030000000001</v>
      </c>
      <c r="BX412" s="98">
        <v>4.3099999999999996</v>
      </c>
      <c r="BY412" s="102">
        <v>95.69</v>
      </c>
      <c r="BZ412" s="97">
        <v>10187.030000000001</v>
      </c>
      <c r="CA412" s="98">
        <v>4.3099999999999996</v>
      </c>
      <c r="CB412" s="100">
        <v>100</v>
      </c>
      <c r="CC412" s="99"/>
      <c r="CD412" s="99"/>
      <c r="CE412" s="989">
        <v>100</v>
      </c>
      <c r="CF412" s="410"/>
      <c r="CG412" s="408"/>
      <c r="CH412" s="407"/>
      <c r="CI412" s="406"/>
      <c r="CJ412" s="406"/>
      <c r="CK412" s="406"/>
      <c r="CL412" s="406"/>
      <c r="CM412" s="406"/>
      <c r="CN412" s="406"/>
      <c r="CO412" s="473"/>
      <c r="CP412" s="467"/>
      <c r="CQ412" s="409"/>
      <c r="CR412" s="407"/>
      <c r="CS412" s="408"/>
      <c r="CT412" s="409"/>
      <c r="CU412" s="410"/>
      <c r="CV412" s="409"/>
      <c r="CW412" s="407"/>
      <c r="CX412" s="467"/>
      <c r="CY412" s="467"/>
      <c r="CZ412" s="406"/>
      <c r="DA412" s="407"/>
      <c r="DB412" s="467"/>
      <c r="DC412" s="467"/>
      <c r="DD412" s="467"/>
      <c r="DE412" s="467"/>
      <c r="DF412" s="407"/>
    </row>
    <row r="413" spans="1:110" ht="8.4499999999999993" customHeight="1" x14ac:dyDescent="0.2">
      <c r="A413" s="130" t="s">
        <v>533</v>
      </c>
      <c r="B413" s="96">
        <v>28</v>
      </c>
      <c r="C413" s="82" t="s">
        <v>2707</v>
      </c>
      <c r="D413" s="104">
        <v>511</v>
      </c>
      <c r="E413" s="82" t="s">
        <v>1557</v>
      </c>
      <c r="F413" s="82" t="s">
        <v>2024</v>
      </c>
      <c r="G413" s="97">
        <v>61411.61</v>
      </c>
      <c r="H413" s="98">
        <v>0.7</v>
      </c>
      <c r="I413" s="101">
        <v>2763.52</v>
      </c>
      <c r="J413" s="98">
        <v>4.5</v>
      </c>
      <c r="K413" s="98">
        <v>4.5</v>
      </c>
      <c r="L413" s="101">
        <v>2524.02</v>
      </c>
      <c r="M413" s="98">
        <v>4.1100000000000003</v>
      </c>
      <c r="N413" s="98">
        <v>8.61</v>
      </c>
      <c r="O413" s="101">
        <v>2524.02</v>
      </c>
      <c r="P413" s="98">
        <v>4.1100000000000003</v>
      </c>
      <c r="Q413" s="102">
        <v>12.72</v>
      </c>
      <c r="R413" s="101">
        <v>2524.02</v>
      </c>
      <c r="S413" s="98">
        <v>4.1100000000000003</v>
      </c>
      <c r="T413" s="102">
        <v>16.829999999999998</v>
      </c>
      <c r="U413" s="101">
        <v>2401.19</v>
      </c>
      <c r="V413" s="98">
        <v>3.91</v>
      </c>
      <c r="W413" s="102">
        <v>20.74</v>
      </c>
      <c r="X413" s="101">
        <v>2646.84</v>
      </c>
      <c r="Y413" s="98">
        <v>4.3099999999999996</v>
      </c>
      <c r="Z413" s="102">
        <v>25.05</v>
      </c>
      <c r="AA413" s="101">
        <v>2401.19</v>
      </c>
      <c r="AB413" s="98">
        <v>3.91</v>
      </c>
      <c r="AC413" s="102">
        <v>28.96</v>
      </c>
      <c r="AD413" s="101">
        <v>2401.19</v>
      </c>
      <c r="AE413" s="98">
        <v>3.91</v>
      </c>
      <c r="AF413" s="102">
        <v>32.869999999999997</v>
      </c>
      <c r="AG413" s="101">
        <v>2763.52</v>
      </c>
      <c r="AH413" s="98">
        <v>4.5</v>
      </c>
      <c r="AI413" s="102">
        <v>37.369999999999997</v>
      </c>
      <c r="AJ413" s="101">
        <v>2524.02</v>
      </c>
      <c r="AK413" s="98">
        <v>4.1100000000000003</v>
      </c>
      <c r="AL413" s="102">
        <v>41.48</v>
      </c>
      <c r="AM413" s="101">
        <v>2524.02</v>
      </c>
      <c r="AN413" s="98">
        <v>4.1100000000000003</v>
      </c>
      <c r="AO413" s="102">
        <v>45.59</v>
      </c>
      <c r="AP413" s="101">
        <v>2646.84</v>
      </c>
      <c r="AQ413" s="98">
        <v>4.3099999999999996</v>
      </c>
      <c r="AR413" s="102">
        <v>49.9</v>
      </c>
      <c r="AS413" s="101">
        <v>2646.84</v>
      </c>
      <c r="AT413" s="98">
        <v>4.3099999999999996</v>
      </c>
      <c r="AU413" s="102">
        <v>54.21</v>
      </c>
      <c r="AV413" s="101">
        <v>2646.84</v>
      </c>
      <c r="AW413" s="98">
        <v>4.3099999999999996</v>
      </c>
      <c r="AX413" s="102">
        <v>58.52</v>
      </c>
      <c r="AY413" s="101">
        <v>2524.02</v>
      </c>
      <c r="AZ413" s="98">
        <v>4.1100000000000003</v>
      </c>
      <c r="BA413" s="102">
        <v>62.63</v>
      </c>
      <c r="BB413" s="101">
        <v>2401.19</v>
      </c>
      <c r="BC413" s="98">
        <v>3.91</v>
      </c>
      <c r="BD413" s="102">
        <v>66.540000000000006</v>
      </c>
      <c r="BE413" s="101">
        <v>2401.19</v>
      </c>
      <c r="BF413" s="98">
        <v>3.91</v>
      </c>
      <c r="BG413" s="102">
        <v>70.45</v>
      </c>
      <c r="BH413" s="101">
        <v>2763.52</v>
      </c>
      <c r="BI413" s="98">
        <v>4.5</v>
      </c>
      <c r="BJ413" s="102">
        <v>74.95</v>
      </c>
      <c r="BK413" s="101">
        <v>2524.02</v>
      </c>
      <c r="BL413" s="98">
        <v>4.1100000000000003</v>
      </c>
      <c r="BM413" s="102">
        <v>79.06</v>
      </c>
      <c r="BN413" s="101">
        <v>2401.19</v>
      </c>
      <c r="BO413" s="98">
        <v>3.91</v>
      </c>
      <c r="BP413" s="102">
        <v>82.97</v>
      </c>
      <c r="BQ413" s="101">
        <v>2763.52</v>
      </c>
      <c r="BR413" s="98">
        <v>4.5</v>
      </c>
      <c r="BS413" s="102">
        <v>87.47</v>
      </c>
      <c r="BT413" s="101">
        <v>2401.19</v>
      </c>
      <c r="BU413" s="98">
        <v>3.91</v>
      </c>
      <c r="BV413" s="102">
        <v>91.38</v>
      </c>
      <c r="BW413" s="101">
        <v>2646.84</v>
      </c>
      <c r="BX413" s="98">
        <v>4.3099999999999996</v>
      </c>
      <c r="BY413" s="102">
        <v>95.69</v>
      </c>
      <c r="BZ413" s="101">
        <v>2646.84</v>
      </c>
      <c r="CA413" s="98">
        <v>4.3099999999999996</v>
      </c>
      <c r="CB413" s="100">
        <v>100</v>
      </c>
      <c r="CC413" s="99"/>
      <c r="CD413" s="99"/>
      <c r="CE413" s="989">
        <v>100</v>
      </c>
      <c r="CF413" s="410"/>
      <c r="CG413" s="408"/>
      <c r="CH413" s="407"/>
      <c r="CI413" s="406"/>
      <c r="CJ413" s="406"/>
      <c r="CK413" s="406"/>
      <c r="CL413" s="406"/>
      <c r="CM413" s="406"/>
      <c r="CN413" s="406"/>
      <c r="CO413" s="474"/>
      <c r="CP413" s="464"/>
      <c r="CQ413" s="404"/>
      <c r="CR413" s="461"/>
      <c r="CS413" s="404"/>
      <c r="CT413" s="404"/>
      <c r="CU413" s="461"/>
      <c r="CV413" s="404"/>
      <c r="CW413" s="405"/>
      <c r="CX413" s="464"/>
      <c r="CY413" s="464"/>
      <c r="CZ413" s="460"/>
      <c r="DA413" s="405"/>
      <c r="DB413" s="464"/>
      <c r="DC413" s="464"/>
      <c r="DD413" s="464"/>
      <c r="DE413" s="464"/>
      <c r="DF413" s="405"/>
    </row>
    <row r="414" spans="1:110" ht="8.4499999999999993" customHeight="1" x14ac:dyDescent="0.2">
      <c r="A414" s="130" t="s">
        <v>534</v>
      </c>
      <c r="B414" s="96">
        <v>29</v>
      </c>
      <c r="C414" s="82" t="s">
        <v>2708</v>
      </c>
      <c r="D414" s="104">
        <v>511</v>
      </c>
      <c r="E414" s="82" t="s">
        <v>1557</v>
      </c>
      <c r="F414" s="82" t="s">
        <v>2024</v>
      </c>
      <c r="G414" s="97">
        <v>76068.149999999994</v>
      </c>
      <c r="H414" s="98">
        <v>0.86</v>
      </c>
      <c r="I414" s="101">
        <v>3423.07</v>
      </c>
      <c r="J414" s="98">
        <v>4.5</v>
      </c>
      <c r="K414" s="98">
        <v>4.5</v>
      </c>
      <c r="L414" s="101">
        <v>3126.4</v>
      </c>
      <c r="M414" s="98">
        <v>4.1100000000000003</v>
      </c>
      <c r="N414" s="98">
        <v>8.61</v>
      </c>
      <c r="O414" s="101">
        <v>3126.4</v>
      </c>
      <c r="P414" s="98">
        <v>4.1100000000000003</v>
      </c>
      <c r="Q414" s="102">
        <v>12.72</v>
      </c>
      <c r="R414" s="101">
        <v>3126.4</v>
      </c>
      <c r="S414" s="98">
        <v>4.1100000000000003</v>
      </c>
      <c r="T414" s="102">
        <v>16.829999999999998</v>
      </c>
      <c r="U414" s="101">
        <v>2974.26</v>
      </c>
      <c r="V414" s="98">
        <v>3.91</v>
      </c>
      <c r="W414" s="102">
        <v>20.74</v>
      </c>
      <c r="X414" s="101">
        <v>3278.54</v>
      </c>
      <c r="Y414" s="98">
        <v>4.3099999999999996</v>
      </c>
      <c r="Z414" s="102">
        <v>25.05</v>
      </c>
      <c r="AA414" s="101">
        <v>2974.26</v>
      </c>
      <c r="AB414" s="98">
        <v>3.91</v>
      </c>
      <c r="AC414" s="102">
        <v>28.96</v>
      </c>
      <c r="AD414" s="101">
        <v>2974.26</v>
      </c>
      <c r="AE414" s="98">
        <v>3.91</v>
      </c>
      <c r="AF414" s="102">
        <v>32.869999999999997</v>
      </c>
      <c r="AG414" s="101">
        <v>3423.07</v>
      </c>
      <c r="AH414" s="98">
        <v>4.5</v>
      </c>
      <c r="AI414" s="102">
        <v>37.369999999999997</v>
      </c>
      <c r="AJ414" s="101">
        <v>3126.4</v>
      </c>
      <c r="AK414" s="98">
        <v>4.1100000000000003</v>
      </c>
      <c r="AL414" s="102">
        <v>41.48</v>
      </c>
      <c r="AM414" s="101">
        <v>3126.4</v>
      </c>
      <c r="AN414" s="98">
        <v>4.1100000000000003</v>
      </c>
      <c r="AO414" s="102">
        <v>45.59</v>
      </c>
      <c r="AP414" s="101">
        <v>3278.54</v>
      </c>
      <c r="AQ414" s="98">
        <v>4.3099999999999996</v>
      </c>
      <c r="AR414" s="102">
        <v>49.9</v>
      </c>
      <c r="AS414" s="101">
        <v>3278.54</v>
      </c>
      <c r="AT414" s="98">
        <v>4.3099999999999996</v>
      </c>
      <c r="AU414" s="102">
        <v>54.21</v>
      </c>
      <c r="AV414" s="101">
        <v>3278.54</v>
      </c>
      <c r="AW414" s="98">
        <v>4.3099999999999996</v>
      </c>
      <c r="AX414" s="102">
        <v>58.52</v>
      </c>
      <c r="AY414" s="101">
        <v>3126.4</v>
      </c>
      <c r="AZ414" s="98">
        <v>4.1100000000000003</v>
      </c>
      <c r="BA414" s="102">
        <v>62.63</v>
      </c>
      <c r="BB414" s="101">
        <v>2974.26</v>
      </c>
      <c r="BC414" s="98">
        <v>3.91</v>
      </c>
      <c r="BD414" s="102">
        <v>66.540000000000006</v>
      </c>
      <c r="BE414" s="101">
        <v>2974.26</v>
      </c>
      <c r="BF414" s="98">
        <v>3.91</v>
      </c>
      <c r="BG414" s="102">
        <v>70.45</v>
      </c>
      <c r="BH414" s="101">
        <v>3423.07</v>
      </c>
      <c r="BI414" s="98">
        <v>4.5</v>
      </c>
      <c r="BJ414" s="102">
        <v>74.95</v>
      </c>
      <c r="BK414" s="101">
        <v>3126.4</v>
      </c>
      <c r="BL414" s="98">
        <v>4.1100000000000003</v>
      </c>
      <c r="BM414" s="102">
        <v>79.06</v>
      </c>
      <c r="BN414" s="101">
        <v>2974.26</v>
      </c>
      <c r="BO414" s="98">
        <v>3.91</v>
      </c>
      <c r="BP414" s="102">
        <v>82.97</v>
      </c>
      <c r="BQ414" s="101">
        <v>3423.07</v>
      </c>
      <c r="BR414" s="98">
        <v>4.5</v>
      </c>
      <c r="BS414" s="102">
        <v>87.47</v>
      </c>
      <c r="BT414" s="101">
        <v>2974.26</v>
      </c>
      <c r="BU414" s="98">
        <v>3.91</v>
      </c>
      <c r="BV414" s="102">
        <v>91.38</v>
      </c>
      <c r="BW414" s="101">
        <v>3278.54</v>
      </c>
      <c r="BX414" s="98">
        <v>4.3099999999999996</v>
      </c>
      <c r="BY414" s="102">
        <v>95.69</v>
      </c>
      <c r="BZ414" s="101">
        <v>3278.54</v>
      </c>
      <c r="CA414" s="98">
        <v>4.3099999999999996</v>
      </c>
      <c r="CB414" s="100">
        <v>100</v>
      </c>
      <c r="CC414" s="99"/>
      <c r="CD414" s="99"/>
      <c r="CE414" s="989">
        <v>100</v>
      </c>
      <c r="CF414" s="410"/>
      <c r="CG414" s="408"/>
      <c r="CH414" s="407"/>
      <c r="CI414" s="406"/>
      <c r="CJ414" s="406"/>
      <c r="CK414" s="406"/>
      <c r="CL414" s="406"/>
      <c r="CM414" s="406"/>
      <c r="CN414" s="406"/>
      <c r="CO414" s="467"/>
      <c r="CP414" s="467"/>
      <c r="CQ414" s="406"/>
      <c r="CR414" s="407"/>
      <c r="CS414" s="407"/>
      <c r="CT414" s="407"/>
      <c r="CU414" s="406"/>
      <c r="CV414" s="406"/>
      <c r="CW414" s="407"/>
      <c r="CX414" s="467"/>
      <c r="CY414" s="467"/>
      <c r="CZ414" s="406"/>
      <c r="DA414" s="407"/>
      <c r="DB414" s="467"/>
      <c r="DC414" s="467"/>
      <c r="DD414" s="467"/>
      <c r="DE414" s="467"/>
      <c r="DF414" s="407"/>
    </row>
    <row r="415" spans="1:110" ht="8.4499999999999993" customHeight="1" x14ac:dyDescent="0.2">
      <c r="A415" s="130" t="s">
        <v>733</v>
      </c>
      <c r="B415" s="96">
        <v>30</v>
      </c>
      <c r="C415" s="82" t="s">
        <v>2709</v>
      </c>
      <c r="D415" s="104">
        <v>511</v>
      </c>
      <c r="E415" s="82" t="s">
        <v>1557</v>
      </c>
      <c r="F415" s="82" t="s">
        <v>2024</v>
      </c>
      <c r="G415" s="106">
        <v>118481.35</v>
      </c>
      <c r="H415" s="98">
        <v>1.35</v>
      </c>
      <c r="I415" s="101">
        <v>5331.66</v>
      </c>
      <c r="J415" s="98">
        <v>4.5</v>
      </c>
      <c r="K415" s="98">
        <v>4.5</v>
      </c>
      <c r="L415" s="101">
        <v>4869.58</v>
      </c>
      <c r="M415" s="98">
        <v>4.1100000000000003</v>
      </c>
      <c r="N415" s="98">
        <v>8.61</v>
      </c>
      <c r="O415" s="101">
        <v>4869.58</v>
      </c>
      <c r="P415" s="98">
        <v>4.1100000000000003</v>
      </c>
      <c r="Q415" s="102">
        <v>12.72</v>
      </c>
      <c r="R415" s="101">
        <v>4869.58</v>
      </c>
      <c r="S415" s="98">
        <v>4.1100000000000003</v>
      </c>
      <c r="T415" s="102">
        <v>16.829999999999998</v>
      </c>
      <c r="U415" s="101">
        <v>4632.62</v>
      </c>
      <c r="V415" s="98">
        <v>3.91</v>
      </c>
      <c r="W415" s="102">
        <v>20.74</v>
      </c>
      <c r="X415" s="101">
        <v>5106.55</v>
      </c>
      <c r="Y415" s="98">
        <v>4.3099999999999996</v>
      </c>
      <c r="Z415" s="102">
        <v>25.05</v>
      </c>
      <c r="AA415" s="101">
        <v>4632.62</v>
      </c>
      <c r="AB415" s="98">
        <v>3.91</v>
      </c>
      <c r="AC415" s="102">
        <v>28.96</v>
      </c>
      <c r="AD415" s="101">
        <v>4632.62</v>
      </c>
      <c r="AE415" s="98">
        <v>3.91</v>
      </c>
      <c r="AF415" s="102">
        <v>32.869999999999997</v>
      </c>
      <c r="AG415" s="101">
        <v>5331.66</v>
      </c>
      <c r="AH415" s="98">
        <v>4.5</v>
      </c>
      <c r="AI415" s="102">
        <v>37.369999999999997</v>
      </c>
      <c r="AJ415" s="101">
        <v>4869.58</v>
      </c>
      <c r="AK415" s="98">
        <v>4.1100000000000003</v>
      </c>
      <c r="AL415" s="102">
        <v>41.48</v>
      </c>
      <c r="AM415" s="101">
        <v>4869.58</v>
      </c>
      <c r="AN415" s="98">
        <v>4.1100000000000003</v>
      </c>
      <c r="AO415" s="102">
        <v>45.59</v>
      </c>
      <c r="AP415" s="101">
        <v>5106.55</v>
      </c>
      <c r="AQ415" s="98">
        <v>4.3099999999999996</v>
      </c>
      <c r="AR415" s="102">
        <v>49.9</v>
      </c>
      <c r="AS415" s="101">
        <v>5106.55</v>
      </c>
      <c r="AT415" s="98">
        <v>4.3099999999999996</v>
      </c>
      <c r="AU415" s="102">
        <v>54.21</v>
      </c>
      <c r="AV415" s="101">
        <v>5106.55</v>
      </c>
      <c r="AW415" s="98">
        <v>4.3099999999999996</v>
      </c>
      <c r="AX415" s="102">
        <v>58.52</v>
      </c>
      <c r="AY415" s="101">
        <v>4869.58</v>
      </c>
      <c r="AZ415" s="98">
        <v>4.1100000000000003</v>
      </c>
      <c r="BA415" s="102">
        <v>62.63</v>
      </c>
      <c r="BB415" s="101">
        <v>4632.62</v>
      </c>
      <c r="BC415" s="98">
        <v>3.91</v>
      </c>
      <c r="BD415" s="102">
        <v>66.540000000000006</v>
      </c>
      <c r="BE415" s="101">
        <v>4632.62</v>
      </c>
      <c r="BF415" s="98">
        <v>3.91</v>
      </c>
      <c r="BG415" s="102">
        <v>70.45</v>
      </c>
      <c r="BH415" s="101">
        <v>5331.66</v>
      </c>
      <c r="BI415" s="98">
        <v>4.5</v>
      </c>
      <c r="BJ415" s="102">
        <v>74.95</v>
      </c>
      <c r="BK415" s="101">
        <v>4869.58</v>
      </c>
      <c r="BL415" s="98">
        <v>4.1100000000000003</v>
      </c>
      <c r="BM415" s="102">
        <v>79.06</v>
      </c>
      <c r="BN415" s="101">
        <v>4632.62</v>
      </c>
      <c r="BO415" s="98">
        <v>3.91</v>
      </c>
      <c r="BP415" s="102">
        <v>82.97</v>
      </c>
      <c r="BQ415" s="101">
        <v>5331.66</v>
      </c>
      <c r="BR415" s="98">
        <v>4.5</v>
      </c>
      <c r="BS415" s="102">
        <v>87.47</v>
      </c>
      <c r="BT415" s="101">
        <v>4632.62</v>
      </c>
      <c r="BU415" s="98">
        <v>3.91</v>
      </c>
      <c r="BV415" s="102">
        <v>91.38</v>
      </c>
      <c r="BW415" s="101">
        <v>5106.55</v>
      </c>
      <c r="BX415" s="98">
        <v>4.3099999999999996</v>
      </c>
      <c r="BY415" s="102">
        <v>95.69</v>
      </c>
      <c r="BZ415" s="101">
        <v>5106.55</v>
      </c>
      <c r="CA415" s="98">
        <v>4.3099999999999996</v>
      </c>
      <c r="CB415" s="100">
        <v>100</v>
      </c>
      <c r="CC415" s="99"/>
      <c r="CD415" s="99"/>
      <c r="CE415" s="989">
        <v>100</v>
      </c>
      <c r="CF415" s="411"/>
      <c r="CG415" s="462"/>
      <c r="CH415" s="405"/>
      <c r="CI415" s="460"/>
      <c r="CJ415" s="460"/>
      <c r="CK415" s="460"/>
      <c r="CL415" s="460"/>
      <c r="CM415" s="460"/>
      <c r="CN415" s="460"/>
      <c r="CO415" s="467"/>
      <c r="CP415" s="467"/>
      <c r="CQ415" s="406"/>
      <c r="CR415" s="407"/>
      <c r="CS415" s="407"/>
      <c r="CT415" s="407"/>
      <c r="CU415" s="406"/>
      <c r="CV415" s="406"/>
      <c r="CW415" s="407"/>
      <c r="CX415" s="467"/>
      <c r="CY415" s="467"/>
      <c r="CZ415" s="406"/>
      <c r="DA415" s="407"/>
      <c r="DB415" s="467"/>
      <c r="DC415" s="467"/>
      <c r="DD415" s="467"/>
      <c r="DE415" s="467"/>
      <c r="DF415" s="407"/>
    </row>
    <row r="416" spans="1:110" ht="8.4499999999999993" customHeight="1" x14ac:dyDescent="0.2">
      <c r="A416" s="130" t="s">
        <v>2153</v>
      </c>
      <c r="B416" s="96">
        <v>31</v>
      </c>
      <c r="C416" s="82" t="s">
        <v>2710</v>
      </c>
      <c r="D416" s="104">
        <v>511</v>
      </c>
      <c r="E416" s="82" t="s">
        <v>1557</v>
      </c>
      <c r="F416" s="82" t="s">
        <v>2024</v>
      </c>
      <c r="G416" s="97">
        <v>60000</v>
      </c>
      <c r="H416" s="98">
        <v>0.68</v>
      </c>
      <c r="I416" s="101">
        <v>2700</v>
      </c>
      <c r="J416" s="98">
        <v>4.5</v>
      </c>
      <c r="K416" s="98">
        <v>4.5</v>
      </c>
      <c r="L416" s="101">
        <v>2466</v>
      </c>
      <c r="M416" s="98">
        <v>4.1100000000000003</v>
      </c>
      <c r="N416" s="98">
        <v>8.61</v>
      </c>
      <c r="O416" s="101">
        <v>2466</v>
      </c>
      <c r="P416" s="98">
        <v>4.1100000000000003</v>
      </c>
      <c r="Q416" s="102">
        <v>12.72</v>
      </c>
      <c r="R416" s="101">
        <v>2466</v>
      </c>
      <c r="S416" s="98">
        <v>4.1100000000000003</v>
      </c>
      <c r="T416" s="102">
        <v>16.829999999999998</v>
      </c>
      <c r="U416" s="101">
        <v>2346</v>
      </c>
      <c r="V416" s="98">
        <v>3.91</v>
      </c>
      <c r="W416" s="102">
        <v>20.74</v>
      </c>
      <c r="X416" s="101">
        <v>2586</v>
      </c>
      <c r="Y416" s="98">
        <v>4.3099999999999996</v>
      </c>
      <c r="Z416" s="102">
        <v>25.05</v>
      </c>
      <c r="AA416" s="101">
        <v>2346</v>
      </c>
      <c r="AB416" s="98">
        <v>3.91</v>
      </c>
      <c r="AC416" s="102">
        <v>28.96</v>
      </c>
      <c r="AD416" s="101">
        <v>2346</v>
      </c>
      <c r="AE416" s="98">
        <v>3.91</v>
      </c>
      <c r="AF416" s="102">
        <v>32.869999999999997</v>
      </c>
      <c r="AG416" s="101">
        <v>2700</v>
      </c>
      <c r="AH416" s="98">
        <v>4.5</v>
      </c>
      <c r="AI416" s="102">
        <v>37.369999999999997</v>
      </c>
      <c r="AJ416" s="101">
        <v>2466</v>
      </c>
      <c r="AK416" s="98">
        <v>4.1100000000000003</v>
      </c>
      <c r="AL416" s="102">
        <v>41.48</v>
      </c>
      <c r="AM416" s="101">
        <v>2466</v>
      </c>
      <c r="AN416" s="98">
        <v>4.1100000000000003</v>
      </c>
      <c r="AO416" s="102">
        <v>45.59</v>
      </c>
      <c r="AP416" s="101">
        <v>2586</v>
      </c>
      <c r="AQ416" s="98">
        <v>4.3099999999999996</v>
      </c>
      <c r="AR416" s="102">
        <v>49.9</v>
      </c>
      <c r="AS416" s="101">
        <v>2586</v>
      </c>
      <c r="AT416" s="98">
        <v>4.3099999999999996</v>
      </c>
      <c r="AU416" s="102">
        <v>54.21</v>
      </c>
      <c r="AV416" s="101">
        <v>2586</v>
      </c>
      <c r="AW416" s="98">
        <v>4.3099999999999996</v>
      </c>
      <c r="AX416" s="102">
        <v>58.52</v>
      </c>
      <c r="AY416" s="101">
        <v>2466</v>
      </c>
      <c r="AZ416" s="98">
        <v>4.1100000000000003</v>
      </c>
      <c r="BA416" s="102">
        <v>62.63</v>
      </c>
      <c r="BB416" s="101">
        <v>2346</v>
      </c>
      <c r="BC416" s="98">
        <v>3.91</v>
      </c>
      <c r="BD416" s="102">
        <v>66.540000000000006</v>
      </c>
      <c r="BE416" s="101">
        <v>2346</v>
      </c>
      <c r="BF416" s="98">
        <v>3.91</v>
      </c>
      <c r="BG416" s="102">
        <v>70.45</v>
      </c>
      <c r="BH416" s="101">
        <v>2700</v>
      </c>
      <c r="BI416" s="98">
        <v>4.5</v>
      </c>
      <c r="BJ416" s="102">
        <v>74.95</v>
      </c>
      <c r="BK416" s="101">
        <v>2466</v>
      </c>
      <c r="BL416" s="98">
        <v>4.1100000000000003</v>
      </c>
      <c r="BM416" s="102">
        <v>79.06</v>
      </c>
      <c r="BN416" s="101">
        <v>2346</v>
      </c>
      <c r="BO416" s="98">
        <v>3.91</v>
      </c>
      <c r="BP416" s="102">
        <v>82.97</v>
      </c>
      <c r="BQ416" s="101">
        <v>2700</v>
      </c>
      <c r="BR416" s="98">
        <v>4.5</v>
      </c>
      <c r="BS416" s="102">
        <v>87.47</v>
      </c>
      <c r="BT416" s="101">
        <v>2346</v>
      </c>
      <c r="BU416" s="98">
        <v>3.91</v>
      </c>
      <c r="BV416" s="102">
        <v>91.38</v>
      </c>
      <c r="BW416" s="101">
        <v>2586</v>
      </c>
      <c r="BX416" s="98">
        <v>4.3099999999999996</v>
      </c>
      <c r="BY416" s="102">
        <v>95.69</v>
      </c>
      <c r="BZ416" s="101">
        <v>2586</v>
      </c>
      <c r="CA416" s="98">
        <v>4.3099999999999996</v>
      </c>
      <c r="CB416" s="100">
        <v>100</v>
      </c>
      <c r="CC416" s="99"/>
      <c r="CD416" s="99"/>
      <c r="CE416" s="989">
        <v>100</v>
      </c>
      <c r="CF416" s="410"/>
      <c r="CG416" s="408"/>
      <c r="CH416" s="407"/>
      <c r="CI416" s="406"/>
      <c r="CJ416" s="406"/>
      <c r="CK416" s="406"/>
      <c r="CL416" s="406"/>
      <c r="CM416" s="406"/>
      <c r="CN416" s="406"/>
      <c r="CO416" s="467"/>
      <c r="CP416" s="467"/>
      <c r="CQ416" s="406"/>
      <c r="CR416" s="407"/>
      <c r="CS416" s="407"/>
      <c r="CT416" s="407"/>
      <c r="CU416" s="406"/>
      <c r="CV416" s="406"/>
      <c r="CW416" s="407"/>
      <c r="CX416" s="467"/>
      <c r="CY416" s="467"/>
      <c r="CZ416" s="406"/>
      <c r="DA416" s="407"/>
      <c r="DB416" s="467"/>
      <c r="DC416" s="467"/>
      <c r="DD416" s="467"/>
      <c r="DE416" s="467"/>
      <c r="DF416" s="407"/>
    </row>
    <row r="417" spans="1:110" ht="8.4499999999999993" customHeight="1" x14ac:dyDescent="0.2">
      <c r="A417" s="130" t="s">
        <v>535</v>
      </c>
      <c r="B417" s="88">
        <v>32</v>
      </c>
      <c r="C417" s="87" t="s">
        <v>2711</v>
      </c>
      <c r="D417" s="103">
        <v>511</v>
      </c>
      <c r="E417" s="87" t="s">
        <v>1557</v>
      </c>
      <c r="F417" s="87" t="s">
        <v>2024</v>
      </c>
      <c r="G417" s="105">
        <v>436569.8</v>
      </c>
      <c r="H417" s="90">
        <v>4.96</v>
      </c>
      <c r="I417" s="89">
        <v>19645.64</v>
      </c>
      <c r="J417" s="90">
        <v>4.5</v>
      </c>
      <c r="K417" s="90">
        <v>4.5</v>
      </c>
      <c r="L417" s="89">
        <v>17943.02</v>
      </c>
      <c r="M417" s="90">
        <v>4.1100000000000003</v>
      </c>
      <c r="N417" s="90">
        <v>8.61</v>
      </c>
      <c r="O417" s="89">
        <v>17943.02</v>
      </c>
      <c r="P417" s="90">
        <v>4.1100000000000003</v>
      </c>
      <c r="Q417" s="91">
        <v>12.72</v>
      </c>
      <c r="R417" s="89">
        <v>17943.02</v>
      </c>
      <c r="S417" s="90">
        <v>4.1100000000000003</v>
      </c>
      <c r="T417" s="91">
        <v>16.829999999999998</v>
      </c>
      <c r="U417" s="89">
        <v>17069.88</v>
      </c>
      <c r="V417" s="90">
        <v>3.91</v>
      </c>
      <c r="W417" s="91">
        <v>20.74</v>
      </c>
      <c r="X417" s="89">
        <v>18816.16</v>
      </c>
      <c r="Y417" s="90">
        <v>4.3099999999999996</v>
      </c>
      <c r="Z417" s="91">
        <v>25.05</v>
      </c>
      <c r="AA417" s="89">
        <v>17069.88</v>
      </c>
      <c r="AB417" s="90">
        <v>3.91</v>
      </c>
      <c r="AC417" s="91">
        <v>28.96</v>
      </c>
      <c r="AD417" s="89">
        <v>17069.88</v>
      </c>
      <c r="AE417" s="90">
        <v>3.91</v>
      </c>
      <c r="AF417" s="91">
        <v>32.869999999999997</v>
      </c>
      <c r="AG417" s="89">
        <v>19645.64</v>
      </c>
      <c r="AH417" s="90">
        <v>4.5</v>
      </c>
      <c r="AI417" s="91">
        <v>37.369999999999997</v>
      </c>
      <c r="AJ417" s="89">
        <v>17943.02</v>
      </c>
      <c r="AK417" s="90">
        <v>4.1100000000000003</v>
      </c>
      <c r="AL417" s="91">
        <v>41.48</v>
      </c>
      <c r="AM417" s="89">
        <v>17943.02</v>
      </c>
      <c r="AN417" s="90">
        <v>4.1100000000000003</v>
      </c>
      <c r="AO417" s="91">
        <v>45.59</v>
      </c>
      <c r="AP417" s="89">
        <v>18816.16</v>
      </c>
      <c r="AQ417" s="90">
        <v>4.3099999999999996</v>
      </c>
      <c r="AR417" s="91">
        <v>49.9</v>
      </c>
      <c r="AS417" s="89">
        <v>18816.16</v>
      </c>
      <c r="AT417" s="90">
        <v>4.3099999999999996</v>
      </c>
      <c r="AU417" s="91">
        <v>54.21</v>
      </c>
      <c r="AV417" s="89">
        <v>18816.16</v>
      </c>
      <c r="AW417" s="90">
        <v>4.3099999999999996</v>
      </c>
      <c r="AX417" s="91">
        <v>58.52</v>
      </c>
      <c r="AY417" s="89">
        <v>17943.02</v>
      </c>
      <c r="AZ417" s="90">
        <v>4.1100000000000003</v>
      </c>
      <c r="BA417" s="91">
        <v>62.63</v>
      </c>
      <c r="BB417" s="89">
        <v>17069.88</v>
      </c>
      <c r="BC417" s="90">
        <v>3.91</v>
      </c>
      <c r="BD417" s="91">
        <v>66.540000000000006</v>
      </c>
      <c r="BE417" s="89">
        <v>17069.88</v>
      </c>
      <c r="BF417" s="90">
        <v>3.91</v>
      </c>
      <c r="BG417" s="91">
        <v>70.45</v>
      </c>
      <c r="BH417" s="89">
        <v>19645.64</v>
      </c>
      <c r="BI417" s="90">
        <v>4.5</v>
      </c>
      <c r="BJ417" s="91">
        <v>74.95</v>
      </c>
      <c r="BK417" s="89">
        <v>17943.02</v>
      </c>
      <c r="BL417" s="90">
        <v>4.1100000000000003</v>
      </c>
      <c r="BM417" s="91">
        <v>79.06</v>
      </c>
      <c r="BN417" s="89">
        <v>17069.88</v>
      </c>
      <c r="BO417" s="90">
        <v>3.91</v>
      </c>
      <c r="BP417" s="91">
        <v>82.97</v>
      </c>
      <c r="BQ417" s="89">
        <v>19645.64</v>
      </c>
      <c r="BR417" s="90">
        <v>4.5</v>
      </c>
      <c r="BS417" s="91">
        <v>87.47</v>
      </c>
      <c r="BT417" s="89">
        <v>17069.88</v>
      </c>
      <c r="BU417" s="90">
        <v>3.91</v>
      </c>
      <c r="BV417" s="91">
        <v>91.38</v>
      </c>
      <c r="BW417" s="89">
        <v>18816.16</v>
      </c>
      <c r="BX417" s="90">
        <v>4.3099999999999996</v>
      </c>
      <c r="BY417" s="91">
        <v>95.69</v>
      </c>
      <c r="BZ417" s="89">
        <v>18816.16</v>
      </c>
      <c r="CA417" s="90">
        <v>4.3099999999999996</v>
      </c>
      <c r="CB417" s="93">
        <v>100</v>
      </c>
      <c r="CC417" s="94"/>
      <c r="CD417" s="94"/>
      <c r="CE417" s="988">
        <v>100</v>
      </c>
      <c r="CF417" s="410"/>
      <c r="CG417" s="408"/>
      <c r="CH417" s="407"/>
      <c r="CI417" s="406"/>
      <c r="CJ417" s="406"/>
      <c r="CK417" s="406"/>
      <c r="CL417" s="406"/>
      <c r="CM417" s="406"/>
      <c r="CN417" s="406"/>
      <c r="CO417" s="468"/>
      <c r="CP417" s="467"/>
      <c r="CQ417" s="407"/>
      <c r="CR417" s="406"/>
      <c r="CS417" s="406"/>
      <c r="CT417" s="407"/>
      <c r="CU417" s="406"/>
      <c r="CV417" s="406"/>
      <c r="CW417" s="407"/>
      <c r="CX417" s="467"/>
      <c r="CY417" s="467"/>
      <c r="CZ417" s="406"/>
      <c r="DA417" s="407"/>
      <c r="DB417" s="467"/>
      <c r="DC417" s="467"/>
      <c r="DD417" s="467"/>
      <c r="DE417" s="467"/>
      <c r="DF417" s="407"/>
    </row>
    <row r="418" spans="1:110" ht="8.4499999999999993" customHeight="1" x14ac:dyDescent="0.2">
      <c r="A418" s="130" t="s">
        <v>537</v>
      </c>
      <c r="B418" s="96">
        <v>33</v>
      </c>
      <c r="C418" s="82" t="s">
        <v>2712</v>
      </c>
      <c r="D418" s="104">
        <v>511</v>
      </c>
      <c r="E418" s="82" t="s">
        <v>1557</v>
      </c>
      <c r="F418" s="82" t="s">
        <v>2024</v>
      </c>
      <c r="G418" s="97">
        <v>95912.02</v>
      </c>
      <c r="H418" s="98">
        <v>1.0900000000000001</v>
      </c>
      <c r="I418" s="101">
        <v>4316.04</v>
      </c>
      <c r="J418" s="98">
        <v>4.5</v>
      </c>
      <c r="K418" s="98">
        <v>4.5</v>
      </c>
      <c r="L418" s="101">
        <v>3941.98</v>
      </c>
      <c r="M418" s="98">
        <v>4.1100000000000003</v>
      </c>
      <c r="N418" s="98">
        <v>8.61</v>
      </c>
      <c r="O418" s="101">
        <v>3941.98</v>
      </c>
      <c r="P418" s="98">
        <v>4.1100000000000003</v>
      </c>
      <c r="Q418" s="102">
        <v>12.72</v>
      </c>
      <c r="R418" s="101">
        <v>3941.98</v>
      </c>
      <c r="S418" s="98">
        <v>4.1100000000000003</v>
      </c>
      <c r="T418" s="102">
        <v>16.829999999999998</v>
      </c>
      <c r="U418" s="101">
        <v>3750.16</v>
      </c>
      <c r="V418" s="98">
        <v>3.91</v>
      </c>
      <c r="W418" s="102">
        <v>20.74</v>
      </c>
      <c r="X418" s="101">
        <v>4133.8100000000004</v>
      </c>
      <c r="Y418" s="98">
        <v>4.3099999999999996</v>
      </c>
      <c r="Z418" s="102">
        <v>25.05</v>
      </c>
      <c r="AA418" s="101">
        <v>3750.16</v>
      </c>
      <c r="AB418" s="98">
        <v>3.91</v>
      </c>
      <c r="AC418" s="102">
        <v>28.96</v>
      </c>
      <c r="AD418" s="101">
        <v>3750.16</v>
      </c>
      <c r="AE418" s="98">
        <v>3.91</v>
      </c>
      <c r="AF418" s="102">
        <v>32.869999999999997</v>
      </c>
      <c r="AG418" s="101">
        <v>4316.04</v>
      </c>
      <c r="AH418" s="98">
        <v>4.5</v>
      </c>
      <c r="AI418" s="102">
        <v>37.369999999999997</v>
      </c>
      <c r="AJ418" s="101">
        <v>3941.98</v>
      </c>
      <c r="AK418" s="98">
        <v>4.1100000000000003</v>
      </c>
      <c r="AL418" s="102">
        <v>41.48</v>
      </c>
      <c r="AM418" s="101">
        <v>3941.98</v>
      </c>
      <c r="AN418" s="98">
        <v>4.1100000000000003</v>
      </c>
      <c r="AO418" s="102">
        <v>45.59</v>
      </c>
      <c r="AP418" s="101">
        <v>4133.8100000000004</v>
      </c>
      <c r="AQ418" s="98">
        <v>4.3099999999999996</v>
      </c>
      <c r="AR418" s="102">
        <v>49.9</v>
      </c>
      <c r="AS418" s="101">
        <v>4133.8100000000004</v>
      </c>
      <c r="AT418" s="98">
        <v>4.3099999999999996</v>
      </c>
      <c r="AU418" s="102">
        <v>54.21</v>
      </c>
      <c r="AV418" s="101">
        <v>4133.8100000000004</v>
      </c>
      <c r="AW418" s="98">
        <v>4.3099999999999996</v>
      </c>
      <c r="AX418" s="102">
        <v>58.52</v>
      </c>
      <c r="AY418" s="101">
        <v>3941.98</v>
      </c>
      <c r="AZ418" s="98">
        <v>4.1100000000000003</v>
      </c>
      <c r="BA418" s="102">
        <v>62.63</v>
      </c>
      <c r="BB418" s="101">
        <v>3750.16</v>
      </c>
      <c r="BC418" s="98">
        <v>3.91</v>
      </c>
      <c r="BD418" s="102">
        <v>66.540000000000006</v>
      </c>
      <c r="BE418" s="101">
        <v>3750.16</v>
      </c>
      <c r="BF418" s="98">
        <v>3.91</v>
      </c>
      <c r="BG418" s="102">
        <v>70.45</v>
      </c>
      <c r="BH418" s="101">
        <v>4316.04</v>
      </c>
      <c r="BI418" s="98">
        <v>4.5</v>
      </c>
      <c r="BJ418" s="102">
        <v>74.95</v>
      </c>
      <c r="BK418" s="101">
        <v>3941.98</v>
      </c>
      <c r="BL418" s="98">
        <v>4.1100000000000003</v>
      </c>
      <c r="BM418" s="102">
        <v>79.06</v>
      </c>
      <c r="BN418" s="101">
        <v>3750.16</v>
      </c>
      <c r="BO418" s="98">
        <v>3.91</v>
      </c>
      <c r="BP418" s="102">
        <v>82.97</v>
      </c>
      <c r="BQ418" s="101">
        <v>4316.04</v>
      </c>
      <c r="BR418" s="98">
        <v>4.5</v>
      </c>
      <c r="BS418" s="102">
        <v>87.47</v>
      </c>
      <c r="BT418" s="101">
        <v>3750.16</v>
      </c>
      <c r="BU418" s="98">
        <v>3.91</v>
      </c>
      <c r="BV418" s="102">
        <v>91.38</v>
      </c>
      <c r="BW418" s="101">
        <v>4133.8100000000004</v>
      </c>
      <c r="BX418" s="98">
        <v>4.3099999999999996</v>
      </c>
      <c r="BY418" s="102">
        <v>95.69</v>
      </c>
      <c r="BZ418" s="101">
        <v>4133.8100000000004</v>
      </c>
      <c r="CA418" s="98">
        <v>4.3099999999999996</v>
      </c>
      <c r="CB418" s="100">
        <v>100</v>
      </c>
      <c r="CC418" s="99"/>
      <c r="CD418" s="99"/>
      <c r="CE418" s="989">
        <v>100</v>
      </c>
      <c r="CF418" s="410"/>
      <c r="CG418" s="408"/>
      <c r="CH418" s="407"/>
      <c r="CI418" s="406"/>
      <c r="CJ418" s="406"/>
      <c r="CK418" s="406"/>
      <c r="CL418" s="406"/>
      <c r="CM418" s="406"/>
      <c r="CN418" s="406"/>
      <c r="CO418" s="467"/>
      <c r="CP418" s="467"/>
      <c r="CQ418" s="406"/>
      <c r="CR418" s="410"/>
      <c r="CS418" s="407"/>
      <c r="CT418" s="407"/>
      <c r="CU418" s="406"/>
      <c r="CV418" s="406"/>
      <c r="CW418" s="407"/>
      <c r="CX418" s="467"/>
      <c r="CY418" s="467"/>
      <c r="CZ418" s="406"/>
      <c r="DA418" s="407"/>
      <c r="DB418" s="467"/>
      <c r="DC418" s="467"/>
      <c r="DD418" s="467"/>
      <c r="DE418" s="467"/>
      <c r="DF418" s="407"/>
    </row>
    <row r="419" spans="1:110" ht="8.4499999999999993" customHeight="1" x14ac:dyDescent="0.2">
      <c r="A419" s="130" t="s">
        <v>538</v>
      </c>
      <c r="B419" s="96">
        <v>34</v>
      </c>
      <c r="C419" s="82" t="s">
        <v>2713</v>
      </c>
      <c r="D419" s="104">
        <v>511</v>
      </c>
      <c r="E419" s="82" t="s">
        <v>1557</v>
      </c>
      <c r="F419" s="82" t="s">
        <v>2024</v>
      </c>
      <c r="G419" s="106">
        <v>103765.54</v>
      </c>
      <c r="H419" s="98">
        <v>1.18</v>
      </c>
      <c r="I419" s="101">
        <v>4669.45</v>
      </c>
      <c r="J419" s="98">
        <v>4.5</v>
      </c>
      <c r="K419" s="98">
        <v>4.5</v>
      </c>
      <c r="L419" s="101">
        <v>4264.76</v>
      </c>
      <c r="M419" s="98">
        <v>4.1100000000000003</v>
      </c>
      <c r="N419" s="98">
        <v>8.61</v>
      </c>
      <c r="O419" s="101">
        <v>4264.76</v>
      </c>
      <c r="P419" s="98">
        <v>4.1100000000000003</v>
      </c>
      <c r="Q419" s="102">
        <v>12.72</v>
      </c>
      <c r="R419" s="101">
        <v>4264.76</v>
      </c>
      <c r="S419" s="98">
        <v>4.1100000000000003</v>
      </c>
      <c r="T419" s="102">
        <v>16.829999999999998</v>
      </c>
      <c r="U419" s="101">
        <v>4057.23</v>
      </c>
      <c r="V419" s="98">
        <v>3.91</v>
      </c>
      <c r="W419" s="102">
        <v>20.74</v>
      </c>
      <c r="X419" s="101">
        <v>4472.29</v>
      </c>
      <c r="Y419" s="98">
        <v>4.3099999999999996</v>
      </c>
      <c r="Z419" s="102">
        <v>25.05</v>
      </c>
      <c r="AA419" s="101">
        <v>4057.23</v>
      </c>
      <c r="AB419" s="98">
        <v>3.91</v>
      </c>
      <c r="AC419" s="102">
        <v>28.96</v>
      </c>
      <c r="AD419" s="101">
        <v>4057.23</v>
      </c>
      <c r="AE419" s="98">
        <v>3.91</v>
      </c>
      <c r="AF419" s="102">
        <v>32.869999999999997</v>
      </c>
      <c r="AG419" s="101">
        <v>4669.45</v>
      </c>
      <c r="AH419" s="98">
        <v>4.5</v>
      </c>
      <c r="AI419" s="102">
        <v>37.369999999999997</v>
      </c>
      <c r="AJ419" s="101">
        <v>4264.76</v>
      </c>
      <c r="AK419" s="98">
        <v>4.1100000000000003</v>
      </c>
      <c r="AL419" s="102">
        <v>41.48</v>
      </c>
      <c r="AM419" s="101">
        <v>4264.76</v>
      </c>
      <c r="AN419" s="98">
        <v>4.1100000000000003</v>
      </c>
      <c r="AO419" s="102">
        <v>45.59</v>
      </c>
      <c r="AP419" s="101">
        <v>4472.29</v>
      </c>
      <c r="AQ419" s="98">
        <v>4.3099999999999996</v>
      </c>
      <c r="AR419" s="102">
        <v>49.9</v>
      </c>
      <c r="AS419" s="101">
        <v>4472.29</v>
      </c>
      <c r="AT419" s="98">
        <v>4.3099999999999996</v>
      </c>
      <c r="AU419" s="102">
        <v>54.21</v>
      </c>
      <c r="AV419" s="101">
        <v>4472.29</v>
      </c>
      <c r="AW419" s="98">
        <v>4.3099999999999996</v>
      </c>
      <c r="AX419" s="102">
        <v>58.52</v>
      </c>
      <c r="AY419" s="101">
        <v>4264.76</v>
      </c>
      <c r="AZ419" s="98">
        <v>4.1100000000000003</v>
      </c>
      <c r="BA419" s="102">
        <v>62.63</v>
      </c>
      <c r="BB419" s="101">
        <v>4057.23</v>
      </c>
      <c r="BC419" s="98">
        <v>3.91</v>
      </c>
      <c r="BD419" s="102">
        <v>66.540000000000006</v>
      </c>
      <c r="BE419" s="101">
        <v>4057.23</v>
      </c>
      <c r="BF419" s="98">
        <v>3.91</v>
      </c>
      <c r="BG419" s="102">
        <v>70.45</v>
      </c>
      <c r="BH419" s="101">
        <v>4669.45</v>
      </c>
      <c r="BI419" s="98">
        <v>4.5</v>
      </c>
      <c r="BJ419" s="102">
        <v>74.95</v>
      </c>
      <c r="BK419" s="101">
        <v>4264.76</v>
      </c>
      <c r="BL419" s="98">
        <v>4.1100000000000003</v>
      </c>
      <c r="BM419" s="102">
        <v>79.06</v>
      </c>
      <c r="BN419" s="101">
        <v>4057.23</v>
      </c>
      <c r="BO419" s="98">
        <v>3.91</v>
      </c>
      <c r="BP419" s="102">
        <v>82.97</v>
      </c>
      <c r="BQ419" s="101">
        <v>4669.45</v>
      </c>
      <c r="BR419" s="98">
        <v>4.5</v>
      </c>
      <c r="BS419" s="102">
        <v>87.47</v>
      </c>
      <c r="BT419" s="101">
        <v>4057.23</v>
      </c>
      <c r="BU419" s="98">
        <v>3.91</v>
      </c>
      <c r="BV419" s="102">
        <v>91.38</v>
      </c>
      <c r="BW419" s="101">
        <v>4472.29</v>
      </c>
      <c r="BX419" s="98">
        <v>4.3099999999999996</v>
      </c>
      <c r="BY419" s="102">
        <v>95.69</v>
      </c>
      <c r="BZ419" s="101">
        <v>4472.29</v>
      </c>
      <c r="CA419" s="98">
        <v>4.3099999999999996</v>
      </c>
      <c r="CB419" s="100">
        <v>100</v>
      </c>
      <c r="CC419" s="99"/>
      <c r="CD419" s="99"/>
      <c r="CE419" s="989">
        <v>100</v>
      </c>
      <c r="CF419" s="410"/>
      <c r="CG419" s="408"/>
      <c r="CH419" s="407"/>
      <c r="CI419" s="406"/>
      <c r="CJ419" s="406"/>
      <c r="CK419" s="406"/>
      <c r="CL419" s="406"/>
      <c r="CM419" s="406"/>
      <c r="CN419" s="406"/>
      <c r="CO419" s="468"/>
      <c r="CP419" s="467"/>
      <c r="CQ419" s="407"/>
      <c r="CR419" s="406"/>
      <c r="CS419" s="406"/>
      <c r="CT419" s="407"/>
      <c r="CU419" s="406"/>
      <c r="CV419" s="406"/>
      <c r="CW419" s="407"/>
      <c r="CX419" s="467"/>
      <c r="CY419" s="467"/>
      <c r="CZ419" s="406"/>
      <c r="DA419" s="407"/>
      <c r="DB419" s="467"/>
      <c r="DC419" s="467"/>
      <c r="DD419" s="467"/>
      <c r="DE419" s="467"/>
      <c r="DF419" s="407"/>
    </row>
    <row r="420" spans="1:110" ht="8.4499999999999993" customHeight="1" x14ac:dyDescent="0.2">
      <c r="A420" s="130" t="s">
        <v>539</v>
      </c>
      <c r="B420" s="96">
        <v>35</v>
      </c>
      <c r="C420" s="82" t="s">
        <v>2714</v>
      </c>
      <c r="D420" s="104">
        <v>511</v>
      </c>
      <c r="E420" s="82" t="s">
        <v>1557</v>
      </c>
      <c r="F420" s="82" t="s">
        <v>2024</v>
      </c>
      <c r="G420" s="97">
        <v>38912.080000000002</v>
      </c>
      <c r="H420" s="98">
        <v>0.44</v>
      </c>
      <c r="I420" s="101">
        <v>1751.04</v>
      </c>
      <c r="J420" s="98">
        <v>4.5</v>
      </c>
      <c r="K420" s="98">
        <v>4.5</v>
      </c>
      <c r="L420" s="101">
        <v>1599.29</v>
      </c>
      <c r="M420" s="98">
        <v>4.1100000000000003</v>
      </c>
      <c r="N420" s="98">
        <v>8.61</v>
      </c>
      <c r="O420" s="101">
        <v>1599.29</v>
      </c>
      <c r="P420" s="98">
        <v>4.1100000000000003</v>
      </c>
      <c r="Q420" s="102">
        <v>12.72</v>
      </c>
      <c r="R420" s="101">
        <v>1599.29</v>
      </c>
      <c r="S420" s="98">
        <v>4.1100000000000003</v>
      </c>
      <c r="T420" s="102">
        <v>16.829999999999998</v>
      </c>
      <c r="U420" s="101">
        <v>1521.46</v>
      </c>
      <c r="V420" s="98">
        <v>3.91</v>
      </c>
      <c r="W420" s="102">
        <v>20.74</v>
      </c>
      <c r="X420" s="101">
        <v>1677.11</v>
      </c>
      <c r="Y420" s="98">
        <v>4.3099999999999996</v>
      </c>
      <c r="Z420" s="102">
        <v>25.05</v>
      </c>
      <c r="AA420" s="101">
        <v>1521.46</v>
      </c>
      <c r="AB420" s="98">
        <v>3.91</v>
      </c>
      <c r="AC420" s="102">
        <v>28.96</v>
      </c>
      <c r="AD420" s="101">
        <v>1521.46</v>
      </c>
      <c r="AE420" s="98">
        <v>3.91</v>
      </c>
      <c r="AF420" s="102">
        <v>32.869999999999997</v>
      </c>
      <c r="AG420" s="101">
        <v>1751.04</v>
      </c>
      <c r="AH420" s="98">
        <v>4.5</v>
      </c>
      <c r="AI420" s="102">
        <v>37.369999999999997</v>
      </c>
      <c r="AJ420" s="101">
        <v>1599.29</v>
      </c>
      <c r="AK420" s="98">
        <v>4.1100000000000003</v>
      </c>
      <c r="AL420" s="102">
        <v>41.48</v>
      </c>
      <c r="AM420" s="101">
        <v>1599.29</v>
      </c>
      <c r="AN420" s="98">
        <v>4.1100000000000003</v>
      </c>
      <c r="AO420" s="102">
        <v>45.59</v>
      </c>
      <c r="AP420" s="101">
        <v>1677.11</v>
      </c>
      <c r="AQ420" s="98">
        <v>4.3099999999999996</v>
      </c>
      <c r="AR420" s="102">
        <v>49.9</v>
      </c>
      <c r="AS420" s="101">
        <v>1677.11</v>
      </c>
      <c r="AT420" s="98">
        <v>4.3099999999999996</v>
      </c>
      <c r="AU420" s="102">
        <v>54.21</v>
      </c>
      <c r="AV420" s="101">
        <v>1677.11</v>
      </c>
      <c r="AW420" s="98">
        <v>4.3099999999999996</v>
      </c>
      <c r="AX420" s="102">
        <v>58.52</v>
      </c>
      <c r="AY420" s="101">
        <v>1599.29</v>
      </c>
      <c r="AZ420" s="98">
        <v>4.1100000000000003</v>
      </c>
      <c r="BA420" s="102">
        <v>62.63</v>
      </c>
      <c r="BB420" s="101">
        <v>1521.46</v>
      </c>
      <c r="BC420" s="98">
        <v>3.91</v>
      </c>
      <c r="BD420" s="102">
        <v>66.540000000000006</v>
      </c>
      <c r="BE420" s="101">
        <v>1521.46</v>
      </c>
      <c r="BF420" s="98">
        <v>3.91</v>
      </c>
      <c r="BG420" s="102">
        <v>70.45</v>
      </c>
      <c r="BH420" s="101">
        <v>1751.04</v>
      </c>
      <c r="BI420" s="98">
        <v>4.5</v>
      </c>
      <c r="BJ420" s="102">
        <v>74.95</v>
      </c>
      <c r="BK420" s="101">
        <v>1599.29</v>
      </c>
      <c r="BL420" s="98">
        <v>4.1100000000000003</v>
      </c>
      <c r="BM420" s="102">
        <v>79.06</v>
      </c>
      <c r="BN420" s="101">
        <v>1521.46</v>
      </c>
      <c r="BO420" s="98">
        <v>3.91</v>
      </c>
      <c r="BP420" s="102">
        <v>82.97</v>
      </c>
      <c r="BQ420" s="101">
        <v>1751.04</v>
      </c>
      <c r="BR420" s="98">
        <v>4.5</v>
      </c>
      <c r="BS420" s="102">
        <v>87.47</v>
      </c>
      <c r="BT420" s="101">
        <v>1521.46</v>
      </c>
      <c r="BU420" s="98">
        <v>3.91</v>
      </c>
      <c r="BV420" s="102">
        <v>91.38</v>
      </c>
      <c r="BW420" s="101">
        <v>1677.11</v>
      </c>
      <c r="BX420" s="98">
        <v>4.3099999999999996</v>
      </c>
      <c r="BY420" s="102">
        <v>95.69</v>
      </c>
      <c r="BZ420" s="101">
        <v>1677.11</v>
      </c>
      <c r="CA420" s="98">
        <v>4.3099999999999996</v>
      </c>
      <c r="CB420" s="100">
        <v>100</v>
      </c>
      <c r="CC420" s="99"/>
      <c r="CD420" s="99"/>
      <c r="CE420" s="989">
        <v>100</v>
      </c>
      <c r="CF420" s="410"/>
      <c r="CG420" s="408"/>
      <c r="CH420" s="407"/>
      <c r="CI420" s="406"/>
      <c r="CJ420" s="406"/>
      <c r="CK420" s="406"/>
      <c r="CL420" s="406"/>
      <c r="CM420" s="406"/>
      <c r="CN420" s="406"/>
      <c r="CO420" s="467"/>
      <c r="CP420" s="467"/>
      <c r="CQ420" s="406"/>
      <c r="CR420" s="406"/>
      <c r="CS420" s="406"/>
      <c r="CT420" s="406"/>
      <c r="CU420" s="410"/>
      <c r="CV420" s="407"/>
      <c r="CW420" s="407"/>
      <c r="CX420" s="467"/>
      <c r="CY420" s="467"/>
      <c r="CZ420" s="406"/>
      <c r="DA420" s="407"/>
      <c r="DB420" s="467"/>
      <c r="DC420" s="467"/>
      <c r="DD420" s="467"/>
      <c r="DE420" s="467"/>
      <c r="DF420" s="407"/>
    </row>
    <row r="421" spans="1:110" ht="8.4499999999999993" customHeight="1" x14ac:dyDescent="0.2">
      <c r="A421" s="130" t="s">
        <v>540</v>
      </c>
      <c r="B421" s="96">
        <v>36</v>
      </c>
      <c r="C421" s="82" t="s">
        <v>2715</v>
      </c>
      <c r="D421" s="104">
        <v>511</v>
      </c>
      <c r="E421" s="82" t="s">
        <v>1557</v>
      </c>
      <c r="F421" s="82" t="s">
        <v>2024</v>
      </c>
      <c r="G421" s="97">
        <v>33073.11</v>
      </c>
      <c r="H421" s="98">
        <v>0.38</v>
      </c>
      <c r="I421" s="101">
        <v>1488.29</v>
      </c>
      <c r="J421" s="98">
        <v>4.5</v>
      </c>
      <c r="K421" s="98">
        <v>4.5</v>
      </c>
      <c r="L421" s="101">
        <v>1359.3</v>
      </c>
      <c r="M421" s="98">
        <v>4.1100000000000003</v>
      </c>
      <c r="N421" s="98">
        <v>8.61</v>
      </c>
      <c r="O421" s="101">
        <v>1359.3</v>
      </c>
      <c r="P421" s="98">
        <v>4.1100000000000003</v>
      </c>
      <c r="Q421" s="102">
        <v>12.72</v>
      </c>
      <c r="R421" s="101">
        <v>1359.3</v>
      </c>
      <c r="S421" s="98">
        <v>4.1100000000000003</v>
      </c>
      <c r="T421" s="102">
        <v>16.829999999999998</v>
      </c>
      <c r="U421" s="101">
        <v>1293.1600000000001</v>
      </c>
      <c r="V421" s="98">
        <v>3.91</v>
      </c>
      <c r="W421" s="102">
        <v>20.74</v>
      </c>
      <c r="X421" s="101">
        <v>1425.45</v>
      </c>
      <c r="Y421" s="98">
        <v>4.3099999999999996</v>
      </c>
      <c r="Z421" s="102">
        <v>25.05</v>
      </c>
      <c r="AA421" s="101">
        <v>1293.1600000000001</v>
      </c>
      <c r="AB421" s="98">
        <v>3.91</v>
      </c>
      <c r="AC421" s="102">
        <v>28.96</v>
      </c>
      <c r="AD421" s="101">
        <v>1293.1600000000001</v>
      </c>
      <c r="AE421" s="98">
        <v>3.91</v>
      </c>
      <c r="AF421" s="102">
        <v>32.869999999999997</v>
      </c>
      <c r="AG421" s="101">
        <v>1488.29</v>
      </c>
      <c r="AH421" s="98">
        <v>4.5</v>
      </c>
      <c r="AI421" s="102">
        <v>37.369999999999997</v>
      </c>
      <c r="AJ421" s="101">
        <v>1359.3</v>
      </c>
      <c r="AK421" s="98">
        <v>4.1100000000000003</v>
      </c>
      <c r="AL421" s="102">
        <v>41.48</v>
      </c>
      <c r="AM421" s="101">
        <v>1359.3</v>
      </c>
      <c r="AN421" s="98">
        <v>4.1100000000000003</v>
      </c>
      <c r="AO421" s="102">
        <v>45.59</v>
      </c>
      <c r="AP421" s="101">
        <v>1425.45</v>
      </c>
      <c r="AQ421" s="98">
        <v>4.3099999999999996</v>
      </c>
      <c r="AR421" s="102">
        <v>49.9</v>
      </c>
      <c r="AS421" s="101">
        <v>1425.45</v>
      </c>
      <c r="AT421" s="98">
        <v>4.3099999999999996</v>
      </c>
      <c r="AU421" s="102">
        <v>54.21</v>
      </c>
      <c r="AV421" s="101">
        <v>1425.45</v>
      </c>
      <c r="AW421" s="98">
        <v>4.3099999999999996</v>
      </c>
      <c r="AX421" s="102">
        <v>58.52</v>
      </c>
      <c r="AY421" s="101">
        <v>1359.3</v>
      </c>
      <c r="AZ421" s="98">
        <v>4.1100000000000003</v>
      </c>
      <c r="BA421" s="102">
        <v>62.63</v>
      </c>
      <c r="BB421" s="101">
        <v>1293.1600000000001</v>
      </c>
      <c r="BC421" s="98">
        <v>3.91</v>
      </c>
      <c r="BD421" s="102">
        <v>66.540000000000006</v>
      </c>
      <c r="BE421" s="101">
        <v>1293.1600000000001</v>
      </c>
      <c r="BF421" s="98">
        <v>3.91</v>
      </c>
      <c r="BG421" s="102">
        <v>70.45</v>
      </c>
      <c r="BH421" s="101">
        <v>1488.29</v>
      </c>
      <c r="BI421" s="98">
        <v>4.5</v>
      </c>
      <c r="BJ421" s="102">
        <v>74.95</v>
      </c>
      <c r="BK421" s="101">
        <v>1359.3</v>
      </c>
      <c r="BL421" s="98">
        <v>4.1100000000000003</v>
      </c>
      <c r="BM421" s="102">
        <v>79.06</v>
      </c>
      <c r="BN421" s="101">
        <v>1293.1600000000001</v>
      </c>
      <c r="BO421" s="98">
        <v>3.91</v>
      </c>
      <c r="BP421" s="102">
        <v>82.97</v>
      </c>
      <c r="BQ421" s="101">
        <v>1488.29</v>
      </c>
      <c r="BR421" s="98">
        <v>4.5</v>
      </c>
      <c r="BS421" s="102">
        <v>87.47</v>
      </c>
      <c r="BT421" s="101">
        <v>1293.1600000000001</v>
      </c>
      <c r="BU421" s="98">
        <v>3.91</v>
      </c>
      <c r="BV421" s="102">
        <v>91.38</v>
      </c>
      <c r="BW421" s="101">
        <v>1425.45</v>
      </c>
      <c r="BX421" s="98">
        <v>4.3099999999999996</v>
      </c>
      <c r="BY421" s="102">
        <v>95.69</v>
      </c>
      <c r="BZ421" s="101">
        <v>1425.45</v>
      </c>
      <c r="CA421" s="98">
        <v>4.3099999999999996</v>
      </c>
      <c r="CB421" s="100">
        <v>100</v>
      </c>
      <c r="CC421" s="99"/>
      <c r="CD421" s="99"/>
      <c r="CE421" s="989">
        <v>100</v>
      </c>
      <c r="CF421" s="410"/>
      <c r="CG421" s="408"/>
      <c r="CH421" s="407"/>
      <c r="CI421" s="406"/>
      <c r="CJ421" s="406"/>
      <c r="CK421" s="406"/>
      <c r="CL421" s="406"/>
      <c r="CM421" s="406"/>
      <c r="CN421" s="406"/>
      <c r="CO421" s="468"/>
      <c r="CP421" s="467"/>
      <c r="CQ421" s="407"/>
      <c r="CR421" s="406"/>
      <c r="CS421" s="406"/>
      <c r="CT421" s="407"/>
      <c r="CU421" s="406"/>
      <c r="CV421" s="406"/>
      <c r="CW421" s="407"/>
      <c r="CX421" s="467"/>
      <c r="CY421" s="467"/>
      <c r="CZ421" s="406"/>
      <c r="DA421" s="407"/>
      <c r="DB421" s="467"/>
      <c r="DC421" s="467"/>
      <c r="DD421" s="467"/>
      <c r="DE421" s="467"/>
      <c r="DF421" s="407"/>
    </row>
    <row r="422" spans="1:110" ht="8.4499999999999993" customHeight="1" x14ac:dyDescent="0.2">
      <c r="A422" s="130" t="s">
        <v>541</v>
      </c>
      <c r="B422" s="96">
        <v>37</v>
      </c>
      <c r="C422" s="82" t="s">
        <v>2716</v>
      </c>
      <c r="D422" s="104">
        <v>511</v>
      </c>
      <c r="E422" s="82" t="s">
        <v>1557</v>
      </c>
      <c r="F422" s="82" t="s">
        <v>2024</v>
      </c>
      <c r="G422" s="97">
        <v>33073.11</v>
      </c>
      <c r="H422" s="98">
        <v>0.38</v>
      </c>
      <c r="I422" s="101">
        <v>1488.29</v>
      </c>
      <c r="J422" s="98">
        <v>4.5</v>
      </c>
      <c r="K422" s="98">
        <v>4.5</v>
      </c>
      <c r="L422" s="101">
        <v>1359.3</v>
      </c>
      <c r="M422" s="98">
        <v>4.1100000000000003</v>
      </c>
      <c r="N422" s="98">
        <v>8.61</v>
      </c>
      <c r="O422" s="101">
        <v>1359.3</v>
      </c>
      <c r="P422" s="98">
        <v>4.1100000000000003</v>
      </c>
      <c r="Q422" s="102">
        <v>12.72</v>
      </c>
      <c r="R422" s="101">
        <v>1359.3</v>
      </c>
      <c r="S422" s="98">
        <v>4.1100000000000003</v>
      </c>
      <c r="T422" s="102">
        <v>16.829999999999998</v>
      </c>
      <c r="U422" s="101">
        <v>1293.1600000000001</v>
      </c>
      <c r="V422" s="98">
        <v>3.91</v>
      </c>
      <c r="W422" s="102">
        <v>20.74</v>
      </c>
      <c r="X422" s="101">
        <v>1425.45</v>
      </c>
      <c r="Y422" s="98">
        <v>4.3099999999999996</v>
      </c>
      <c r="Z422" s="102">
        <v>25.05</v>
      </c>
      <c r="AA422" s="101">
        <v>1293.1600000000001</v>
      </c>
      <c r="AB422" s="98">
        <v>3.91</v>
      </c>
      <c r="AC422" s="102">
        <v>28.96</v>
      </c>
      <c r="AD422" s="101">
        <v>1293.1600000000001</v>
      </c>
      <c r="AE422" s="98">
        <v>3.91</v>
      </c>
      <c r="AF422" s="102">
        <v>32.869999999999997</v>
      </c>
      <c r="AG422" s="101">
        <v>1488.29</v>
      </c>
      <c r="AH422" s="98">
        <v>4.5</v>
      </c>
      <c r="AI422" s="102">
        <v>37.369999999999997</v>
      </c>
      <c r="AJ422" s="101">
        <v>1359.3</v>
      </c>
      <c r="AK422" s="98">
        <v>4.1100000000000003</v>
      </c>
      <c r="AL422" s="102">
        <v>41.48</v>
      </c>
      <c r="AM422" s="101">
        <v>1359.3</v>
      </c>
      <c r="AN422" s="98">
        <v>4.1100000000000003</v>
      </c>
      <c r="AO422" s="102">
        <v>45.59</v>
      </c>
      <c r="AP422" s="101">
        <v>1425.45</v>
      </c>
      <c r="AQ422" s="98">
        <v>4.3099999999999996</v>
      </c>
      <c r="AR422" s="102">
        <v>49.9</v>
      </c>
      <c r="AS422" s="101">
        <v>1425.45</v>
      </c>
      <c r="AT422" s="98">
        <v>4.3099999999999996</v>
      </c>
      <c r="AU422" s="102">
        <v>54.21</v>
      </c>
      <c r="AV422" s="101">
        <v>1425.45</v>
      </c>
      <c r="AW422" s="98">
        <v>4.3099999999999996</v>
      </c>
      <c r="AX422" s="102">
        <v>58.52</v>
      </c>
      <c r="AY422" s="101">
        <v>1359.3</v>
      </c>
      <c r="AZ422" s="98">
        <v>4.1100000000000003</v>
      </c>
      <c r="BA422" s="102">
        <v>62.63</v>
      </c>
      <c r="BB422" s="101">
        <v>1293.1600000000001</v>
      </c>
      <c r="BC422" s="98">
        <v>3.91</v>
      </c>
      <c r="BD422" s="102">
        <v>66.540000000000006</v>
      </c>
      <c r="BE422" s="101">
        <v>1293.1600000000001</v>
      </c>
      <c r="BF422" s="98">
        <v>3.91</v>
      </c>
      <c r="BG422" s="102">
        <v>70.45</v>
      </c>
      <c r="BH422" s="101">
        <v>1488.29</v>
      </c>
      <c r="BI422" s="98">
        <v>4.5</v>
      </c>
      <c r="BJ422" s="102">
        <v>74.95</v>
      </c>
      <c r="BK422" s="101">
        <v>1359.3</v>
      </c>
      <c r="BL422" s="98">
        <v>4.1100000000000003</v>
      </c>
      <c r="BM422" s="102">
        <v>79.06</v>
      </c>
      <c r="BN422" s="101">
        <v>1293.1600000000001</v>
      </c>
      <c r="BO422" s="98">
        <v>3.91</v>
      </c>
      <c r="BP422" s="102">
        <v>82.97</v>
      </c>
      <c r="BQ422" s="101">
        <v>1488.29</v>
      </c>
      <c r="BR422" s="98">
        <v>4.5</v>
      </c>
      <c r="BS422" s="102">
        <v>87.47</v>
      </c>
      <c r="BT422" s="101">
        <v>1293.1600000000001</v>
      </c>
      <c r="BU422" s="98">
        <v>3.91</v>
      </c>
      <c r="BV422" s="102">
        <v>91.38</v>
      </c>
      <c r="BW422" s="101">
        <v>1425.45</v>
      </c>
      <c r="BX422" s="98">
        <v>4.3099999999999996</v>
      </c>
      <c r="BY422" s="102">
        <v>95.69</v>
      </c>
      <c r="BZ422" s="101">
        <v>1425.45</v>
      </c>
      <c r="CA422" s="98">
        <v>4.3099999999999996</v>
      </c>
      <c r="CB422" s="100">
        <v>100</v>
      </c>
      <c r="CC422" s="99"/>
      <c r="CD422" s="99"/>
      <c r="CE422" s="989">
        <v>100</v>
      </c>
      <c r="CF422" s="406"/>
      <c r="CG422" s="406"/>
      <c r="CH422" s="407"/>
      <c r="CI422" s="406"/>
      <c r="CJ422" s="406"/>
      <c r="CK422" s="406"/>
      <c r="CL422" s="406"/>
      <c r="CM422" s="406"/>
      <c r="CN422" s="406"/>
      <c r="CO422" s="467"/>
      <c r="CP422" s="467"/>
      <c r="CQ422" s="406"/>
      <c r="CR422" s="412"/>
      <c r="CS422" s="407"/>
      <c r="CT422" s="407"/>
      <c r="CU422" s="406"/>
      <c r="CV422" s="406"/>
      <c r="CW422" s="407"/>
      <c r="CX422" s="467"/>
      <c r="CY422" s="467"/>
      <c r="CZ422" s="406"/>
      <c r="DA422" s="407"/>
      <c r="DB422" s="467"/>
      <c r="DC422" s="467"/>
      <c r="DD422" s="467"/>
      <c r="DE422" s="467"/>
      <c r="DF422" s="407"/>
    </row>
    <row r="423" spans="1:110" ht="8.4499999999999993" customHeight="1" x14ac:dyDescent="0.2">
      <c r="A423" s="130" t="s">
        <v>542</v>
      </c>
      <c r="B423" s="96">
        <v>38</v>
      </c>
      <c r="C423" s="82" t="s">
        <v>2717</v>
      </c>
      <c r="D423" s="104">
        <v>511</v>
      </c>
      <c r="E423" s="82" t="s">
        <v>1557</v>
      </c>
      <c r="F423" s="82" t="s">
        <v>2024</v>
      </c>
      <c r="G423" s="97">
        <v>28000</v>
      </c>
      <c r="H423" s="98">
        <v>0.32</v>
      </c>
      <c r="I423" s="101">
        <v>1260</v>
      </c>
      <c r="J423" s="98">
        <v>4.5</v>
      </c>
      <c r="K423" s="98">
        <v>4.5</v>
      </c>
      <c r="L423" s="101">
        <v>1150.8</v>
      </c>
      <c r="M423" s="98">
        <v>4.1100000000000003</v>
      </c>
      <c r="N423" s="98">
        <v>8.61</v>
      </c>
      <c r="O423" s="101">
        <v>1150.8</v>
      </c>
      <c r="P423" s="98">
        <v>4.1100000000000003</v>
      </c>
      <c r="Q423" s="102">
        <v>12.72</v>
      </c>
      <c r="R423" s="101">
        <v>1150.8</v>
      </c>
      <c r="S423" s="98">
        <v>4.1100000000000003</v>
      </c>
      <c r="T423" s="102">
        <v>16.829999999999998</v>
      </c>
      <c r="U423" s="101">
        <v>1094.8</v>
      </c>
      <c r="V423" s="98">
        <v>3.91</v>
      </c>
      <c r="W423" s="102">
        <v>20.74</v>
      </c>
      <c r="X423" s="101">
        <v>1206.8</v>
      </c>
      <c r="Y423" s="98">
        <v>4.3099999999999996</v>
      </c>
      <c r="Z423" s="102">
        <v>25.05</v>
      </c>
      <c r="AA423" s="101">
        <v>1094.8</v>
      </c>
      <c r="AB423" s="98">
        <v>3.91</v>
      </c>
      <c r="AC423" s="102">
        <v>28.96</v>
      </c>
      <c r="AD423" s="101">
        <v>1094.8</v>
      </c>
      <c r="AE423" s="98">
        <v>3.91</v>
      </c>
      <c r="AF423" s="102">
        <v>32.869999999999997</v>
      </c>
      <c r="AG423" s="101">
        <v>1260</v>
      </c>
      <c r="AH423" s="98">
        <v>4.5</v>
      </c>
      <c r="AI423" s="102">
        <v>37.369999999999997</v>
      </c>
      <c r="AJ423" s="101">
        <v>1150.8</v>
      </c>
      <c r="AK423" s="98">
        <v>4.1100000000000003</v>
      </c>
      <c r="AL423" s="102">
        <v>41.48</v>
      </c>
      <c r="AM423" s="101">
        <v>1150.8</v>
      </c>
      <c r="AN423" s="98">
        <v>4.1100000000000003</v>
      </c>
      <c r="AO423" s="102">
        <v>45.59</v>
      </c>
      <c r="AP423" s="101">
        <v>1206.8</v>
      </c>
      <c r="AQ423" s="98">
        <v>4.3099999999999996</v>
      </c>
      <c r="AR423" s="102">
        <v>49.9</v>
      </c>
      <c r="AS423" s="101">
        <v>1206.8</v>
      </c>
      <c r="AT423" s="98">
        <v>4.3099999999999996</v>
      </c>
      <c r="AU423" s="102">
        <v>54.21</v>
      </c>
      <c r="AV423" s="101">
        <v>1206.8</v>
      </c>
      <c r="AW423" s="98">
        <v>4.3099999999999996</v>
      </c>
      <c r="AX423" s="102">
        <v>58.52</v>
      </c>
      <c r="AY423" s="101">
        <v>1150.8</v>
      </c>
      <c r="AZ423" s="98">
        <v>4.1100000000000003</v>
      </c>
      <c r="BA423" s="102">
        <v>62.63</v>
      </c>
      <c r="BB423" s="101">
        <v>1094.8</v>
      </c>
      <c r="BC423" s="98">
        <v>3.91</v>
      </c>
      <c r="BD423" s="102">
        <v>66.540000000000006</v>
      </c>
      <c r="BE423" s="101">
        <v>1094.8</v>
      </c>
      <c r="BF423" s="98">
        <v>3.91</v>
      </c>
      <c r="BG423" s="102">
        <v>70.45</v>
      </c>
      <c r="BH423" s="101">
        <v>1260</v>
      </c>
      <c r="BI423" s="98">
        <v>4.5</v>
      </c>
      <c r="BJ423" s="102">
        <v>74.95</v>
      </c>
      <c r="BK423" s="101">
        <v>1150.8</v>
      </c>
      <c r="BL423" s="98">
        <v>4.1100000000000003</v>
      </c>
      <c r="BM423" s="102">
        <v>79.06</v>
      </c>
      <c r="BN423" s="101">
        <v>1094.8</v>
      </c>
      <c r="BO423" s="98">
        <v>3.91</v>
      </c>
      <c r="BP423" s="102">
        <v>82.97</v>
      </c>
      <c r="BQ423" s="101">
        <v>1260</v>
      </c>
      <c r="BR423" s="98">
        <v>4.5</v>
      </c>
      <c r="BS423" s="102">
        <v>87.47</v>
      </c>
      <c r="BT423" s="101">
        <v>1094.8</v>
      </c>
      <c r="BU423" s="98">
        <v>3.91</v>
      </c>
      <c r="BV423" s="102">
        <v>91.38</v>
      </c>
      <c r="BW423" s="101">
        <v>1206.8</v>
      </c>
      <c r="BX423" s="98">
        <v>4.3099999999999996</v>
      </c>
      <c r="BY423" s="102">
        <v>95.69</v>
      </c>
      <c r="BZ423" s="101">
        <v>1206.8</v>
      </c>
      <c r="CA423" s="98">
        <v>4.3099999999999996</v>
      </c>
      <c r="CB423" s="100">
        <v>100</v>
      </c>
      <c r="CC423" s="99"/>
      <c r="CD423" s="99"/>
      <c r="CE423" s="989">
        <v>100</v>
      </c>
      <c r="CF423" s="410"/>
      <c r="CG423" s="408"/>
      <c r="CH423" s="407"/>
      <c r="CI423" s="406"/>
      <c r="CJ423" s="406"/>
      <c r="CK423" s="406"/>
      <c r="CL423" s="406"/>
      <c r="CM423" s="406"/>
      <c r="CN423" s="406"/>
      <c r="CO423" s="468"/>
      <c r="CP423" s="467"/>
      <c r="CQ423" s="407"/>
      <c r="CR423" s="406"/>
      <c r="CS423" s="406"/>
      <c r="CT423" s="407"/>
      <c r="CU423" s="406"/>
      <c r="CV423" s="406"/>
      <c r="CW423" s="407"/>
      <c r="CX423" s="467"/>
      <c r="CY423" s="467"/>
      <c r="CZ423" s="406"/>
      <c r="DA423" s="407"/>
      <c r="DB423" s="467"/>
      <c r="DC423" s="467"/>
      <c r="DD423" s="467"/>
      <c r="DE423" s="467"/>
      <c r="DF423" s="407"/>
    </row>
    <row r="424" spans="1:110" ht="8.4499999999999993" customHeight="1" x14ac:dyDescent="0.2">
      <c r="A424" s="130" t="s">
        <v>543</v>
      </c>
      <c r="B424" s="96">
        <v>39</v>
      </c>
      <c r="C424" s="82" t="s">
        <v>2718</v>
      </c>
      <c r="D424" s="104">
        <v>511</v>
      </c>
      <c r="E424" s="82" t="s">
        <v>1557</v>
      </c>
      <c r="F424" s="82" t="s">
        <v>2024</v>
      </c>
      <c r="G424" s="97">
        <v>60000</v>
      </c>
      <c r="H424" s="98">
        <v>0.68</v>
      </c>
      <c r="I424" s="101">
        <v>2700</v>
      </c>
      <c r="J424" s="98">
        <v>4.5</v>
      </c>
      <c r="K424" s="98">
        <v>4.5</v>
      </c>
      <c r="L424" s="101">
        <v>2466</v>
      </c>
      <c r="M424" s="98">
        <v>4.1100000000000003</v>
      </c>
      <c r="N424" s="98">
        <v>8.61</v>
      </c>
      <c r="O424" s="101">
        <v>2466</v>
      </c>
      <c r="P424" s="98">
        <v>4.1100000000000003</v>
      </c>
      <c r="Q424" s="102">
        <v>12.72</v>
      </c>
      <c r="R424" s="101">
        <v>2466</v>
      </c>
      <c r="S424" s="98">
        <v>4.1100000000000003</v>
      </c>
      <c r="T424" s="102">
        <v>16.829999999999998</v>
      </c>
      <c r="U424" s="101">
        <v>2346</v>
      </c>
      <c r="V424" s="98">
        <v>3.91</v>
      </c>
      <c r="W424" s="102">
        <v>20.74</v>
      </c>
      <c r="X424" s="101">
        <v>2586</v>
      </c>
      <c r="Y424" s="98">
        <v>4.3099999999999996</v>
      </c>
      <c r="Z424" s="102">
        <v>25.05</v>
      </c>
      <c r="AA424" s="101">
        <v>2346</v>
      </c>
      <c r="AB424" s="98">
        <v>3.91</v>
      </c>
      <c r="AC424" s="102">
        <v>28.96</v>
      </c>
      <c r="AD424" s="101">
        <v>2346</v>
      </c>
      <c r="AE424" s="98">
        <v>3.91</v>
      </c>
      <c r="AF424" s="102">
        <v>32.869999999999997</v>
      </c>
      <c r="AG424" s="101">
        <v>2700</v>
      </c>
      <c r="AH424" s="98">
        <v>4.5</v>
      </c>
      <c r="AI424" s="102">
        <v>37.369999999999997</v>
      </c>
      <c r="AJ424" s="101">
        <v>2466</v>
      </c>
      <c r="AK424" s="98">
        <v>4.1100000000000003</v>
      </c>
      <c r="AL424" s="102">
        <v>41.48</v>
      </c>
      <c r="AM424" s="101">
        <v>2466</v>
      </c>
      <c r="AN424" s="98">
        <v>4.1100000000000003</v>
      </c>
      <c r="AO424" s="102">
        <v>45.59</v>
      </c>
      <c r="AP424" s="101">
        <v>2586</v>
      </c>
      <c r="AQ424" s="98">
        <v>4.3099999999999996</v>
      </c>
      <c r="AR424" s="102">
        <v>49.9</v>
      </c>
      <c r="AS424" s="101">
        <v>2586</v>
      </c>
      <c r="AT424" s="98">
        <v>4.3099999999999996</v>
      </c>
      <c r="AU424" s="102">
        <v>54.21</v>
      </c>
      <c r="AV424" s="101">
        <v>2586</v>
      </c>
      <c r="AW424" s="98">
        <v>4.3099999999999996</v>
      </c>
      <c r="AX424" s="102">
        <v>58.52</v>
      </c>
      <c r="AY424" s="101">
        <v>2466</v>
      </c>
      <c r="AZ424" s="98">
        <v>4.1100000000000003</v>
      </c>
      <c r="BA424" s="102">
        <v>62.63</v>
      </c>
      <c r="BB424" s="101">
        <v>2346</v>
      </c>
      <c r="BC424" s="98">
        <v>3.91</v>
      </c>
      <c r="BD424" s="102">
        <v>66.540000000000006</v>
      </c>
      <c r="BE424" s="101">
        <v>2346</v>
      </c>
      <c r="BF424" s="98">
        <v>3.91</v>
      </c>
      <c r="BG424" s="102">
        <v>70.45</v>
      </c>
      <c r="BH424" s="101">
        <v>2700</v>
      </c>
      <c r="BI424" s="98">
        <v>4.5</v>
      </c>
      <c r="BJ424" s="102">
        <v>74.95</v>
      </c>
      <c r="BK424" s="101">
        <v>2466</v>
      </c>
      <c r="BL424" s="98">
        <v>4.1100000000000003</v>
      </c>
      <c r="BM424" s="102">
        <v>79.06</v>
      </c>
      <c r="BN424" s="101">
        <v>2346</v>
      </c>
      <c r="BO424" s="98">
        <v>3.91</v>
      </c>
      <c r="BP424" s="102">
        <v>82.97</v>
      </c>
      <c r="BQ424" s="101">
        <v>2700</v>
      </c>
      <c r="BR424" s="98">
        <v>4.5</v>
      </c>
      <c r="BS424" s="102">
        <v>87.47</v>
      </c>
      <c r="BT424" s="101">
        <v>2346</v>
      </c>
      <c r="BU424" s="98">
        <v>3.91</v>
      </c>
      <c r="BV424" s="102">
        <v>91.38</v>
      </c>
      <c r="BW424" s="101">
        <v>2586</v>
      </c>
      <c r="BX424" s="98">
        <v>4.3099999999999996</v>
      </c>
      <c r="BY424" s="102">
        <v>95.69</v>
      </c>
      <c r="BZ424" s="101">
        <v>2586</v>
      </c>
      <c r="CA424" s="98">
        <v>4.3099999999999996</v>
      </c>
      <c r="CB424" s="100">
        <v>100</v>
      </c>
      <c r="CC424" s="99"/>
      <c r="CD424" s="99"/>
      <c r="CE424" s="989">
        <v>100</v>
      </c>
      <c r="CF424" s="410"/>
      <c r="CG424" s="408"/>
      <c r="CH424" s="407"/>
      <c r="CI424" s="406"/>
      <c r="CJ424" s="406"/>
      <c r="CK424" s="406"/>
      <c r="CL424" s="406"/>
      <c r="CM424" s="406"/>
      <c r="CN424" s="406"/>
      <c r="CO424" s="468"/>
      <c r="CP424" s="467"/>
      <c r="CQ424" s="407"/>
      <c r="CR424" s="406"/>
      <c r="CS424" s="406"/>
      <c r="CT424" s="407"/>
      <c r="CU424" s="406"/>
      <c r="CV424" s="406"/>
      <c r="CW424" s="407"/>
      <c r="CX424" s="467"/>
      <c r="CY424" s="467"/>
      <c r="CZ424" s="406"/>
      <c r="DA424" s="407"/>
      <c r="DB424" s="467"/>
      <c r="DC424" s="467"/>
      <c r="DD424" s="467"/>
      <c r="DE424" s="467"/>
      <c r="DF424" s="407"/>
    </row>
    <row r="425" spans="1:110" ht="8.4499999999999993" customHeight="1" x14ac:dyDescent="0.2">
      <c r="A425" s="130" t="s">
        <v>544</v>
      </c>
      <c r="B425" s="96">
        <v>40</v>
      </c>
      <c r="C425" s="82" t="s">
        <v>2719</v>
      </c>
      <c r="D425" s="104">
        <v>511</v>
      </c>
      <c r="E425" s="82" t="s">
        <v>1557</v>
      </c>
      <c r="F425" s="82" t="s">
        <v>2024</v>
      </c>
      <c r="G425" s="97">
        <v>43833.94</v>
      </c>
      <c r="H425" s="98">
        <v>0.5</v>
      </c>
      <c r="I425" s="101">
        <v>1972.53</v>
      </c>
      <c r="J425" s="98">
        <v>4.5</v>
      </c>
      <c r="K425" s="98">
        <v>4.5</v>
      </c>
      <c r="L425" s="101">
        <v>1801.57</v>
      </c>
      <c r="M425" s="98">
        <v>4.1100000000000003</v>
      </c>
      <c r="N425" s="98">
        <v>8.61</v>
      </c>
      <c r="O425" s="101">
        <v>1801.57</v>
      </c>
      <c r="P425" s="98">
        <v>4.1100000000000003</v>
      </c>
      <c r="Q425" s="102">
        <v>12.72</v>
      </c>
      <c r="R425" s="101">
        <v>1801.57</v>
      </c>
      <c r="S425" s="98">
        <v>4.1100000000000003</v>
      </c>
      <c r="T425" s="102">
        <v>16.829999999999998</v>
      </c>
      <c r="U425" s="101">
        <v>1713.91</v>
      </c>
      <c r="V425" s="98">
        <v>3.91</v>
      </c>
      <c r="W425" s="102">
        <v>20.74</v>
      </c>
      <c r="X425" s="101">
        <v>1889.24</v>
      </c>
      <c r="Y425" s="98">
        <v>4.3099999999999996</v>
      </c>
      <c r="Z425" s="102">
        <v>25.05</v>
      </c>
      <c r="AA425" s="101">
        <v>1713.91</v>
      </c>
      <c r="AB425" s="98">
        <v>3.91</v>
      </c>
      <c r="AC425" s="102">
        <v>28.96</v>
      </c>
      <c r="AD425" s="101">
        <v>1713.91</v>
      </c>
      <c r="AE425" s="98">
        <v>3.91</v>
      </c>
      <c r="AF425" s="102">
        <v>32.869999999999997</v>
      </c>
      <c r="AG425" s="101">
        <v>1972.53</v>
      </c>
      <c r="AH425" s="98">
        <v>4.5</v>
      </c>
      <c r="AI425" s="102">
        <v>37.369999999999997</v>
      </c>
      <c r="AJ425" s="101">
        <v>1801.57</v>
      </c>
      <c r="AK425" s="98">
        <v>4.1100000000000003</v>
      </c>
      <c r="AL425" s="102">
        <v>41.48</v>
      </c>
      <c r="AM425" s="101">
        <v>1801.57</v>
      </c>
      <c r="AN425" s="98">
        <v>4.1100000000000003</v>
      </c>
      <c r="AO425" s="102">
        <v>45.59</v>
      </c>
      <c r="AP425" s="101">
        <v>1889.24</v>
      </c>
      <c r="AQ425" s="98">
        <v>4.3099999999999996</v>
      </c>
      <c r="AR425" s="102">
        <v>49.9</v>
      </c>
      <c r="AS425" s="101">
        <v>1889.24</v>
      </c>
      <c r="AT425" s="98">
        <v>4.3099999999999996</v>
      </c>
      <c r="AU425" s="102">
        <v>54.21</v>
      </c>
      <c r="AV425" s="101">
        <v>1889.24</v>
      </c>
      <c r="AW425" s="98">
        <v>4.3099999999999996</v>
      </c>
      <c r="AX425" s="102">
        <v>58.52</v>
      </c>
      <c r="AY425" s="101">
        <v>1801.57</v>
      </c>
      <c r="AZ425" s="98">
        <v>4.1100000000000003</v>
      </c>
      <c r="BA425" s="102">
        <v>62.63</v>
      </c>
      <c r="BB425" s="101">
        <v>1713.91</v>
      </c>
      <c r="BC425" s="98">
        <v>3.91</v>
      </c>
      <c r="BD425" s="102">
        <v>66.540000000000006</v>
      </c>
      <c r="BE425" s="101">
        <v>1713.91</v>
      </c>
      <c r="BF425" s="98">
        <v>3.91</v>
      </c>
      <c r="BG425" s="102">
        <v>70.45</v>
      </c>
      <c r="BH425" s="101">
        <v>1972.53</v>
      </c>
      <c r="BI425" s="98">
        <v>4.5</v>
      </c>
      <c r="BJ425" s="102">
        <v>74.95</v>
      </c>
      <c r="BK425" s="101">
        <v>1801.57</v>
      </c>
      <c r="BL425" s="98">
        <v>4.1100000000000003</v>
      </c>
      <c r="BM425" s="102">
        <v>79.06</v>
      </c>
      <c r="BN425" s="101">
        <v>1713.91</v>
      </c>
      <c r="BO425" s="98">
        <v>3.91</v>
      </c>
      <c r="BP425" s="102">
        <v>82.97</v>
      </c>
      <c r="BQ425" s="101">
        <v>1972.53</v>
      </c>
      <c r="BR425" s="98">
        <v>4.5</v>
      </c>
      <c r="BS425" s="102">
        <v>87.47</v>
      </c>
      <c r="BT425" s="101">
        <v>1713.91</v>
      </c>
      <c r="BU425" s="98">
        <v>3.91</v>
      </c>
      <c r="BV425" s="102">
        <v>91.38</v>
      </c>
      <c r="BW425" s="101">
        <v>1889.24</v>
      </c>
      <c r="BX425" s="98">
        <v>4.3099999999999996</v>
      </c>
      <c r="BY425" s="102">
        <v>95.69</v>
      </c>
      <c r="BZ425" s="101">
        <v>1889.24</v>
      </c>
      <c r="CA425" s="98">
        <v>4.3099999999999996</v>
      </c>
      <c r="CB425" s="100">
        <v>100</v>
      </c>
      <c r="CC425" s="99"/>
      <c r="CD425" s="99"/>
      <c r="CE425" s="989">
        <v>100</v>
      </c>
      <c r="CF425" s="411"/>
      <c r="CG425" s="462"/>
      <c r="CH425" s="405"/>
      <c r="CI425" s="460"/>
      <c r="CJ425" s="460"/>
      <c r="CK425" s="460"/>
      <c r="CL425" s="460"/>
      <c r="CM425" s="460"/>
      <c r="CN425" s="460"/>
      <c r="CO425" s="468"/>
      <c r="CP425" s="467"/>
      <c r="CQ425" s="407"/>
      <c r="CR425" s="406"/>
      <c r="CS425" s="406"/>
      <c r="CT425" s="407"/>
      <c r="CU425" s="406"/>
      <c r="CV425" s="406"/>
      <c r="CW425" s="407"/>
      <c r="CX425" s="467"/>
      <c r="CY425" s="467"/>
      <c r="CZ425" s="406"/>
      <c r="DA425" s="407"/>
      <c r="DB425" s="467"/>
      <c r="DC425" s="467"/>
      <c r="DD425" s="467"/>
      <c r="DE425" s="467"/>
      <c r="DF425" s="407"/>
    </row>
    <row r="426" spans="1:110" ht="8.4499999999999993" customHeight="1" x14ac:dyDescent="0.2">
      <c r="A426" s="130" t="s">
        <v>546</v>
      </c>
      <c r="B426" s="88">
        <v>41</v>
      </c>
      <c r="C426" s="87" t="s">
        <v>2720</v>
      </c>
      <c r="D426" s="103">
        <v>511</v>
      </c>
      <c r="E426" s="87" t="s">
        <v>1557</v>
      </c>
      <c r="F426" s="87" t="s">
        <v>2024</v>
      </c>
      <c r="G426" s="105">
        <v>191218</v>
      </c>
      <c r="H426" s="90">
        <v>2.17</v>
      </c>
      <c r="I426" s="92">
        <v>8604.81</v>
      </c>
      <c r="J426" s="90">
        <v>4.5</v>
      </c>
      <c r="K426" s="90">
        <v>4.5</v>
      </c>
      <c r="L426" s="92">
        <v>7859.06</v>
      </c>
      <c r="M426" s="90">
        <v>4.1100000000000003</v>
      </c>
      <c r="N426" s="90">
        <v>8.61</v>
      </c>
      <c r="O426" s="92">
        <v>7859.06</v>
      </c>
      <c r="P426" s="90">
        <v>4.1100000000000003</v>
      </c>
      <c r="Q426" s="91">
        <v>12.72</v>
      </c>
      <c r="R426" s="92">
        <v>7859.06</v>
      </c>
      <c r="S426" s="90">
        <v>4.1100000000000003</v>
      </c>
      <c r="T426" s="91">
        <v>16.829999999999998</v>
      </c>
      <c r="U426" s="92">
        <v>7476.62</v>
      </c>
      <c r="V426" s="90">
        <v>3.91</v>
      </c>
      <c r="W426" s="91">
        <v>20.74</v>
      </c>
      <c r="X426" s="92">
        <v>8241.5</v>
      </c>
      <c r="Y426" s="90">
        <v>4.3099999999999996</v>
      </c>
      <c r="Z426" s="91">
        <v>25.05</v>
      </c>
      <c r="AA426" s="92">
        <v>7476.62</v>
      </c>
      <c r="AB426" s="90">
        <v>3.91</v>
      </c>
      <c r="AC426" s="91">
        <v>28.96</v>
      </c>
      <c r="AD426" s="92">
        <v>7476.62</v>
      </c>
      <c r="AE426" s="90">
        <v>3.91</v>
      </c>
      <c r="AF426" s="91">
        <v>32.869999999999997</v>
      </c>
      <c r="AG426" s="92">
        <v>8604.81</v>
      </c>
      <c r="AH426" s="90">
        <v>4.5</v>
      </c>
      <c r="AI426" s="91">
        <v>37.369999999999997</v>
      </c>
      <c r="AJ426" s="92">
        <v>7859.06</v>
      </c>
      <c r="AK426" s="90">
        <v>4.1100000000000003</v>
      </c>
      <c r="AL426" s="91">
        <v>41.48</v>
      </c>
      <c r="AM426" s="92">
        <v>7859.06</v>
      </c>
      <c r="AN426" s="90">
        <v>4.1100000000000003</v>
      </c>
      <c r="AO426" s="91">
        <v>45.59</v>
      </c>
      <c r="AP426" s="92">
        <v>8241.5</v>
      </c>
      <c r="AQ426" s="90">
        <v>4.3099999999999996</v>
      </c>
      <c r="AR426" s="91">
        <v>49.9</v>
      </c>
      <c r="AS426" s="92">
        <v>8241.5</v>
      </c>
      <c r="AT426" s="90">
        <v>4.3099999999999996</v>
      </c>
      <c r="AU426" s="91">
        <v>54.21</v>
      </c>
      <c r="AV426" s="92">
        <v>8241.5</v>
      </c>
      <c r="AW426" s="90">
        <v>4.3099999999999996</v>
      </c>
      <c r="AX426" s="91">
        <v>58.52</v>
      </c>
      <c r="AY426" s="92">
        <v>7859.06</v>
      </c>
      <c r="AZ426" s="90">
        <v>4.1100000000000003</v>
      </c>
      <c r="BA426" s="91">
        <v>62.63</v>
      </c>
      <c r="BB426" s="92">
        <v>7476.62</v>
      </c>
      <c r="BC426" s="90">
        <v>3.91</v>
      </c>
      <c r="BD426" s="91">
        <v>66.540000000000006</v>
      </c>
      <c r="BE426" s="92">
        <v>7476.62</v>
      </c>
      <c r="BF426" s="90">
        <v>3.91</v>
      </c>
      <c r="BG426" s="91">
        <v>70.45</v>
      </c>
      <c r="BH426" s="92">
        <v>8604.81</v>
      </c>
      <c r="BI426" s="90">
        <v>4.5</v>
      </c>
      <c r="BJ426" s="91">
        <v>74.95</v>
      </c>
      <c r="BK426" s="92">
        <v>7859.06</v>
      </c>
      <c r="BL426" s="90">
        <v>4.1100000000000003</v>
      </c>
      <c r="BM426" s="91">
        <v>79.06</v>
      </c>
      <c r="BN426" s="92">
        <v>7476.62</v>
      </c>
      <c r="BO426" s="90">
        <v>3.91</v>
      </c>
      <c r="BP426" s="91">
        <v>82.97</v>
      </c>
      <c r="BQ426" s="92">
        <v>8604.81</v>
      </c>
      <c r="BR426" s="90">
        <v>4.5</v>
      </c>
      <c r="BS426" s="91">
        <v>87.47</v>
      </c>
      <c r="BT426" s="92">
        <v>7476.62</v>
      </c>
      <c r="BU426" s="90">
        <v>3.91</v>
      </c>
      <c r="BV426" s="91">
        <v>91.38</v>
      </c>
      <c r="BW426" s="92">
        <v>8241.5</v>
      </c>
      <c r="BX426" s="90">
        <v>4.3099999999999996</v>
      </c>
      <c r="BY426" s="91">
        <v>95.69</v>
      </c>
      <c r="BZ426" s="92">
        <v>8241.5</v>
      </c>
      <c r="CA426" s="90">
        <v>4.3099999999999996</v>
      </c>
      <c r="CB426" s="93">
        <v>100</v>
      </c>
      <c r="CC426" s="94"/>
      <c r="CD426" s="94"/>
      <c r="CE426" s="988">
        <v>100</v>
      </c>
      <c r="CF426" s="409"/>
      <c r="CG426" s="408"/>
      <c r="CH426" s="407"/>
      <c r="CI426" s="406"/>
      <c r="CJ426" s="406"/>
      <c r="CK426" s="406"/>
      <c r="CL426" s="406"/>
      <c r="CM426" s="406"/>
      <c r="CN426" s="406"/>
      <c r="CO426" s="468"/>
      <c r="CP426" s="467"/>
      <c r="CQ426" s="407"/>
      <c r="CR426" s="406"/>
      <c r="CS426" s="406"/>
      <c r="CT426" s="407"/>
      <c r="CU426" s="406"/>
      <c r="CV426" s="406"/>
      <c r="CW426" s="407"/>
      <c r="CX426" s="467"/>
      <c r="CY426" s="467"/>
      <c r="CZ426" s="406"/>
      <c r="DA426" s="407"/>
      <c r="DB426" s="467"/>
      <c r="DC426" s="467"/>
      <c r="DD426" s="467"/>
      <c r="DE426" s="467"/>
      <c r="DF426" s="407"/>
    </row>
    <row r="427" spans="1:110" ht="8.4499999999999993" customHeight="1" x14ac:dyDescent="0.2">
      <c r="A427" s="130" t="s">
        <v>548</v>
      </c>
      <c r="B427" s="96">
        <v>42</v>
      </c>
      <c r="C427" s="82" t="s">
        <v>2721</v>
      </c>
      <c r="D427" s="104">
        <v>511</v>
      </c>
      <c r="E427" s="82" t="s">
        <v>1557</v>
      </c>
      <c r="F427" s="82" t="s">
        <v>2024</v>
      </c>
      <c r="G427" s="101">
        <v>5425</v>
      </c>
      <c r="H427" s="98">
        <v>0.06</v>
      </c>
      <c r="I427" s="100">
        <v>244.13</v>
      </c>
      <c r="J427" s="98">
        <v>4.5</v>
      </c>
      <c r="K427" s="98">
        <v>4.5</v>
      </c>
      <c r="L427" s="100">
        <v>222.97</v>
      </c>
      <c r="M427" s="98">
        <v>4.1100000000000003</v>
      </c>
      <c r="N427" s="98">
        <v>8.61</v>
      </c>
      <c r="O427" s="100">
        <v>222.97</v>
      </c>
      <c r="P427" s="98">
        <v>4.1100000000000003</v>
      </c>
      <c r="Q427" s="102">
        <v>12.72</v>
      </c>
      <c r="R427" s="100">
        <v>222.97</v>
      </c>
      <c r="S427" s="98">
        <v>4.1100000000000003</v>
      </c>
      <c r="T427" s="102">
        <v>16.829999999999998</v>
      </c>
      <c r="U427" s="100">
        <v>212.12</v>
      </c>
      <c r="V427" s="98">
        <v>3.91</v>
      </c>
      <c r="W427" s="102">
        <v>20.74</v>
      </c>
      <c r="X427" s="100">
        <v>233.82</v>
      </c>
      <c r="Y427" s="98">
        <v>4.3099999999999996</v>
      </c>
      <c r="Z427" s="102">
        <v>25.05</v>
      </c>
      <c r="AA427" s="100">
        <v>212.12</v>
      </c>
      <c r="AB427" s="98">
        <v>3.91</v>
      </c>
      <c r="AC427" s="102">
        <v>28.96</v>
      </c>
      <c r="AD427" s="100">
        <v>212.12</v>
      </c>
      <c r="AE427" s="98">
        <v>3.91</v>
      </c>
      <c r="AF427" s="102">
        <v>32.869999999999997</v>
      </c>
      <c r="AG427" s="100">
        <v>244.13</v>
      </c>
      <c r="AH427" s="98">
        <v>4.5</v>
      </c>
      <c r="AI427" s="102">
        <v>37.369999999999997</v>
      </c>
      <c r="AJ427" s="100">
        <v>222.97</v>
      </c>
      <c r="AK427" s="98">
        <v>4.1100000000000003</v>
      </c>
      <c r="AL427" s="102">
        <v>41.48</v>
      </c>
      <c r="AM427" s="100">
        <v>222.97</v>
      </c>
      <c r="AN427" s="98">
        <v>4.1100000000000003</v>
      </c>
      <c r="AO427" s="102">
        <v>45.59</v>
      </c>
      <c r="AP427" s="100">
        <v>233.82</v>
      </c>
      <c r="AQ427" s="98">
        <v>4.3099999999999996</v>
      </c>
      <c r="AR427" s="102">
        <v>49.9</v>
      </c>
      <c r="AS427" s="100">
        <v>233.82</v>
      </c>
      <c r="AT427" s="98">
        <v>4.3099999999999996</v>
      </c>
      <c r="AU427" s="102">
        <v>54.21</v>
      </c>
      <c r="AV427" s="100">
        <v>233.82</v>
      </c>
      <c r="AW427" s="98">
        <v>4.3099999999999996</v>
      </c>
      <c r="AX427" s="102">
        <v>58.52</v>
      </c>
      <c r="AY427" s="100">
        <v>222.97</v>
      </c>
      <c r="AZ427" s="98">
        <v>4.1100000000000003</v>
      </c>
      <c r="BA427" s="102">
        <v>62.63</v>
      </c>
      <c r="BB427" s="100">
        <v>212.12</v>
      </c>
      <c r="BC427" s="98">
        <v>3.91</v>
      </c>
      <c r="BD427" s="102">
        <v>66.540000000000006</v>
      </c>
      <c r="BE427" s="100">
        <v>212.12</v>
      </c>
      <c r="BF427" s="98">
        <v>3.91</v>
      </c>
      <c r="BG427" s="102">
        <v>70.45</v>
      </c>
      <c r="BH427" s="100">
        <v>244.13</v>
      </c>
      <c r="BI427" s="98">
        <v>4.5</v>
      </c>
      <c r="BJ427" s="102">
        <v>74.95</v>
      </c>
      <c r="BK427" s="100">
        <v>222.97</v>
      </c>
      <c r="BL427" s="98">
        <v>4.1100000000000003</v>
      </c>
      <c r="BM427" s="102">
        <v>79.06</v>
      </c>
      <c r="BN427" s="100">
        <v>212.12</v>
      </c>
      <c r="BO427" s="98">
        <v>3.91</v>
      </c>
      <c r="BP427" s="102">
        <v>82.97</v>
      </c>
      <c r="BQ427" s="100">
        <v>244.13</v>
      </c>
      <c r="BR427" s="98">
        <v>4.5</v>
      </c>
      <c r="BS427" s="102">
        <v>87.47</v>
      </c>
      <c r="BT427" s="100">
        <v>212.12</v>
      </c>
      <c r="BU427" s="98">
        <v>3.91</v>
      </c>
      <c r="BV427" s="102">
        <v>91.38</v>
      </c>
      <c r="BW427" s="100">
        <v>233.82</v>
      </c>
      <c r="BX427" s="98">
        <v>4.3099999999999996</v>
      </c>
      <c r="BY427" s="102">
        <v>95.69</v>
      </c>
      <c r="BZ427" s="100">
        <v>233.82</v>
      </c>
      <c r="CA427" s="98">
        <v>4.3099999999999996</v>
      </c>
      <c r="CB427" s="100">
        <v>100</v>
      </c>
      <c r="CC427" s="99"/>
      <c r="CD427" s="99"/>
      <c r="CE427" s="989">
        <v>100</v>
      </c>
      <c r="CF427" s="410"/>
      <c r="CG427" s="408"/>
      <c r="CH427" s="407"/>
      <c r="CI427" s="406"/>
      <c r="CJ427" s="406"/>
      <c r="CK427" s="406"/>
      <c r="CL427" s="406"/>
      <c r="CM427" s="406"/>
      <c r="CN427" s="406"/>
      <c r="CO427" s="473"/>
      <c r="CP427" s="467"/>
      <c r="CQ427" s="409"/>
      <c r="CR427" s="410"/>
      <c r="CS427" s="409"/>
      <c r="CT427" s="407"/>
      <c r="CU427" s="406"/>
      <c r="CV427" s="406"/>
      <c r="CW427" s="407"/>
      <c r="CX427" s="467"/>
      <c r="CY427" s="467"/>
      <c r="CZ427" s="406"/>
      <c r="DA427" s="407"/>
      <c r="DB427" s="467"/>
      <c r="DC427" s="467"/>
      <c r="DD427" s="467"/>
      <c r="DE427" s="467"/>
      <c r="DF427" s="407"/>
    </row>
    <row r="428" spans="1:110" ht="8.4499999999999993" customHeight="1" x14ac:dyDescent="0.2">
      <c r="A428" s="130" t="s">
        <v>549</v>
      </c>
      <c r="B428" s="96">
        <v>43</v>
      </c>
      <c r="C428" s="82" t="s">
        <v>2722</v>
      </c>
      <c r="D428" s="104">
        <v>511</v>
      </c>
      <c r="E428" s="82" t="s">
        <v>1557</v>
      </c>
      <c r="F428" s="82" t="s">
        <v>2024</v>
      </c>
      <c r="G428" s="97">
        <v>43010</v>
      </c>
      <c r="H428" s="98">
        <v>0.49</v>
      </c>
      <c r="I428" s="101">
        <v>1935.45</v>
      </c>
      <c r="J428" s="98">
        <v>4.5</v>
      </c>
      <c r="K428" s="98">
        <v>4.5</v>
      </c>
      <c r="L428" s="101">
        <v>1767.71</v>
      </c>
      <c r="M428" s="98">
        <v>4.1100000000000003</v>
      </c>
      <c r="N428" s="98">
        <v>8.61</v>
      </c>
      <c r="O428" s="101">
        <v>1767.71</v>
      </c>
      <c r="P428" s="98">
        <v>4.1100000000000003</v>
      </c>
      <c r="Q428" s="102">
        <v>12.72</v>
      </c>
      <c r="R428" s="101">
        <v>1767.71</v>
      </c>
      <c r="S428" s="98">
        <v>4.1100000000000003</v>
      </c>
      <c r="T428" s="102">
        <v>16.829999999999998</v>
      </c>
      <c r="U428" s="101">
        <v>1681.69</v>
      </c>
      <c r="V428" s="98">
        <v>3.91</v>
      </c>
      <c r="W428" s="102">
        <v>20.74</v>
      </c>
      <c r="X428" s="101">
        <v>1853.73</v>
      </c>
      <c r="Y428" s="98">
        <v>4.3099999999999996</v>
      </c>
      <c r="Z428" s="102">
        <v>25.05</v>
      </c>
      <c r="AA428" s="101">
        <v>1681.69</v>
      </c>
      <c r="AB428" s="98">
        <v>3.91</v>
      </c>
      <c r="AC428" s="102">
        <v>28.96</v>
      </c>
      <c r="AD428" s="101">
        <v>1681.69</v>
      </c>
      <c r="AE428" s="98">
        <v>3.91</v>
      </c>
      <c r="AF428" s="102">
        <v>32.869999999999997</v>
      </c>
      <c r="AG428" s="101">
        <v>1935.45</v>
      </c>
      <c r="AH428" s="98">
        <v>4.5</v>
      </c>
      <c r="AI428" s="102">
        <v>37.369999999999997</v>
      </c>
      <c r="AJ428" s="101">
        <v>1767.71</v>
      </c>
      <c r="AK428" s="98">
        <v>4.1100000000000003</v>
      </c>
      <c r="AL428" s="102">
        <v>41.48</v>
      </c>
      <c r="AM428" s="101">
        <v>1767.71</v>
      </c>
      <c r="AN428" s="98">
        <v>4.1100000000000003</v>
      </c>
      <c r="AO428" s="102">
        <v>45.59</v>
      </c>
      <c r="AP428" s="101">
        <v>1853.73</v>
      </c>
      <c r="AQ428" s="98">
        <v>4.3099999999999996</v>
      </c>
      <c r="AR428" s="102">
        <v>49.9</v>
      </c>
      <c r="AS428" s="101">
        <v>1853.73</v>
      </c>
      <c r="AT428" s="98">
        <v>4.3099999999999996</v>
      </c>
      <c r="AU428" s="102">
        <v>54.21</v>
      </c>
      <c r="AV428" s="101">
        <v>1853.73</v>
      </c>
      <c r="AW428" s="98">
        <v>4.3099999999999996</v>
      </c>
      <c r="AX428" s="102">
        <v>58.52</v>
      </c>
      <c r="AY428" s="101">
        <v>1767.71</v>
      </c>
      <c r="AZ428" s="98">
        <v>4.1100000000000003</v>
      </c>
      <c r="BA428" s="102">
        <v>62.63</v>
      </c>
      <c r="BB428" s="101">
        <v>1681.69</v>
      </c>
      <c r="BC428" s="98">
        <v>3.91</v>
      </c>
      <c r="BD428" s="102">
        <v>66.540000000000006</v>
      </c>
      <c r="BE428" s="101">
        <v>1681.69</v>
      </c>
      <c r="BF428" s="98">
        <v>3.91</v>
      </c>
      <c r="BG428" s="102">
        <v>70.45</v>
      </c>
      <c r="BH428" s="101">
        <v>1935.45</v>
      </c>
      <c r="BI428" s="98">
        <v>4.5</v>
      </c>
      <c r="BJ428" s="102">
        <v>74.95</v>
      </c>
      <c r="BK428" s="101">
        <v>1767.71</v>
      </c>
      <c r="BL428" s="98">
        <v>4.1100000000000003</v>
      </c>
      <c r="BM428" s="102">
        <v>79.06</v>
      </c>
      <c r="BN428" s="101">
        <v>1681.69</v>
      </c>
      <c r="BO428" s="98">
        <v>3.91</v>
      </c>
      <c r="BP428" s="102">
        <v>82.97</v>
      </c>
      <c r="BQ428" s="101">
        <v>1935.45</v>
      </c>
      <c r="BR428" s="98">
        <v>4.5</v>
      </c>
      <c r="BS428" s="102">
        <v>87.47</v>
      </c>
      <c r="BT428" s="101">
        <v>1681.69</v>
      </c>
      <c r="BU428" s="98">
        <v>3.91</v>
      </c>
      <c r="BV428" s="102">
        <v>91.38</v>
      </c>
      <c r="BW428" s="101">
        <v>1853.73</v>
      </c>
      <c r="BX428" s="98">
        <v>4.3099999999999996</v>
      </c>
      <c r="BY428" s="102">
        <v>95.69</v>
      </c>
      <c r="BZ428" s="101">
        <v>1853.73</v>
      </c>
      <c r="CA428" s="98">
        <v>4.3099999999999996</v>
      </c>
      <c r="CB428" s="100">
        <v>100</v>
      </c>
      <c r="CC428" s="99"/>
      <c r="CD428" s="99"/>
      <c r="CE428" s="989">
        <v>100</v>
      </c>
      <c r="CF428" s="410"/>
      <c r="CG428" s="408"/>
      <c r="CH428" s="407"/>
      <c r="CI428" s="406"/>
      <c r="CJ428" s="406"/>
      <c r="CK428" s="406"/>
      <c r="CL428" s="406"/>
      <c r="CM428" s="406"/>
      <c r="CN428" s="406"/>
      <c r="CO428" s="467"/>
      <c r="CP428" s="467"/>
      <c r="CQ428" s="406"/>
      <c r="CR428" s="406"/>
      <c r="CS428" s="406"/>
      <c r="CT428" s="406"/>
      <c r="CU428" s="410"/>
      <c r="CV428" s="407"/>
      <c r="CW428" s="407"/>
      <c r="CX428" s="467"/>
      <c r="CY428" s="467"/>
      <c r="CZ428" s="406"/>
      <c r="DA428" s="407"/>
      <c r="DB428" s="467"/>
      <c r="DC428" s="467"/>
      <c r="DD428" s="467"/>
      <c r="DE428" s="467"/>
      <c r="DF428" s="407"/>
    </row>
    <row r="429" spans="1:110" ht="8.4499999999999993" customHeight="1" x14ac:dyDescent="0.2">
      <c r="A429" s="130" t="s">
        <v>551</v>
      </c>
      <c r="B429" s="96">
        <v>44</v>
      </c>
      <c r="C429" s="82" t="s">
        <v>2723</v>
      </c>
      <c r="D429" s="104">
        <v>511</v>
      </c>
      <c r="E429" s="82" t="s">
        <v>1557</v>
      </c>
      <c r="F429" s="82" t="s">
        <v>2024</v>
      </c>
      <c r="G429" s="106">
        <v>116127</v>
      </c>
      <c r="H429" s="98">
        <v>1.32</v>
      </c>
      <c r="I429" s="101">
        <v>5225.72</v>
      </c>
      <c r="J429" s="98">
        <v>4.5</v>
      </c>
      <c r="K429" s="98">
        <v>4.5</v>
      </c>
      <c r="L429" s="101">
        <v>4772.82</v>
      </c>
      <c r="M429" s="98">
        <v>4.1100000000000003</v>
      </c>
      <c r="N429" s="98">
        <v>8.61</v>
      </c>
      <c r="O429" s="101">
        <v>4772.82</v>
      </c>
      <c r="P429" s="98">
        <v>4.1100000000000003</v>
      </c>
      <c r="Q429" s="102">
        <v>12.72</v>
      </c>
      <c r="R429" s="101">
        <v>4772.82</v>
      </c>
      <c r="S429" s="98">
        <v>4.1100000000000003</v>
      </c>
      <c r="T429" s="102">
        <v>16.829999999999998</v>
      </c>
      <c r="U429" s="101">
        <v>4540.57</v>
      </c>
      <c r="V429" s="98">
        <v>3.91</v>
      </c>
      <c r="W429" s="102">
        <v>20.74</v>
      </c>
      <c r="X429" s="101">
        <v>5005.07</v>
      </c>
      <c r="Y429" s="98">
        <v>4.3099999999999996</v>
      </c>
      <c r="Z429" s="102">
        <v>25.05</v>
      </c>
      <c r="AA429" s="101">
        <v>4540.57</v>
      </c>
      <c r="AB429" s="98">
        <v>3.91</v>
      </c>
      <c r="AC429" s="102">
        <v>28.96</v>
      </c>
      <c r="AD429" s="101">
        <v>4540.57</v>
      </c>
      <c r="AE429" s="98">
        <v>3.91</v>
      </c>
      <c r="AF429" s="102">
        <v>32.869999999999997</v>
      </c>
      <c r="AG429" s="101">
        <v>5225.72</v>
      </c>
      <c r="AH429" s="98">
        <v>4.5</v>
      </c>
      <c r="AI429" s="102">
        <v>37.369999999999997</v>
      </c>
      <c r="AJ429" s="101">
        <v>4772.82</v>
      </c>
      <c r="AK429" s="98">
        <v>4.1100000000000003</v>
      </c>
      <c r="AL429" s="102">
        <v>41.48</v>
      </c>
      <c r="AM429" s="101">
        <v>4772.82</v>
      </c>
      <c r="AN429" s="98">
        <v>4.1100000000000003</v>
      </c>
      <c r="AO429" s="102">
        <v>45.59</v>
      </c>
      <c r="AP429" s="101">
        <v>5005.07</v>
      </c>
      <c r="AQ429" s="98">
        <v>4.3099999999999996</v>
      </c>
      <c r="AR429" s="102">
        <v>49.9</v>
      </c>
      <c r="AS429" s="101">
        <v>5005.07</v>
      </c>
      <c r="AT429" s="98">
        <v>4.3099999999999996</v>
      </c>
      <c r="AU429" s="102">
        <v>54.21</v>
      </c>
      <c r="AV429" s="101">
        <v>5005.07</v>
      </c>
      <c r="AW429" s="98">
        <v>4.3099999999999996</v>
      </c>
      <c r="AX429" s="102">
        <v>58.52</v>
      </c>
      <c r="AY429" s="101">
        <v>4772.82</v>
      </c>
      <c r="AZ429" s="98">
        <v>4.1100000000000003</v>
      </c>
      <c r="BA429" s="102">
        <v>62.63</v>
      </c>
      <c r="BB429" s="101">
        <v>4540.57</v>
      </c>
      <c r="BC429" s="98">
        <v>3.91</v>
      </c>
      <c r="BD429" s="102">
        <v>66.540000000000006</v>
      </c>
      <c r="BE429" s="101">
        <v>4540.57</v>
      </c>
      <c r="BF429" s="98">
        <v>3.91</v>
      </c>
      <c r="BG429" s="102">
        <v>70.45</v>
      </c>
      <c r="BH429" s="101">
        <v>5225.72</v>
      </c>
      <c r="BI429" s="98">
        <v>4.5</v>
      </c>
      <c r="BJ429" s="102">
        <v>74.95</v>
      </c>
      <c r="BK429" s="101">
        <v>4772.82</v>
      </c>
      <c r="BL429" s="98">
        <v>4.1100000000000003</v>
      </c>
      <c r="BM429" s="102">
        <v>79.06</v>
      </c>
      <c r="BN429" s="101">
        <v>4540.57</v>
      </c>
      <c r="BO429" s="98">
        <v>3.91</v>
      </c>
      <c r="BP429" s="102">
        <v>82.97</v>
      </c>
      <c r="BQ429" s="101">
        <v>5225.72</v>
      </c>
      <c r="BR429" s="98">
        <v>4.5</v>
      </c>
      <c r="BS429" s="102">
        <v>87.47</v>
      </c>
      <c r="BT429" s="101">
        <v>4540.57</v>
      </c>
      <c r="BU429" s="98">
        <v>3.91</v>
      </c>
      <c r="BV429" s="102">
        <v>91.38</v>
      </c>
      <c r="BW429" s="101">
        <v>5005.07</v>
      </c>
      <c r="BX429" s="98">
        <v>4.3099999999999996</v>
      </c>
      <c r="BY429" s="102">
        <v>95.69</v>
      </c>
      <c r="BZ429" s="101">
        <v>5005.07</v>
      </c>
      <c r="CA429" s="98">
        <v>4.3099999999999996</v>
      </c>
      <c r="CB429" s="100">
        <v>100</v>
      </c>
      <c r="CC429" s="99"/>
      <c r="CD429" s="99"/>
      <c r="CE429" s="989">
        <v>100</v>
      </c>
      <c r="CF429" s="410"/>
      <c r="CG429" s="408"/>
      <c r="CH429" s="407"/>
      <c r="CI429" s="406"/>
      <c r="CJ429" s="406"/>
      <c r="CK429" s="406"/>
      <c r="CL429" s="406"/>
      <c r="CM429" s="406"/>
      <c r="CN429" s="406"/>
      <c r="CO429" s="467"/>
      <c r="CP429" s="467"/>
      <c r="CQ429" s="406"/>
      <c r="CR429" s="406"/>
      <c r="CS429" s="406"/>
      <c r="CT429" s="406"/>
      <c r="CU429" s="410"/>
      <c r="CV429" s="407"/>
      <c r="CW429" s="407"/>
      <c r="CX429" s="467"/>
      <c r="CY429" s="467"/>
      <c r="CZ429" s="406"/>
      <c r="DA429" s="407"/>
      <c r="DB429" s="467"/>
      <c r="DC429" s="467"/>
      <c r="DD429" s="467"/>
      <c r="DE429" s="467"/>
      <c r="DF429" s="407"/>
    </row>
    <row r="430" spans="1:110" ht="8.4499999999999993" customHeight="1" x14ac:dyDescent="0.2">
      <c r="A430" s="130" t="s">
        <v>552</v>
      </c>
      <c r="B430" s="96">
        <v>45</v>
      </c>
      <c r="C430" s="82" t="s">
        <v>2724</v>
      </c>
      <c r="D430" s="104">
        <v>511</v>
      </c>
      <c r="E430" s="82" t="s">
        <v>1557</v>
      </c>
      <c r="F430" s="82" t="s">
        <v>2024</v>
      </c>
      <c r="G430" s="97">
        <v>25806</v>
      </c>
      <c r="H430" s="98">
        <v>0.28999999999999998</v>
      </c>
      <c r="I430" s="101">
        <v>1161.27</v>
      </c>
      <c r="J430" s="98">
        <v>4.5</v>
      </c>
      <c r="K430" s="98">
        <v>4.5</v>
      </c>
      <c r="L430" s="101">
        <v>1060.6300000000001</v>
      </c>
      <c r="M430" s="98">
        <v>4.1100000000000003</v>
      </c>
      <c r="N430" s="98">
        <v>8.61</v>
      </c>
      <c r="O430" s="101">
        <v>1060.6300000000001</v>
      </c>
      <c r="P430" s="98">
        <v>4.1100000000000003</v>
      </c>
      <c r="Q430" s="102">
        <v>12.72</v>
      </c>
      <c r="R430" s="101">
        <v>1060.6300000000001</v>
      </c>
      <c r="S430" s="98">
        <v>4.1100000000000003</v>
      </c>
      <c r="T430" s="102">
        <v>16.829999999999998</v>
      </c>
      <c r="U430" s="101">
        <v>1009.01</v>
      </c>
      <c r="V430" s="98">
        <v>3.91</v>
      </c>
      <c r="W430" s="102">
        <v>20.74</v>
      </c>
      <c r="X430" s="101">
        <v>1112.24</v>
      </c>
      <c r="Y430" s="98">
        <v>4.3099999999999996</v>
      </c>
      <c r="Z430" s="102">
        <v>25.05</v>
      </c>
      <c r="AA430" s="101">
        <v>1009.01</v>
      </c>
      <c r="AB430" s="98">
        <v>3.91</v>
      </c>
      <c r="AC430" s="102">
        <v>28.96</v>
      </c>
      <c r="AD430" s="101">
        <v>1009.01</v>
      </c>
      <c r="AE430" s="98">
        <v>3.91</v>
      </c>
      <c r="AF430" s="102">
        <v>32.869999999999997</v>
      </c>
      <c r="AG430" s="101">
        <v>1161.27</v>
      </c>
      <c r="AH430" s="98">
        <v>4.5</v>
      </c>
      <c r="AI430" s="102">
        <v>37.369999999999997</v>
      </c>
      <c r="AJ430" s="101">
        <v>1060.6300000000001</v>
      </c>
      <c r="AK430" s="98">
        <v>4.1100000000000003</v>
      </c>
      <c r="AL430" s="102">
        <v>41.48</v>
      </c>
      <c r="AM430" s="101">
        <v>1060.6300000000001</v>
      </c>
      <c r="AN430" s="98">
        <v>4.1100000000000003</v>
      </c>
      <c r="AO430" s="102">
        <v>45.59</v>
      </c>
      <c r="AP430" s="101">
        <v>1112.24</v>
      </c>
      <c r="AQ430" s="98">
        <v>4.3099999999999996</v>
      </c>
      <c r="AR430" s="102">
        <v>49.9</v>
      </c>
      <c r="AS430" s="101">
        <v>1112.24</v>
      </c>
      <c r="AT430" s="98">
        <v>4.3099999999999996</v>
      </c>
      <c r="AU430" s="102">
        <v>54.21</v>
      </c>
      <c r="AV430" s="101">
        <v>1112.24</v>
      </c>
      <c r="AW430" s="98">
        <v>4.3099999999999996</v>
      </c>
      <c r="AX430" s="102">
        <v>58.52</v>
      </c>
      <c r="AY430" s="101">
        <v>1060.6300000000001</v>
      </c>
      <c r="AZ430" s="98">
        <v>4.1100000000000003</v>
      </c>
      <c r="BA430" s="102">
        <v>62.63</v>
      </c>
      <c r="BB430" s="101">
        <v>1009.01</v>
      </c>
      <c r="BC430" s="98">
        <v>3.91</v>
      </c>
      <c r="BD430" s="102">
        <v>66.540000000000006</v>
      </c>
      <c r="BE430" s="101">
        <v>1009.01</v>
      </c>
      <c r="BF430" s="98">
        <v>3.91</v>
      </c>
      <c r="BG430" s="102">
        <v>70.45</v>
      </c>
      <c r="BH430" s="101">
        <v>1161.27</v>
      </c>
      <c r="BI430" s="98">
        <v>4.5</v>
      </c>
      <c r="BJ430" s="102">
        <v>74.95</v>
      </c>
      <c r="BK430" s="101">
        <v>1060.6300000000001</v>
      </c>
      <c r="BL430" s="98">
        <v>4.1100000000000003</v>
      </c>
      <c r="BM430" s="102">
        <v>79.06</v>
      </c>
      <c r="BN430" s="101">
        <v>1009.01</v>
      </c>
      <c r="BO430" s="98">
        <v>3.91</v>
      </c>
      <c r="BP430" s="102">
        <v>82.97</v>
      </c>
      <c r="BQ430" s="101">
        <v>1161.27</v>
      </c>
      <c r="BR430" s="98">
        <v>4.5</v>
      </c>
      <c r="BS430" s="102">
        <v>87.47</v>
      </c>
      <c r="BT430" s="101">
        <v>1009.01</v>
      </c>
      <c r="BU430" s="98">
        <v>3.91</v>
      </c>
      <c r="BV430" s="102">
        <v>91.38</v>
      </c>
      <c r="BW430" s="101">
        <v>1112.24</v>
      </c>
      <c r="BX430" s="98">
        <v>4.3099999999999996</v>
      </c>
      <c r="BY430" s="102">
        <v>95.69</v>
      </c>
      <c r="BZ430" s="101">
        <v>1112.24</v>
      </c>
      <c r="CA430" s="98">
        <v>4.3099999999999996</v>
      </c>
      <c r="CB430" s="100">
        <v>100</v>
      </c>
      <c r="CC430" s="99"/>
      <c r="CD430" s="99"/>
      <c r="CE430" s="989">
        <v>100</v>
      </c>
      <c r="CF430" s="406"/>
      <c r="CG430" s="406"/>
      <c r="CH430" s="407"/>
      <c r="CI430" s="406"/>
      <c r="CJ430" s="406"/>
      <c r="CK430" s="406"/>
      <c r="CL430" s="406"/>
      <c r="CM430" s="406"/>
      <c r="CN430" s="406"/>
      <c r="CO430" s="467"/>
      <c r="CP430" s="467"/>
      <c r="CQ430" s="406"/>
      <c r="CR430" s="406"/>
      <c r="CS430" s="406"/>
      <c r="CT430" s="406"/>
      <c r="CU430" s="410"/>
      <c r="CV430" s="407"/>
      <c r="CW430" s="407"/>
      <c r="CX430" s="467"/>
      <c r="CY430" s="467"/>
      <c r="CZ430" s="406"/>
      <c r="DA430" s="407"/>
      <c r="DB430" s="467"/>
      <c r="DC430" s="467"/>
      <c r="DD430" s="467"/>
      <c r="DE430" s="467"/>
      <c r="DF430" s="407"/>
    </row>
    <row r="431" spans="1:110" ht="8.4499999999999993" customHeight="1" x14ac:dyDescent="0.2">
      <c r="A431" s="130" t="s">
        <v>554</v>
      </c>
      <c r="B431" s="96">
        <v>46</v>
      </c>
      <c r="C431" s="82" t="s">
        <v>2725</v>
      </c>
      <c r="D431" s="104">
        <v>511</v>
      </c>
      <c r="E431" s="82" t="s">
        <v>1557</v>
      </c>
      <c r="F431" s="82" t="s">
        <v>2024</v>
      </c>
      <c r="G431" s="100">
        <v>850</v>
      </c>
      <c r="H431" s="98">
        <v>0.01</v>
      </c>
      <c r="I431" s="102">
        <v>38.25</v>
      </c>
      <c r="J431" s="98">
        <v>4.5</v>
      </c>
      <c r="K431" s="98">
        <v>4.5</v>
      </c>
      <c r="L431" s="102">
        <v>34.94</v>
      </c>
      <c r="M431" s="98">
        <v>4.1100000000000003</v>
      </c>
      <c r="N431" s="98">
        <v>8.61</v>
      </c>
      <c r="O431" s="102">
        <v>34.94</v>
      </c>
      <c r="P431" s="98">
        <v>4.1100000000000003</v>
      </c>
      <c r="Q431" s="102">
        <v>12.72</v>
      </c>
      <c r="R431" s="102">
        <v>34.94</v>
      </c>
      <c r="S431" s="98">
        <v>4.1100000000000003</v>
      </c>
      <c r="T431" s="102">
        <v>16.829999999999998</v>
      </c>
      <c r="U431" s="102">
        <v>33.24</v>
      </c>
      <c r="V431" s="98">
        <v>3.91</v>
      </c>
      <c r="W431" s="102">
        <v>20.74</v>
      </c>
      <c r="X431" s="102">
        <v>36.64</v>
      </c>
      <c r="Y431" s="98">
        <v>4.3099999999999996</v>
      </c>
      <c r="Z431" s="102">
        <v>25.05</v>
      </c>
      <c r="AA431" s="102">
        <v>33.24</v>
      </c>
      <c r="AB431" s="98">
        <v>3.91</v>
      </c>
      <c r="AC431" s="102">
        <v>28.96</v>
      </c>
      <c r="AD431" s="102">
        <v>33.24</v>
      </c>
      <c r="AE431" s="98">
        <v>3.91</v>
      </c>
      <c r="AF431" s="102">
        <v>32.869999999999997</v>
      </c>
      <c r="AG431" s="102">
        <v>38.25</v>
      </c>
      <c r="AH431" s="98">
        <v>4.5</v>
      </c>
      <c r="AI431" s="102">
        <v>37.369999999999997</v>
      </c>
      <c r="AJ431" s="102">
        <v>34.94</v>
      </c>
      <c r="AK431" s="98">
        <v>4.1100000000000003</v>
      </c>
      <c r="AL431" s="102">
        <v>41.48</v>
      </c>
      <c r="AM431" s="102">
        <v>34.94</v>
      </c>
      <c r="AN431" s="98">
        <v>4.1100000000000003</v>
      </c>
      <c r="AO431" s="102">
        <v>45.59</v>
      </c>
      <c r="AP431" s="102">
        <v>36.64</v>
      </c>
      <c r="AQ431" s="98">
        <v>4.3099999999999996</v>
      </c>
      <c r="AR431" s="102">
        <v>49.9</v>
      </c>
      <c r="AS431" s="102">
        <v>36.64</v>
      </c>
      <c r="AT431" s="98">
        <v>4.3099999999999996</v>
      </c>
      <c r="AU431" s="102">
        <v>54.21</v>
      </c>
      <c r="AV431" s="102">
        <v>36.64</v>
      </c>
      <c r="AW431" s="98">
        <v>4.3099999999999996</v>
      </c>
      <c r="AX431" s="102">
        <v>58.52</v>
      </c>
      <c r="AY431" s="102">
        <v>34.94</v>
      </c>
      <c r="AZ431" s="98">
        <v>4.1100000000000003</v>
      </c>
      <c r="BA431" s="102">
        <v>62.63</v>
      </c>
      <c r="BB431" s="102">
        <v>33.24</v>
      </c>
      <c r="BC431" s="98">
        <v>3.91</v>
      </c>
      <c r="BD431" s="102">
        <v>66.540000000000006</v>
      </c>
      <c r="BE431" s="102">
        <v>33.24</v>
      </c>
      <c r="BF431" s="98">
        <v>3.91</v>
      </c>
      <c r="BG431" s="102">
        <v>70.45</v>
      </c>
      <c r="BH431" s="102">
        <v>38.25</v>
      </c>
      <c r="BI431" s="98">
        <v>4.5</v>
      </c>
      <c r="BJ431" s="102">
        <v>74.95</v>
      </c>
      <c r="BK431" s="102">
        <v>34.94</v>
      </c>
      <c r="BL431" s="98">
        <v>4.1100000000000003</v>
      </c>
      <c r="BM431" s="102">
        <v>79.06</v>
      </c>
      <c r="BN431" s="102">
        <v>33.24</v>
      </c>
      <c r="BO431" s="98">
        <v>3.91</v>
      </c>
      <c r="BP431" s="102">
        <v>82.97</v>
      </c>
      <c r="BQ431" s="102">
        <v>38.25</v>
      </c>
      <c r="BR431" s="98">
        <v>4.5</v>
      </c>
      <c r="BS431" s="102">
        <v>87.47</v>
      </c>
      <c r="BT431" s="102">
        <v>33.24</v>
      </c>
      <c r="BU431" s="98">
        <v>3.91</v>
      </c>
      <c r="BV431" s="102">
        <v>91.38</v>
      </c>
      <c r="BW431" s="102">
        <v>36.64</v>
      </c>
      <c r="BX431" s="98">
        <v>4.3099999999999996</v>
      </c>
      <c r="BY431" s="102">
        <v>95.69</v>
      </c>
      <c r="BZ431" s="102">
        <v>36.64</v>
      </c>
      <c r="CA431" s="98">
        <v>4.3099999999999996</v>
      </c>
      <c r="CB431" s="100">
        <v>100</v>
      </c>
      <c r="CC431" s="99"/>
      <c r="CD431" s="99"/>
      <c r="CE431" s="989">
        <v>100</v>
      </c>
      <c r="CF431" s="405"/>
      <c r="CG431" s="462"/>
      <c r="CH431" s="405"/>
      <c r="CI431" s="460"/>
      <c r="CJ431" s="460"/>
      <c r="CK431" s="460"/>
      <c r="CL431" s="460"/>
      <c r="CM431" s="460"/>
      <c r="CN431" s="460"/>
      <c r="CO431" s="468"/>
      <c r="CP431" s="467"/>
      <c r="CQ431" s="407"/>
      <c r="CR431" s="406"/>
      <c r="CS431" s="406"/>
      <c r="CT431" s="407"/>
      <c r="CU431" s="406"/>
      <c r="CV431" s="406"/>
      <c r="CW431" s="407"/>
      <c r="CX431" s="467"/>
      <c r="CY431" s="467"/>
      <c r="CZ431" s="406"/>
      <c r="DA431" s="407"/>
      <c r="DB431" s="467"/>
      <c r="DC431" s="467"/>
      <c r="DD431" s="467"/>
      <c r="DE431" s="467"/>
      <c r="DF431" s="407"/>
    </row>
    <row r="432" spans="1:110" ht="8.4499999999999993" customHeight="1" x14ac:dyDescent="0.2">
      <c r="A432" s="130" t="s">
        <v>2188</v>
      </c>
      <c r="B432" s="96">
        <v>47</v>
      </c>
      <c r="C432" s="82" t="s">
        <v>2726</v>
      </c>
      <c r="D432" s="104">
        <v>511</v>
      </c>
      <c r="E432" s="82" t="s">
        <v>1557</v>
      </c>
      <c r="F432" s="82" t="s">
        <v>2024</v>
      </c>
      <c r="G432" s="98">
        <v>0</v>
      </c>
      <c r="H432" s="98">
        <v>0</v>
      </c>
      <c r="I432" s="99"/>
      <c r="J432" s="98">
        <v>4.5</v>
      </c>
      <c r="K432" s="98">
        <v>4.5</v>
      </c>
      <c r="L432" s="99"/>
      <c r="M432" s="98">
        <v>4.1100000000000003</v>
      </c>
      <c r="N432" s="98">
        <v>8.61</v>
      </c>
      <c r="O432" s="99"/>
      <c r="P432" s="98">
        <v>4.1100000000000003</v>
      </c>
      <c r="Q432" s="102">
        <v>12.72</v>
      </c>
      <c r="R432" s="99"/>
      <c r="S432" s="98">
        <v>4.1100000000000003</v>
      </c>
      <c r="T432" s="102">
        <v>16.829999999999998</v>
      </c>
      <c r="U432" s="99"/>
      <c r="V432" s="98">
        <v>3.91</v>
      </c>
      <c r="W432" s="102">
        <v>20.74</v>
      </c>
      <c r="X432" s="99"/>
      <c r="Y432" s="98">
        <v>4.3099999999999996</v>
      </c>
      <c r="Z432" s="102">
        <v>25.05</v>
      </c>
      <c r="AA432" s="99"/>
      <c r="AB432" s="98">
        <v>3.91</v>
      </c>
      <c r="AC432" s="102">
        <v>28.96</v>
      </c>
      <c r="AD432" s="99"/>
      <c r="AE432" s="98">
        <v>3.91</v>
      </c>
      <c r="AF432" s="102">
        <v>32.869999999999997</v>
      </c>
      <c r="AG432" s="99"/>
      <c r="AH432" s="98">
        <v>4.5</v>
      </c>
      <c r="AI432" s="102">
        <v>37.369999999999997</v>
      </c>
      <c r="AJ432" s="99"/>
      <c r="AK432" s="98">
        <v>4.1100000000000003</v>
      </c>
      <c r="AL432" s="102">
        <v>41.48</v>
      </c>
      <c r="AM432" s="99"/>
      <c r="AN432" s="98">
        <v>4.1100000000000003</v>
      </c>
      <c r="AO432" s="102">
        <v>45.59</v>
      </c>
      <c r="AP432" s="99"/>
      <c r="AQ432" s="98">
        <v>4.3099999999999996</v>
      </c>
      <c r="AR432" s="102">
        <v>49.9</v>
      </c>
      <c r="AS432" s="99"/>
      <c r="AT432" s="98">
        <v>4.3099999999999996</v>
      </c>
      <c r="AU432" s="102">
        <v>54.21</v>
      </c>
      <c r="AV432" s="99"/>
      <c r="AW432" s="98">
        <v>4.3099999999999996</v>
      </c>
      <c r="AX432" s="102">
        <v>58.52</v>
      </c>
      <c r="AY432" s="99"/>
      <c r="AZ432" s="98">
        <v>4.1100000000000003</v>
      </c>
      <c r="BA432" s="102">
        <v>62.63</v>
      </c>
      <c r="BB432" s="99"/>
      <c r="BC432" s="98">
        <v>3.91</v>
      </c>
      <c r="BD432" s="102">
        <v>66.540000000000006</v>
      </c>
      <c r="BE432" s="99"/>
      <c r="BF432" s="98">
        <v>3.91</v>
      </c>
      <c r="BG432" s="102">
        <v>70.45</v>
      </c>
      <c r="BH432" s="99"/>
      <c r="BI432" s="98">
        <v>4.5</v>
      </c>
      <c r="BJ432" s="102">
        <v>74.95</v>
      </c>
      <c r="BK432" s="99"/>
      <c r="BL432" s="98">
        <v>4.1100000000000003</v>
      </c>
      <c r="BM432" s="102">
        <v>79.06</v>
      </c>
      <c r="BN432" s="99"/>
      <c r="BO432" s="98">
        <v>3.91</v>
      </c>
      <c r="BP432" s="102">
        <v>82.97</v>
      </c>
      <c r="BQ432" s="99"/>
      <c r="BR432" s="98">
        <v>4.5</v>
      </c>
      <c r="BS432" s="102">
        <v>87.47</v>
      </c>
      <c r="BT432" s="99"/>
      <c r="BU432" s="98">
        <v>3.91</v>
      </c>
      <c r="BV432" s="102">
        <v>91.38</v>
      </c>
      <c r="BW432" s="99"/>
      <c r="BX432" s="98">
        <v>4.3099999999999996</v>
      </c>
      <c r="BY432" s="102">
        <v>95.69</v>
      </c>
      <c r="BZ432" s="99"/>
      <c r="CA432" s="98">
        <v>4.3099999999999996</v>
      </c>
      <c r="CB432" s="100">
        <v>100</v>
      </c>
      <c r="CC432" s="99"/>
      <c r="CD432" s="99"/>
      <c r="CE432" s="989">
        <v>100</v>
      </c>
      <c r="CF432" s="406"/>
      <c r="CG432" s="406"/>
      <c r="CH432" s="407"/>
      <c r="CI432" s="406"/>
      <c r="CJ432" s="406"/>
      <c r="CK432" s="406"/>
      <c r="CL432" s="406"/>
      <c r="CM432" s="406"/>
      <c r="CN432" s="406"/>
      <c r="CO432" s="467"/>
      <c r="CP432" s="467"/>
      <c r="CQ432" s="406"/>
      <c r="CR432" s="410"/>
      <c r="CS432" s="407"/>
      <c r="CT432" s="407"/>
      <c r="CU432" s="406"/>
      <c r="CV432" s="406"/>
      <c r="CW432" s="407"/>
      <c r="CX432" s="467"/>
      <c r="CY432" s="467"/>
      <c r="CZ432" s="406"/>
      <c r="DA432" s="407"/>
      <c r="DB432" s="467"/>
      <c r="DC432" s="467"/>
      <c r="DD432" s="467"/>
      <c r="DE432" s="467"/>
      <c r="DF432" s="407"/>
    </row>
    <row r="433" spans="1:110" ht="8.4499999999999993" customHeight="1" x14ac:dyDescent="0.2">
      <c r="A433" s="130" t="s">
        <v>2190</v>
      </c>
      <c r="B433" s="96">
        <v>48</v>
      </c>
      <c r="C433" s="82" t="s">
        <v>2727</v>
      </c>
      <c r="D433" s="104">
        <v>511</v>
      </c>
      <c r="E433" s="82" t="s">
        <v>1557</v>
      </c>
      <c r="F433" s="82" t="s">
        <v>2024</v>
      </c>
      <c r="G433" s="98">
        <v>0</v>
      </c>
      <c r="H433" s="98">
        <v>0</v>
      </c>
      <c r="I433" s="99"/>
      <c r="J433" s="98">
        <v>4.5</v>
      </c>
      <c r="K433" s="98">
        <v>4.5</v>
      </c>
      <c r="L433" s="99"/>
      <c r="M433" s="98">
        <v>4.1100000000000003</v>
      </c>
      <c r="N433" s="98">
        <v>8.61</v>
      </c>
      <c r="O433" s="99"/>
      <c r="P433" s="98">
        <v>4.1100000000000003</v>
      </c>
      <c r="Q433" s="102">
        <v>12.72</v>
      </c>
      <c r="R433" s="99"/>
      <c r="S433" s="98">
        <v>4.1100000000000003</v>
      </c>
      <c r="T433" s="102">
        <v>16.829999999999998</v>
      </c>
      <c r="U433" s="99"/>
      <c r="V433" s="98">
        <v>3.91</v>
      </c>
      <c r="W433" s="102">
        <v>20.74</v>
      </c>
      <c r="X433" s="99"/>
      <c r="Y433" s="98">
        <v>4.3099999999999996</v>
      </c>
      <c r="Z433" s="102">
        <v>25.05</v>
      </c>
      <c r="AA433" s="99"/>
      <c r="AB433" s="98">
        <v>3.91</v>
      </c>
      <c r="AC433" s="102">
        <v>28.96</v>
      </c>
      <c r="AD433" s="99"/>
      <c r="AE433" s="98">
        <v>3.91</v>
      </c>
      <c r="AF433" s="102">
        <v>32.869999999999997</v>
      </c>
      <c r="AG433" s="99"/>
      <c r="AH433" s="98">
        <v>4.5</v>
      </c>
      <c r="AI433" s="102">
        <v>37.369999999999997</v>
      </c>
      <c r="AJ433" s="99"/>
      <c r="AK433" s="98">
        <v>4.1100000000000003</v>
      </c>
      <c r="AL433" s="102">
        <v>41.48</v>
      </c>
      <c r="AM433" s="99"/>
      <c r="AN433" s="98">
        <v>4.1100000000000003</v>
      </c>
      <c r="AO433" s="102">
        <v>45.59</v>
      </c>
      <c r="AP433" s="99"/>
      <c r="AQ433" s="98">
        <v>4.3099999999999996</v>
      </c>
      <c r="AR433" s="102">
        <v>49.9</v>
      </c>
      <c r="AS433" s="99"/>
      <c r="AT433" s="98">
        <v>4.3099999999999996</v>
      </c>
      <c r="AU433" s="102">
        <v>54.21</v>
      </c>
      <c r="AV433" s="99"/>
      <c r="AW433" s="98">
        <v>4.3099999999999996</v>
      </c>
      <c r="AX433" s="102">
        <v>58.52</v>
      </c>
      <c r="AY433" s="99"/>
      <c r="AZ433" s="98">
        <v>4.1100000000000003</v>
      </c>
      <c r="BA433" s="102">
        <v>62.63</v>
      </c>
      <c r="BB433" s="99"/>
      <c r="BC433" s="98">
        <v>3.91</v>
      </c>
      <c r="BD433" s="102">
        <v>66.540000000000006</v>
      </c>
      <c r="BE433" s="99"/>
      <c r="BF433" s="98">
        <v>3.91</v>
      </c>
      <c r="BG433" s="102">
        <v>70.45</v>
      </c>
      <c r="BH433" s="99"/>
      <c r="BI433" s="98">
        <v>4.5</v>
      </c>
      <c r="BJ433" s="102">
        <v>74.95</v>
      </c>
      <c r="BK433" s="99"/>
      <c r="BL433" s="98">
        <v>4.1100000000000003</v>
      </c>
      <c r="BM433" s="102">
        <v>79.06</v>
      </c>
      <c r="BN433" s="99"/>
      <c r="BO433" s="98">
        <v>3.91</v>
      </c>
      <c r="BP433" s="102">
        <v>82.97</v>
      </c>
      <c r="BQ433" s="99"/>
      <c r="BR433" s="98">
        <v>4.5</v>
      </c>
      <c r="BS433" s="102">
        <v>87.47</v>
      </c>
      <c r="BT433" s="99"/>
      <c r="BU433" s="98">
        <v>3.91</v>
      </c>
      <c r="BV433" s="102">
        <v>91.38</v>
      </c>
      <c r="BW433" s="99"/>
      <c r="BX433" s="98">
        <v>4.3099999999999996</v>
      </c>
      <c r="BY433" s="102">
        <v>95.69</v>
      </c>
      <c r="BZ433" s="99"/>
      <c r="CA433" s="98">
        <v>4.3099999999999996</v>
      </c>
      <c r="CB433" s="100">
        <v>100</v>
      </c>
      <c r="CC433" s="99"/>
      <c r="CD433" s="99"/>
      <c r="CE433" s="989">
        <v>100</v>
      </c>
      <c r="CF433" s="406"/>
      <c r="CG433" s="406"/>
      <c r="CH433" s="407"/>
      <c r="CI433" s="406"/>
      <c r="CJ433" s="406"/>
      <c r="CK433" s="406"/>
      <c r="CL433" s="406"/>
      <c r="CM433" s="406"/>
      <c r="CN433" s="406"/>
      <c r="CO433" s="467"/>
      <c r="CP433" s="467"/>
      <c r="CQ433" s="406"/>
      <c r="CR433" s="410"/>
      <c r="CS433" s="407"/>
      <c r="CT433" s="407"/>
      <c r="CU433" s="406"/>
      <c r="CV433" s="406"/>
      <c r="CW433" s="407"/>
      <c r="CX433" s="467"/>
      <c r="CY433" s="467"/>
      <c r="CZ433" s="406"/>
      <c r="DA433" s="407"/>
      <c r="DB433" s="467"/>
      <c r="DC433" s="467"/>
      <c r="DD433" s="467"/>
      <c r="DE433" s="467"/>
      <c r="DF433" s="407"/>
    </row>
    <row r="434" spans="1:110" ht="8.4499999999999993" customHeight="1" x14ac:dyDescent="0.2">
      <c r="A434" s="130" t="s">
        <v>91</v>
      </c>
      <c r="B434" s="88">
        <v>49</v>
      </c>
      <c r="C434" s="87" t="s">
        <v>66</v>
      </c>
      <c r="D434" s="103">
        <v>444</v>
      </c>
      <c r="E434" s="87" t="s">
        <v>2166</v>
      </c>
      <c r="F434" s="87" t="s">
        <v>2026</v>
      </c>
      <c r="G434" s="105">
        <v>164433.53</v>
      </c>
      <c r="H434" s="90">
        <v>1.87</v>
      </c>
      <c r="I434" s="94"/>
      <c r="J434" s="94"/>
      <c r="K434" s="94"/>
      <c r="L434" s="94"/>
      <c r="M434" s="94"/>
      <c r="N434" s="94"/>
      <c r="O434" s="92">
        <v>4361.76</v>
      </c>
      <c r="P434" s="90">
        <v>2.66</v>
      </c>
      <c r="Q434" s="90">
        <v>2.66</v>
      </c>
      <c r="R434" s="92">
        <v>4361.58</v>
      </c>
      <c r="S434" s="90">
        <v>2.66</v>
      </c>
      <c r="T434" s="90">
        <v>5.31</v>
      </c>
      <c r="U434" s="92">
        <v>4155.47</v>
      </c>
      <c r="V434" s="90">
        <v>2.5299999999999998</v>
      </c>
      <c r="W434" s="90">
        <v>7.85</v>
      </c>
      <c r="X434" s="92">
        <v>4481.99</v>
      </c>
      <c r="Y434" s="90">
        <v>2.73</v>
      </c>
      <c r="Z434" s="91">
        <v>10.58</v>
      </c>
      <c r="AA434" s="92">
        <v>3827.33</v>
      </c>
      <c r="AB434" s="90">
        <v>2.33</v>
      </c>
      <c r="AC434" s="91">
        <v>12.91</v>
      </c>
      <c r="AD434" s="92">
        <v>3827.33</v>
      </c>
      <c r="AE434" s="90">
        <v>2.33</v>
      </c>
      <c r="AF434" s="91">
        <v>15.24</v>
      </c>
      <c r="AG434" s="92">
        <v>4400.17</v>
      </c>
      <c r="AH434" s="90">
        <v>2.68</v>
      </c>
      <c r="AI434" s="91">
        <v>17.920000000000002</v>
      </c>
      <c r="AJ434" s="92">
        <v>4718.2</v>
      </c>
      <c r="AK434" s="90">
        <v>2.87</v>
      </c>
      <c r="AL434" s="91">
        <v>20.79</v>
      </c>
      <c r="AM434" s="89">
        <v>60226.21</v>
      </c>
      <c r="AN434" s="91">
        <v>36.68</v>
      </c>
      <c r="AO434" s="91">
        <v>57.47</v>
      </c>
      <c r="AP434" s="89">
        <v>27807.05</v>
      </c>
      <c r="AQ434" s="91">
        <v>16.93</v>
      </c>
      <c r="AR434" s="91">
        <v>74.400000000000006</v>
      </c>
      <c r="AS434" s="92">
        <v>1619.01</v>
      </c>
      <c r="AT434" s="90">
        <v>0.97</v>
      </c>
      <c r="AU434" s="91">
        <v>75.37</v>
      </c>
      <c r="AV434" s="89">
        <v>21418.48</v>
      </c>
      <c r="AW434" s="91">
        <v>13.03</v>
      </c>
      <c r="AX434" s="91">
        <v>88.4</v>
      </c>
      <c r="AY434" s="92">
        <v>1544.58</v>
      </c>
      <c r="AZ434" s="90">
        <v>0.93</v>
      </c>
      <c r="BA434" s="91">
        <v>89.33</v>
      </c>
      <c r="BB434" s="92">
        <v>1471.24</v>
      </c>
      <c r="BC434" s="90">
        <v>0.88</v>
      </c>
      <c r="BD434" s="91">
        <v>90.22</v>
      </c>
      <c r="BE434" s="92">
        <v>1302.6099999999999</v>
      </c>
      <c r="BF434" s="90">
        <v>0.78</v>
      </c>
      <c r="BG434" s="91">
        <v>91</v>
      </c>
      <c r="BH434" s="92">
        <v>1339.76</v>
      </c>
      <c r="BI434" s="90">
        <v>0.8</v>
      </c>
      <c r="BJ434" s="91">
        <v>91.8</v>
      </c>
      <c r="BK434" s="92">
        <v>7722.65</v>
      </c>
      <c r="BL434" s="90">
        <v>4.6900000000000004</v>
      </c>
      <c r="BM434" s="91">
        <v>96.49</v>
      </c>
      <c r="BN434" s="92">
        <v>1164.6400000000001</v>
      </c>
      <c r="BO434" s="90">
        <v>0.7</v>
      </c>
      <c r="BP434" s="91">
        <v>97.18</v>
      </c>
      <c r="BQ434" s="92">
        <v>3828.67</v>
      </c>
      <c r="BR434" s="90">
        <v>2.3199999999999998</v>
      </c>
      <c r="BS434" s="91">
        <v>99.5</v>
      </c>
      <c r="BT434" s="93">
        <v>460.24</v>
      </c>
      <c r="BU434" s="90">
        <v>0.27</v>
      </c>
      <c r="BV434" s="91">
        <v>99.77</v>
      </c>
      <c r="BW434" s="93">
        <v>394.54</v>
      </c>
      <c r="BX434" s="90">
        <v>0.23</v>
      </c>
      <c r="BY434" s="93">
        <v>100</v>
      </c>
      <c r="BZ434" s="94"/>
      <c r="CA434" s="94"/>
      <c r="CB434" s="93">
        <v>100</v>
      </c>
      <c r="CC434" s="94"/>
      <c r="CD434" s="94"/>
      <c r="CE434" s="988">
        <v>100</v>
      </c>
      <c r="CF434" s="407"/>
      <c r="CG434" s="408"/>
      <c r="CH434" s="407"/>
      <c r="CI434" s="406"/>
      <c r="CJ434" s="406"/>
      <c r="CK434" s="406"/>
      <c r="CL434" s="406"/>
      <c r="CM434" s="406"/>
      <c r="CN434" s="406"/>
      <c r="CO434" s="467"/>
      <c r="CP434" s="467"/>
      <c r="CQ434" s="406"/>
      <c r="CR434" s="410"/>
      <c r="CS434" s="407"/>
      <c r="CT434" s="407"/>
      <c r="CU434" s="406"/>
      <c r="CV434" s="406"/>
      <c r="CW434" s="407"/>
      <c r="CX434" s="467"/>
      <c r="CY434" s="467"/>
      <c r="CZ434" s="406"/>
      <c r="DA434" s="407"/>
      <c r="DB434" s="467"/>
      <c r="DC434" s="467"/>
      <c r="DD434" s="467"/>
      <c r="DE434" s="467"/>
      <c r="DF434" s="407"/>
    </row>
    <row r="435" spans="1:110" ht="8.4499999999999993" customHeight="1" x14ac:dyDescent="0.2">
      <c r="A435" s="130" t="s">
        <v>92</v>
      </c>
      <c r="B435" s="96">
        <v>50</v>
      </c>
      <c r="C435" s="82" t="s">
        <v>2728</v>
      </c>
      <c r="D435" s="96">
        <v>73</v>
      </c>
      <c r="E435" s="82" t="s">
        <v>2166</v>
      </c>
      <c r="F435" s="82" t="s">
        <v>2365</v>
      </c>
      <c r="G435" s="101">
        <v>1800</v>
      </c>
      <c r="H435" s="98">
        <v>0.02</v>
      </c>
      <c r="I435" s="99"/>
      <c r="J435" s="99"/>
      <c r="K435" s="99"/>
      <c r="L435" s="99"/>
      <c r="M435" s="99"/>
      <c r="N435" s="99"/>
      <c r="O435" s="100">
        <v>517.86</v>
      </c>
      <c r="P435" s="102">
        <v>28.77</v>
      </c>
      <c r="Q435" s="102">
        <v>28.77</v>
      </c>
      <c r="R435" s="100">
        <v>517.67999999999995</v>
      </c>
      <c r="S435" s="102">
        <v>28.76</v>
      </c>
      <c r="T435" s="102">
        <v>57.53</v>
      </c>
      <c r="U435" s="100">
        <v>493.2</v>
      </c>
      <c r="V435" s="102">
        <v>27.4</v>
      </c>
      <c r="W435" s="102">
        <v>84.93</v>
      </c>
      <c r="X435" s="100">
        <v>271.26</v>
      </c>
      <c r="Y435" s="102">
        <v>15.07</v>
      </c>
      <c r="Z435" s="100">
        <v>100</v>
      </c>
      <c r="AA435" s="99"/>
      <c r="AB435" s="99"/>
      <c r="AC435" s="100">
        <v>100</v>
      </c>
      <c r="AD435" s="99"/>
      <c r="AE435" s="99"/>
      <c r="AF435" s="100">
        <v>100</v>
      </c>
      <c r="AG435" s="99"/>
      <c r="AH435" s="99"/>
      <c r="AI435" s="100">
        <v>100</v>
      </c>
      <c r="AJ435" s="99"/>
      <c r="AK435" s="99"/>
      <c r="AL435" s="100">
        <v>100</v>
      </c>
      <c r="AM435" s="99"/>
      <c r="AN435" s="99"/>
      <c r="AO435" s="100">
        <v>100</v>
      </c>
      <c r="AP435" s="99"/>
      <c r="AQ435" s="99"/>
      <c r="AR435" s="100">
        <v>100</v>
      </c>
      <c r="AS435" s="99"/>
      <c r="AT435" s="99"/>
      <c r="AU435" s="100">
        <v>100</v>
      </c>
      <c r="AV435" s="99"/>
      <c r="AW435" s="99"/>
      <c r="AX435" s="100">
        <v>100</v>
      </c>
      <c r="AY435" s="99"/>
      <c r="AZ435" s="99"/>
      <c r="BA435" s="100">
        <v>100</v>
      </c>
      <c r="BB435" s="99"/>
      <c r="BC435" s="99"/>
      <c r="BD435" s="100">
        <v>100</v>
      </c>
      <c r="BE435" s="99"/>
      <c r="BF435" s="99"/>
      <c r="BG435" s="100">
        <v>100</v>
      </c>
      <c r="BH435" s="99"/>
      <c r="BI435" s="99"/>
      <c r="BJ435" s="100">
        <v>100</v>
      </c>
      <c r="BK435" s="99"/>
      <c r="BL435" s="99"/>
      <c r="BM435" s="100">
        <v>100</v>
      </c>
      <c r="BN435" s="99"/>
      <c r="BO435" s="99"/>
      <c r="BP435" s="100">
        <v>100</v>
      </c>
      <c r="BQ435" s="99"/>
      <c r="BR435" s="99"/>
      <c r="BS435" s="100">
        <v>100</v>
      </c>
      <c r="BT435" s="99"/>
      <c r="BU435" s="99"/>
      <c r="BV435" s="100">
        <v>100</v>
      </c>
      <c r="BW435" s="99"/>
      <c r="BX435" s="99"/>
      <c r="BY435" s="100">
        <v>100</v>
      </c>
      <c r="BZ435" s="99"/>
      <c r="CA435" s="99"/>
      <c r="CB435" s="100">
        <v>100</v>
      </c>
      <c r="CC435" s="99"/>
      <c r="CD435" s="99"/>
      <c r="CE435" s="989">
        <v>100</v>
      </c>
      <c r="CF435" s="406"/>
      <c r="CG435" s="406"/>
      <c r="CH435" s="407"/>
      <c r="CI435" s="406"/>
      <c r="CJ435" s="406"/>
      <c r="CK435" s="406"/>
      <c r="CL435" s="406"/>
      <c r="CM435" s="406"/>
      <c r="CN435" s="406"/>
      <c r="CO435" s="467"/>
      <c r="CP435" s="467"/>
      <c r="CQ435" s="406"/>
      <c r="CR435" s="410"/>
      <c r="CS435" s="407"/>
      <c r="CT435" s="407"/>
      <c r="CU435" s="406"/>
      <c r="CV435" s="406"/>
      <c r="CW435" s="407"/>
      <c r="CX435" s="467"/>
      <c r="CY435" s="467"/>
      <c r="CZ435" s="406"/>
      <c r="DA435" s="407"/>
      <c r="DB435" s="467"/>
      <c r="DC435" s="467"/>
      <c r="DD435" s="467"/>
      <c r="DE435" s="467"/>
      <c r="DF435" s="407"/>
    </row>
    <row r="436" spans="1:110" ht="8.4499999999999993" customHeight="1" x14ac:dyDescent="0.2">
      <c r="A436" s="130" t="s">
        <v>93</v>
      </c>
      <c r="B436" s="96">
        <v>51</v>
      </c>
      <c r="C436" s="82" t="s">
        <v>2729</v>
      </c>
      <c r="D436" s="104">
        <v>137</v>
      </c>
      <c r="E436" s="82" t="s">
        <v>2180</v>
      </c>
      <c r="F436" s="82" t="s">
        <v>2500</v>
      </c>
      <c r="G436" s="101">
        <v>2100</v>
      </c>
      <c r="H436" s="98">
        <v>0.02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100">
        <v>321.93</v>
      </c>
      <c r="AN436" s="102">
        <v>15.33</v>
      </c>
      <c r="AO436" s="102">
        <v>15.33</v>
      </c>
      <c r="AP436" s="100">
        <v>337.26</v>
      </c>
      <c r="AQ436" s="102">
        <v>16.059999999999999</v>
      </c>
      <c r="AR436" s="102">
        <v>31.39</v>
      </c>
      <c r="AS436" s="100">
        <v>337.26</v>
      </c>
      <c r="AT436" s="102">
        <v>16.059999999999999</v>
      </c>
      <c r="AU436" s="102">
        <v>47.45</v>
      </c>
      <c r="AV436" s="100">
        <v>337.05</v>
      </c>
      <c r="AW436" s="102">
        <v>16.05</v>
      </c>
      <c r="AX436" s="102">
        <v>63.5</v>
      </c>
      <c r="AY436" s="100">
        <v>321.93</v>
      </c>
      <c r="AZ436" s="102">
        <v>15.33</v>
      </c>
      <c r="BA436" s="102">
        <v>78.83</v>
      </c>
      <c r="BB436" s="100">
        <v>306.60000000000002</v>
      </c>
      <c r="BC436" s="102">
        <v>14.6</v>
      </c>
      <c r="BD436" s="102">
        <v>93.43</v>
      </c>
      <c r="BE436" s="100">
        <v>137.97</v>
      </c>
      <c r="BF436" s="98">
        <v>6.57</v>
      </c>
      <c r="BG436" s="100">
        <v>100</v>
      </c>
      <c r="BH436" s="99"/>
      <c r="BI436" s="99"/>
      <c r="BJ436" s="100">
        <v>100</v>
      </c>
      <c r="BK436" s="99"/>
      <c r="BL436" s="99"/>
      <c r="BM436" s="100">
        <v>100</v>
      </c>
      <c r="BN436" s="99"/>
      <c r="BO436" s="99"/>
      <c r="BP436" s="100">
        <v>100</v>
      </c>
      <c r="BQ436" s="99"/>
      <c r="BR436" s="99"/>
      <c r="BS436" s="100">
        <v>100</v>
      </c>
      <c r="BT436" s="99"/>
      <c r="BU436" s="99"/>
      <c r="BV436" s="100">
        <v>100</v>
      </c>
      <c r="BW436" s="99"/>
      <c r="BX436" s="99"/>
      <c r="BY436" s="100">
        <v>100</v>
      </c>
      <c r="BZ436" s="99"/>
      <c r="CA436" s="99"/>
      <c r="CB436" s="100">
        <v>100</v>
      </c>
      <c r="CC436" s="99"/>
      <c r="CD436" s="99"/>
      <c r="CE436" s="989">
        <v>100</v>
      </c>
      <c r="CF436" s="406"/>
      <c r="CG436" s="406"/>
      <c r="CH436" s="407"/>
      <c r="CI436" s="406"/>
      <c r="CJ436" s="406"/>
      <c r="CK436" s="406"/>
      <c r="CL436" s="406"/>
      <c r="CM436" s="406"/>
      <c r="CN436" s="406"/>
      <c r="CO436" s="467"/>
      <c r="CP436" s="467"/>
      <c r="CQ436" s="406"/>
      <c r="CR436" s="406"/>
      <c r="CS436" s="406"/>
      <c r="CT436" s="406"/>
      <c r="CU436" s="410"/>
      <c r="CV436" s="407"/>
      <c r="CW436" s="407"/>
      <c r="CX436" s="467"/>
      <c r="CY436" s="467"/>
      <c r="CZ436" s="406"/>
      <c r="DA436" s="407"/>
      <c r="DB436" s="467"/>
      <c r="DC436" s="467"/>
      <c r="DD436" s="467"/>
      <c r="DE436" s="467"/>
      <c r="DF436" s="407"/>
    </row>
    <row r="437" spans="1:110" ht="8.4499999999999993" customHeight="1" x14ac:dyDescent="0.2">
      <c r="A437" s="130" t="s">
        <v>165</v>
      </c>
      <c r="B437" s="96">
        <v>52</v>
      </c>
      <c r="C437" s="82" t="s">
        <v>2730</v>
      </c>
      <c r="D437" s="96">
        <v>43</v>
      </c>
      <c r="E437" s="82" t="s">
        <v>2180</v>
      </c>
      <c r="F437" s="82" t="s">
        <v>2027</v>
      </c>
      <c r="G437" s="101">
        <v>1350</v>
      </c>
      <c r="H437" s="98">
        <v>0.02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100">
        <v>659.34</v>
      </c>
      <c r="AN437" s="102">
        <v>48.84</v>
      </c>
      <c r="AO437" s="102">
        <v>48.84</v>
      </c>
      <c r="AP437" s="100">
        <v>690.66</v>
      </c>
      <c r="AQ437" s="102">
        <v>51.16</v>
      </c>
      <c r="AR437" s="100">
        <v>100</v>
      </c>
      <c r="AS437" s="99"/>
      <c r="AT437" s="99"/>
      <c r="AU437" s="100">
        <v>100</v>
      </c>
      <c r="AV437" s="99"/>
      <c r="AW437" s="99"/>
      <c r="AX437" s="100">
        <v>100</v>
      </c>
      <c r="AY437" s="99"/>
      <c r="AZ437" s="99"/>
      <c r="BA437" s="100">
        <v>100</v>
      </c>
      <c r="BB437" s="99"/>
      <c r="BC437" s="99"/>
      <c r="BD437" s="100">
        <v>100</v>
      </c>
      <c r="BE437" s="99"/>
      <c r="BF437" s="99"/>
      <c r="BG437" s="100">
        <v>100</v>
      </c>
      <c r="BH437" s="99"/>
      <c r="BI437" s="99"/>
      <c r="BJ437" s="100">
        <v>100</v>
      </c>
      <c r="BK437" s="99"/>
      <c r="BL437" s="99"/>
      <c r="BM437" s="100">
        <v>100</v>
      </c>
      <c r="BN437" s="99"/>
      <c r="BO437" s="99"/>
      <c r="BP437" s="100">
        <v>100</v>
      </c>
      <c r="BQ437" s="99"/>
      <c r="BR437" s="99"/>
      <c r="BS437" s="100">
        <v>100</v>
      </c>
      <c r="BT437" s="99"/>
      <c r="BU437" s="99"/>
      <c r="BV437" s="100">
        <v>100</v>
      </c>
      <c r="BW437" s="99"/>
      <c r="BX437" s="99"/>
      <c r="BY437" s="100">
        <v>100</v>
      </c>
      <c r="BZ437" s="99"/>
      <c r="CA437" s="99"/>
      <c r="CB437" s="100">
        <v>100</v>
      </c>
      <c r="CC437" s="99"/>
      <c r="CD437" s="99"/>
      <c r="CE437" s="989">
        <v>100</v>
      </c>
      <c r="CF437" s="406"/>
      <c r="CG437" s="406"/>
      <c r="CH437" s="407"/>
      <c r="CI437" s="406"/>
      <c r="CJ437" s="406"/>
      <c r="CK437" s="406"/>
      <c r="CL437" s="406"/>
      <c r="CM437" s="406"/>
      <c r="CN437" s="406"/>
      <c r="CO437" s="467"/>
      <c r="CP437" s="467"/>
      <c r="CQ437" s="406"/>
      <c r="CR437" s="406"/>
      <c r="CS437" s="406"/>
      <c r="CT437" s="406"/>
      <c r="CU437" s="410"/>
      <c r="CV437" s="407"/>
      <c r="CW437" s="407"/>
      <c r="CX437" s="467"/>
      <c r="CY437" s="467"/>
      <c r="CZ437" s="406"/>
      <c r="DA437" s="407"/>
      <c r="DB437" s="467"/>
      <c r="DC437" s="467"/>
      <c r="DD437" s="467"/>
      <c r="DE437" s="467"/>
      <c r="DF437" s="407"/>
    </row>
    <row r="438" spans="1:110" ht="8.4499999999999993" customHeight="1" x14ac:dyDescent="0.2">
      <c r="A438" s="130" t="s">
        <v>166</v>
      </c>
      <c r="B438" s="96">
        <v>53</v>
      </c>
      <c r="C438" s="82" t="s">
        <v>2731</v>
      </c>
      <c r="D438" s="104">
        <v>211</v>
      </c>
      <c r="E438" s="82" t="s">
        <v>2166</v>
      </c>
      <c r="F438" s="82" t="s">
        <v>2027</v>
      </c>
      <c r="G438" s="100">
        <v>750</v>
      </c>
      <c r="H438" s="98">
        <v>0.01</v>
      </c>
      <c r="I438" s="99"/>
      <c r="J438" s="99"/>
      <c r="K438" s="99"/>
      <c r="L438" s="99"/>
      <c r="M438" s="99"/>
      <c r="N438" s="99"/>
      <c r="O438" s="102">
        <v>74.63</v>
      </c>
      <c r="P438" s="98">
        <v>9.9499999999999993</v>
      </c>
      <c r="Q438" s="98">
        <v>9.9499999999999993</v>
      </c>
      <c r="R438" s="102">
        <v>74.63</v>
      </c>
      <c r="S438" s="98">
        <v>9.9499999999999993</v>
      </c>
      <c r="T438" s="102">
        <v>19.899999999999999</v>
      </c>
      <c r="U438" s="102">
        <v>71.099999999999994</v>
      </c>
      <c r="V438" s="98">
        <v>9.48</v>
      </c>
      <c r="W438" s="102">
        <v>29.38</v>
      </c>
      <c r="X438" s="102">
        <v>78.22</v>
      </c>
      <c r="Y438" s="102">
        <v>10.43</v>
      </c>
      <c r="Z438" s="102">
        <v>39.81</v>
      </c>
      <c r="AA438" s="102">
        <v>71.099999999999994</v>
      </c>
      <c r="AB438" s="98">
        <v>9.48</v>
      </c>
      <c r="AC438" s="102">
        <v>49.29</v>
      </c>
      <c r="AD438" s="102">
        <v>71.099999999999994</v>
      </c>
      <c r="AE438" s="98">
        <v>9.48</v>
      </c>
      <c r="AF438" s="102">
        <v>58.77</v>
      </c>
      <c r="AG438" s="102">
        <v>81.75</v>
      </c>
      <c r="AH438" s="102">
        <v>10.9</v>
      </c>
      <c r="AI438" s="102">
        <v>69.67</v>
      </c>
      <c r="AJ438" s="102">
        <v>74.63</v>
      </c>
      <c r="AK438" s="98">
        <v>9.9499999999999993</v>
      </c>
      <c r="AL438" s="102">
        <v>79.62</v>
      </c>
      <c r="AM438" s="102">
        <v>74.63</v>
      </c>
      <c r="AN438" s="98">
        <v>9.9499999999999993</v>
      </c>
      <c r="AO438" s="102">
        <v>89.57</v>
      </c>
      <c r="AP438" s="102">
        <v>78.22</v>
      </c>
      <c r="AQ438" s="102">
        <v>10.43</v>
      </c>
      <c r="AR438" s="100">
        <v>100</v>
      </c>
      <c r="AS438" s="99"/>
      <c r="AT438" s="99"/>
      <c r="AU438" s="100">
        <v>100</v>
      </c>
      <c r="AV438" s="99"/>
      <c r="AW438" s="99"/>
      <c r="AX438" s="100">
        <v>100</v>
      </c>
      <c r="AY438" s="99"/>
      <c r="AZ438" s="99"/>
      <c r="BA438" s="100">
        <v>100</v>
      </c>
      <c r="BB438" s="99"/>
      <c r="BC438" s="99"/>
      <c r="BD438" s="100">
        <v>100</v>
      </c>
      <c r="BE438" s="99"/>
      <c r="BF438" s="99"/>
      <c r="BG438" s="100">
        <v>100</v>
      </c>
      <c r="BH438" s="99"/>
      <c r="BI438" s="99"/>
      <c r="BJ438" s="100">
        <v>100</v>
      </c>
      <c r="BK438" s="99"/>
      <c r="BL438" s="99"/>
      <c r="BM438" s="100">
        <v>100</v>
      </c>
      <c r="BN438" s="99"/>
      <c r="BO438" s="99"/>
      <c r="BP438" s="100">
        <v>100</v>
      </c>
      <c r="BQ438" s="99"/>
      <c r="BR438" s="99"/>
      <c r="BS438" s="100">
        <v>100</v>
      </c>
      <c r="BT438" s="99"/>
      <c r="BU438" s="99"/>
      <c r="BV438" s="100">
        <v>100</v>
      </c>
      <c r="BW438" s="99"/>
      <c r="BX438" s="99"/>
      <c r="BY438" s="100">
        <v>100</v>
      </c>
      <c r="BZ438" s="99"/>
      <c r="CA438" s="99"/>
      <c r="CB438" s="100">
        <v>100</v>
      </c>
      <c r="CC438" s="99"/>
      <c r="CD438" s="99"/>
      <c r="CE438" s="989">
        <v>100</v>
      </c>
      <c r="CF438" s="406"/>
      <c r="CG438" s="406"/>
      <c r="CH438" s="407"/>
      <c r="CI438" s="406"/>
      <c r="CJ438" s="406"/>
      <c r="CK438" s="406"/>
      <c r="CL438" s="406"/>
      <c r="CM438" s="406"/>
      <c r="CN438" s="406"/>
      <c r="CO438" s="467"/>
      <c r="CP438" s="467"/>
      <c r="CQ438" s="406"/>
      <c r="CR438" s="406"/>
      <c r="CS438" s="406"/>
      <c r="CT438" s="406"/>
      <c r="CU438" s="410"/>
      <c r="CV438" s="407"/>
      <c r="CW438" s="407"/>
      <c r="CX438" s="467"/>
      <c r="CY438" s="467"/>
      <c r="CZ438" s="406"/>
      <c r="DA438" s="407"/>
      <c r="DB438" s="467"/>
      <c r="DC438" s="467"/>
      <c r="DD438" s="467"/>
      <c r="DE438" s="467"/>
      <c r="DF438" s="407"/>
    </row>
    <row r="439" spans="1:110" ht="8.4499999999999993" customHeight="1" x14ac:dyDescent="0.2">
      <c r="A439" s="130" t="s">
        <v>167</v>
      </c>
      <c r="B439" s="96">
        <v>54</v>
      </c>
      <c r="C439" s="82" t="s">
        <v>2732</v>
      </c>
      <c r="D439" s="104">
        <v>211</v>
      </c>
      <c r="E439" s="82" t="s">
        <v>2166</v>
      </c>
      <c r="F439" s="82" t="s">
        <v>2027</v>
      </c>
      <c r="G439" s="100">
        <v>652.57000000000005</v>
      </c>
      <c r="H439" s="98">
        <v>0.01</v>
      </c>
      <c r="I439" s="99"/>
      <c r="J439" s="99"/>
      <c r="K439" s="99"/>
      <c r="L439" s="99"/>
      <c r="M439" s="99"/>
      <c r="N439" s="99"/>
      <c r="O439" s="102">
        <v>64.930000000000007</v>
      </c>
      <c r="P439" s="98">
        <v>9.9499999999999993</v>
      </c>
      <c r="Q439" s="98">
        <v>9.9499999999999993</v>
      </c>
      <c r="R439" s="102">
        <v>64.930000000000007</v>
      </c>
      <c r="S439" s="98">
        <v>9.9499999999999993</v>
      </c>
      <c r="T439" s="102">
        <v>19.899999999999999</v>
      </c>
      <c r="U439" s="102">
        <v>61.86</v>
      </c>
      <c r="V439" s="98">
        <v>9.48</v>
      </c>
      <c r="W439" s="102">
        <v>29.38</v>
      </c>
      <c r="X439" s="102">
        <v>68.06</v>
      </c>
      <c r="Y439" s="102">
        <v>10.43</v>
      </c>
      <c r="Z439" s="102">
        <v>39.81</v>
      </c>
      <c r="AA439" s="102">
        <v>61.86</v>
      </c>
      <c r="AB439" s="98">
        <v>9.48</v>
      </c>
      <c r="AC439" s="102">
        <v>49.29</v>
      </c>
      <c r="AD439" s="102">
        <v>61.86</v>
      </c>
      <c r="AE439" s="98">
        <v>9.48</v>
      </c>
      <c r="AF439" s="102">
        <v>58.77</v>
      </c>
      <c r="AG439" s="102">
        <v>71.13</v>
      </c>
      <c r="AH439" s="102">
        <v>10.9</v>
      </c>
      <c r="AI439" s="102">
        <v>69.67</v>
      </c>
      <c r="AJ439" s="102">
        <v>64.930000000000007</v>
      </c>
      <c r="AK439" s="98">
        <v>9.9499999999999993</v>
      </c>
      <c r="AL439" s="102">
        <v>79.62</v>
      </c>
      <c r="AM439" s="102">
        <v>64.930000000000007</v>
      </c>
      <c r="AN439" s="98">
        <v>9.9499999999999993</v>
      </c>
      <c r="AO439" s="102">
        <v>89.57</v>
      </c>
      <c r="AP439" s="102">
        <v>68.06</v>
      </c>
      <c r="AQ439" s="102">
        <v>10.43</v>
      </c>
      <c r="AR439" s="100">
        <v>100</v>
      </c>
      <c r="AS439" s="99"/>
      <c r="AT439" s="99"/>
      <c r="AU439" s="100">
        <v>100</v>
      </c>
      <c r="AV439" s="99"/>
      <c r="AW439" s="99"/>
      <c r="AX439" s="100">
        <v>100</v>
      </c>
      <c r="AY439" s="99"/>
      <c r="AZ439" s="99"/>
      <c r="BA439" s="100">
        <v>100</v>
      </c>
      <c r="BB439" s="99"/>
      <c r="BC439" s="99"/>
      <c r="BD439" s="100">
        <v>100</v>
      </c>
      <c r="BE439" s="99"/>
      <c r="BF439" s="99"/>
      <c r="BG439" s="100">
        <v>100</v>
      </c>
      <c r="BH439" s="99"/>
      <c r="BI439" s="99"/>
      <c r="BJ439" s="100">
        <v>100</v>
      </c>
      <c r="BK439" s="99"/>
      <c r="BL439" s="99"/>
      <c r="BM439" s="100">
        <v>100</v>
      </c>
      <c r="BN439" s="99"/>
      <c r="BO439" s="99"/>
      <c r="BP439" s="100">
        <v>100</v>
      </c>
      <c r="BQ439" s="99"/>
      <c r="BR439" s="99"/>
      <c r="BS439" s="100">
        <v>100</v>
      </c>
      <c r="BT439" s="99"/>
      <c r="BU439" s="99"/>
      <c r="BV439" s="100">
        <v>100</v>
      </c>
      <c r="BW439" s="99"/>
      <c r="BX439" s="99"/>
      <c r="BY439" s="100">
        <v>100</v>
      </c>
      <c r="BZ439" s="99"/>
      <c r="CA439" s="99"/>
      <c r="CB439" s="100">
        <v>100</v>
      </c>
      <c r="CC439" s="99"/>
      <c r="CD439" s="99"/>
      <c r="CE439" s="989">
        <v>100</v>
      </c>
      <c r="CF439" s="406"/>
      <c r="CG439" s="406"/>
      <c r="CH439" s="407"/>
      <c r="CI439" s="406"/>
      <c r="CJ439" s="406"/>
      <c r="CK439" s="406"/>
      <c r="CL439" s="406"/>
      <c r="CM439" s="406"/>
      <c r="CN439" s="406"/>
      <c r="CO439" s="467"/>
      <c r="CP439" s="467"/>
      <c r="CQ439" s="406"/>
      <c r="CR439" s="406"/>
      <c r="CS439" s="406"/>
      <c r="CT439" s="406"/>
      <c r="CU439" s="407"/>
      <c r="CV439" s="407"/>
      <c r="CW439" s="407"/>
      <c r="CX439" s="467"/>
      <c r="CY439" s="467"/>
      <c r="CZ439" s="406"/>
      <c r="DA439" s="407"/>
      <c r="DB439" s="467"/>
      <c r="DC439" s="467"/>
      <c r="DD439" s="467"/>
      <c r="DE439" s="467"/>
      <c r="DF439" s="407"/>
    </row>
    <row r="440" spans="1:110" ht="8.4499999999999993" customHeight="1" x14ac:dyDescent="0.2">
      <c r="A440" s="130" t="s">
        <v>168</v>
      </c>
      <c r="B440" s="96">
        <v>55</v>
      </c>
      <c r="C440" s="82" t="s">
        <v>2733</v>
      </c>
      <c r="D440" s="104">
        <v>211</v>
      </c>
      <c r="E440" s="82" t="s">
        <v>2166</v>
      </c>
      <c r="F440" s="82" t="s">
        <v>2027</v>
      </c>
      <c r="G440" s="97">
        <v>29890.59</v>
      </c>
      <c r="H440" s="98">
        <v>0.34</v>
      </c>
      <c r="I440" s="99"/>
      <c r="J440" s="99"/>
      <c r="K440" s="99"/>
      <c r="L440" s="99"/>
      <c r="M440" s="99"/>
      <c r="N440" s="99"/>
      <c r="O440" s="101">
        <v>2974.11</v>
      </c>
      <c r="P440" s="98">
        <v>9.9499999999999993</v>
      </c>
      <c r="Q440" s="98">
        <v>9.9499999999999993</v>
      </c>
      <c r="R440" s="101">
        <v>2974.11</v>
      </c>
      <c r="S440" s="98">
        <v>9.9499999999999993</v>
      </c>
      <c r="T440" s="102">
        <v>19.899999999999999</v>
      </c>
      <c r="U440" s="101">
        <v>2833.63</v>
      </c>
      <c r="V440" s="98">
        <v>9.48</v>
      </c>
      <c r="W440" s="102">
        <v>29.38</v>
      </c>
      <c r="X440" s="101">
        <v>3117.59</v>
      </c>
      <c r="Y440" s="102">
        <v>10.43</v>
      </c>
      <c r="Z440" s="102">
        <v>39.81</v>
      </c>
      <c r="AA440" s="101">
        <v>2833.63</v>
      </c>
      <c r="AB440" s="98">
        <v>9.48</v>
      </c>
      <c r="AC440" s="102">
        <v>49.29</v>
      </c>
      <c r="AD440" s="101">
        <v>2833.63</v>
      </c>
      <c r="AE440" s="98">
        <v>9.48</v>
      </c>
      <c r="AF440" s="102">
        <v>58.77</v>
      </c>
      <c r="AG440" s="101">
        <v>3258.07</v>
      </c>
      <c r="AH440" s="102">
        <v>10.9</v>
      </c>
      <c r="AI440" s="102">
        <v>69.67</v>
      </c>
      <c r="AJ440" s="101">
        <v>2974.11</v>
      </c>
      <c r="AK440" s="98">
        <v>9.9499999999999993</v>
      </c>
      <c r="AL440" s="102">
        <v>79.62</v>
      </c>
      <c r="AM440" s="101">
        <v>2974.11</v>
      </c>
      <c r="AN440" s="98">
        <v>9.9499999999999993</v>
      </c>
      <c r="AO440" s="102">
        <v>89.57</v>
      </c>
      <c r="AP440" s="101">
        <v>3117.59</v>
      </c>
      <c r="AQ440" s="102">
        <v>10.43</v>
      </c>
      <c r="AR440" s="100">
        <v>100</v>
      </c>
      <c r="AS440" s="99"/>
      <c r="AT440" s="99"/>
      <c r="AU440" s="100">
        <v>100</v>
      </c>
      <c r="AV440" s="99"/>
      <c r="AW440" s="99"/>
      <c r="AX440" s="100">
        <v>100</v>
      </c>
      <c r="AY440" s="99"/>
      <c r="AZ440" s="99"/>
      <c r="BA440" s="100">
        <v>100</v>
      </c>
      <c r="BB440" s="99"/>
      <c r="BC440" s="99"/>
      <c r="BD440" s="100">
        <v>100</v>
      </c>
      <c r="BE440" s="99"/>
      <c r="BF440" s="99"/>
      <c r="BG440" s="100">
        <v>100</v>
      </c>
      <c r="BH440" s="99"/>
      <c r="BI440" s="99"/>
      <c r="BJ440" s="100">
        <v>100</v>
      </c>
      <c r="BK440" s="99"/>
      <c r="BL440" s="99"/>
      <c r="BM440" s="100">
        <v>100</v>
      </c>
      <c r="BN440" s="99"/>
      <c r="BO440" s="99"/>
      <c r="BP440" s="100">
        <v>100</v>
      </c>
      <c r="BQ440" s="99"/>
      <c r="BR440" s="99"/>
      <c r="BS440" s="100">
        <v>100</v>
      </c>
      <c r="BT440" s="99"/>
      <c r="BU440" s="99"/>
      <c r="BV440" s="100">
        <v>100</v>
      </c>
      <c r="BW440" s="99"/>
      <c r="BX440" s="99"/>
      <c r="BY440" s="100">
        <v>100</v>
      </c>
      <c r="BZ440" s="99"/>
      <c r="CA440" s="99"/>
      <c r="CB440" s="100">
        <v>100</v>
      </c>
      <c r="CC440" s="99"/>
      <c r="CD440" s="99"/>
      <c r="CE440" s="989">
        <v>100</v>
      </c>
      <c r="CF440" s="406"/>
      <c r="CG440" s="406"/>
      <c r="CH440" s="407"/>
      <c r="CI440" s="406"/>
      <c r="CJ440" s="406"/>
      <c r="CK440" s="406"/>
      <c r="CL440" s="406"/>
      <c r="CM440" s="406"/>
      <c r="CN440" s="406"/>
      <c r="CO440" s="467"/>
      <c r="CP440" s="467"/>
      <c r="CQ440" s="406"/>
      <c r="CR440" s="410"/>
      <c r="CS440" s="407"/>
      <c r="CT440" s="407"/>
      <c r="CU440" s="406"/>
      <c r="CV440" s="406"/>
      <c r="CW440" s="407"/>
      <c r="CX440" s="467"/>
      <c r="CY440" s="467"/>
      <c r="CZ440" s="406"/>
      <c r="DA440" s="407"/>
      <c r="DB440" s="467"/>
      <c r="DC440" s="467"/>
      <c r="DD440" s="467"/>
      <c r="DE440" s="467"/>
      <c r="DF440" s="407"/>
    </row>
    <row r="441" spans="1:110" ht="8.4499999999999993" customHeight="1" x14ac:dyDescent="0.2">
      <c r="A441" s="130" t="s">
        <v>170</v>
      </c>
      <c r="B441" s="96">
        <v>56</v>
      </c>
      <c r="C441" s="82" t="s">
        <v>2734</v>
      </c>
      <c r="D441" s="104">
        <v>211</v>
      </c>
      <c r="E441" s="82" t="s">
        <v>2166</v>
      </c>
      <c r="F441" s="82" t="s">
        <v>2027</v>
      </c>
      <c r="G441" s="101">
        <v>6000</v>
      </c>
      <c r="H441" s="98">
        <v>7.0000000000000007E-2</v>
      </c>
      <c r="I441" s="99"/>
      <c r="J441" s="99"/>
      <c r="K441" s="99"/>
      <c r="L441" s="99"/>
      <c r="M441" s="99"/>
      <c r="N441" s="99"/>
      <c r="O441" s="100">
        <v>597</v>
      </c>
      <c r="P441" s="98">
        <v>9.9499999999999993</v>
      </c>
      <c r="Q441" s="98">
        <v>9.9499999999999993</v>
      </c>
      <c r="R441" s="100">
        <v>597</v>
      </c>
      <c r="S441" s="98">
        <v>9.9499999999999993</v>
      </c>
      <c r="T441" s="102">
        <v>19.899999999999999</v>
      </c>
      <c r="U441" s="100">
        <v>568.79999999999995</v>
      </c>
      <c r="V441" s="98">
        <v>9.48</v>
      </c>
      <c r="W441" s="102">
        <v>29.38</v>
      </c>
      <c r="X441" s="100">
        <v>625.79999999999995</v>
      </c>
      <c r="Y441" s="102">
        <v>10.43</v>
      </c>
      <c r="Z441" s="102">
        <v>39.81</v>
      </c>
      <c r="AA441" s="100">
        <v>568.79999999999995</v>
      </c>
      <c r="AB441" s="98">
        <v>9.48</v>
      </c>
      <c r="AC441" s="102">
        <v>49.29</v>
      </c>
      <c r="AD441" s="100">
        <v>568.79999999999995</v>
      </c>
      <c r="AE441" s="98">
        <v>9.48</v>
      </c>
      <c r="AF441" s="102">
        <v>58.77</v>
      </c>
      <c r="AG441" s="100">
        <v>654</v>
      </c>
      <c r="AH441" s="102">
        <v>10.9</v>
      </c>
      <c r="AI441" s="102">
        <v>69.67</v>
      </c>
      <c r="AJ441" s="100">
        <v>597</v>
      </c>
      <c r="AK441" s="98">
        <v>9.9499999999999993</v>
      </c>
      <c r="AL441" s="102">
        <v>79.62</v>
      </c>
      <c r="AM441" s="100">
        <v>597</v>
      </c>
      <c r="AN441" s="98">
        <v>9.9499999999999993</v>
      </c>
      <c r="AO441" s="102">
        <v>89.57</v>
      </c>
      <c r="AP441" s="100">
        <v>625.79999999999995</v>
      </c>
      <c r="AQ441" s="102">
        <v>10.43</v>
      </c>
      <c r="AR441" s="100">
        <v>100</v>
      </c>
      <c r="AS441" s="99"/>
      <c r="AT441" s="99"/>
      <c r="AU441" s="100">
        <v>100</v>
      </c>
      <c r="AV441" s="99"/>
      <c r="AW441" s="99"/>
      <c r="AX441" s="100">
        <v>100</v>
      </c>
      <c r="AY441" s="99"/>
      <c r="AZ441" s="99"/>
      <c r="BA441" s="100">
        <v>100</v>
      </c>
      <c r="BB441" s="99"/>
      <c r="BC441" s="99"/>
      <c r="BD441" s="100">
        <v>100</v>
      </c>
      <c r="BE441" s="99"/>
      <c r="BF441" s="99"/>
      <c r="BG441" s="100">
        <v>100</v>
      </c>
      <c r="BH441" s="99"/>
      <c r="BI441" s="99"/>
      <c r="BJ441" s="100">
        <v>100</v>
      </c>
      <c r="BK441" s="99"/>
      <c r="BL441" s="99"/>
      <c r="BM441" s="100">
        <v>100</v>
      </c>
      <c r="BN441" s="99"/>
      <c r="BO441" s="99"/>
      <c r="BP441" s="100">
        <v>100</v>
      </c>
      <c r="BQ441" s="99"/>
      <c r="BR441" s="99"/>
      <c r="BS441" s="100">
        <v>100</v>
      </c>
      <c r="BT441" s="99"/>
      <c r="BU441" s="99"/>
      <c r="BV441" s="100">
        <v>100</v>
      </c>
      <c r="BW441" s="99"/>
      <c r="BX441" s="99"/>
      <c r="BY441" s="100">
        <v>100</v>
      </c>
      <c r="BZ441" s="99"/>
      <c r="CA441" s="99"/>
      <c r="CB441" s="100">
        <v>100</v>
      </c>
      <c r="CC441" s="99"/>
      <c r="CD441" s="99"/>
      <c r="CE441" s="989">
        <v>100</v>
      </c>
      <c r="CF441" s="406"/>
      <c r="CG441" s="406"/>
      <c r="CH441" s="407"/>
      <c r="CI441" s="406"/>
      <c r="CJ441" s="406"/>
      <c r="CK441" s="406"/>
      <c r="CL441" s="406"/>
      <c r="CM441" s="406"/>
      <c r="CN441" s="406"/>
      <c r="CO441" s="467"/>
      <c r="CP441" s="467"/>
      <c r="CQ441" s="406"/>
      <c r="CR441" s="406"/>
      <c r="CS441" s="406"/>
      <c r="CT441" s="406"/>
      <c r="CU441" s="407"/>
      <c r="CV441" s="407"/>
      <c r="CW441" s="407"/>
      <c r="CX441" s="467"/>
      <c r="CY441" s="467"/>
      <c r="CZ441" s="406"/>
      <c r="DA441" s="407"/>
      <c r="DB441" s="467"/>
      <c r="DC441" s="467"/>
      <c r="DD441" s="467"/>
      <c r="DE441" s="467"/>
      <c r="DF441" s="407"/>
    </row>
    <row r="442" spans="1:110" ht="8.4499999999999993" customHeight="1" x14ac:dyDescent="0.2">
      <c r="A442" s="130" t="s">
        <v>171</v>
      </c>
      <c r="B442" s="96">
        <v>57</v>
      </c>
      <c r="C442" s="82" t="s">
        <v>2735</v>
      </c>
      <c r="D442" s="104">
        <v>211</v>
      </c>
      <c r="E442" s="82" t="s">
        <v>2166</v>
      </c>
      <c r="F442" s="82" t="s">
        <v>2027</v>
      </c>
      <c r="G442" s="100">
        <v>600</v>
      </c>
      <c r="H442" s="98">
        <v>0.01</v>
      </c>
      <c r="I442" s="99"/>
      <c r="J442" s="99"/>
      <c r="K442" s="99"/>
      <c r="L442" s="99"/>
      <c r="M442" s="99"/>
      <c r="N442" s="99"/>
      <c r="O442" s="102">
        <v>59.7</v>
      </c>
      <c r="P442" s="98">
        <v>9.9499999999999993</v>
      </c>
      <c r="Q442" s="98">
        <v>9.9499999999999993</v>
      </c>
      <c r="R442" s="102">
        <v>59.7</v>
      </c>
      <c r="S442" s="98">
        <v>9.9499999999999993</v>
      </c>
      <c r="T442" s="102">
        <v>19.899999999999999</v>
      </c>
      <c r="U442" s="102">
        <v>56.88</v>
      </c>
      <c r="V442" s="98">
        <v>9.48</v>
      </c>
      <c r="W442" s="102">
        <v>29.38</v>
      </c>
      <c r="X442" s="102">
        <v>62.58</v>
      </c>
      <c r="Y442" s="102">
        <v>10.43</v>
      </c>
      <c r="Z442" s="102">
        <v>39.81</v>
      </c>
      <c r="AA442" s="102">
        <v>56.88</v>
      </c>
      <c r="AB442" s="98">
        <v>9.48</v>
      </c>
      <c r="AC442" s="102">
        <v>49.29</v>
      </c>
      <c r="AD442" s="102">
        <v>56.88</v>
      </c>
      <c r="AE442" s="98">
        <v>9.48</v>
      </c>
      <c r="AF442" s="102">
        <v>58.77</v>
      </c>
      <c r="AG442" s="102">
        <v>65.400000000000006</v>
      </c>
      <c r="AH442" s="102">
        <v>10.9</v>
      </c>
      <c r="AI442" s="102">
        <v>69.67</v>
      </c>
      <c r="AJ442" s="102">
        <v>59.7</v>
      </c>
      <c r="AK442" s="98">
        <v>9.9499999999999993</v>
      </c>
      <c r="AL442" s="102">
        <v>79.62</v>
      </c>
      <c r="AM442" s="102">
        <v>59.7</v>
      </c>
      <c r="AN442" s="98">
        <v>9.9499999999999993</v>
      </c>
      <c r="AO442" s="102">
        <v>89.57</v>
      </c>
      <c r="AP442" s="102">
        <v>62.58</v>
      </c>
      <c r="AQ442" s="102">
        <v>10.43</v>
      </c>
      <c r="AR442" s="100">
        <v>100</v>
      </c>
      <c r="AS442" s="99"/>
      <c r="AT442" s="99"/>
      <c r="AU442" s="100">
        <v>100</v>
      </c>
      <c r="AV442" s="99"/>
      <c r="AW442" s="99"/>
      <c r="AX442" s="100">
        <v>100</v>
      </c>
      <c r="AY442" s="99"/>
      <c r="AZ442" s="99"/>
      <c r="BA442" s="100">
        <v>100</v>
      </c>
      <c r="BB442" s="99"/>
      <c r="BC442" s="99"/>
      <c r="BD442" s="100">
        <v>100</v>
      </c>
      <c r="BE442" s="99"/>
      <c r="BF442" s="99"/>
      <c r="BG442" s="100">
        <v>100</v>
      </c>
      <c r="BH442" s="99"/>
      <c r="BI442" s="99"/>
      <c r="BJ442" s="100">
        <v>100</v>
      </c>
      <c r="BK442" s="99"/>
      <c r="BL442" s="99"/>
      <c r="BM442" s="100">
        <v>100</v>
      </c>
      <c r="BN442" s="99"/>
      <c r="BO442" s="99"/>
      <c r="BP442" s="100">
        <v>100</v>
      </c>
      <c r="BQ442" s="99"/>
      <c r="BR442" s="99"/>
      <c r="BS442" s="100">
        <v>100</v>
      </c>
      <c r="BT442" s="99"/>
      <c r="BU442" s="99"/>
      <c r="BV442" s="100">
        <v>100</v>
      </c>
      <c r="BW442" s="99"/>
      <c r="BX442" s="99"/>
      <c r="BY442" s="100">
        <v>100</v>
      </c>
      <c r="BZ442" s="99"/>
      <c r="CA442" s="99"/>
      <c r="CB442" s="100">
        <v>100</v>
      </c>
      <c r="CC442" s="99"/>
      <c r="CD442" s="99"/>
      <c r="CE442" s="989">
        <v>100</v>
      </c>
      <c r="CF442" s="406"/>
      <c r="CG442" s="406"/>
      <c r="CH442" s="407"/>
      <c r="CI442" s="406"/>
      <c r="CJ442" s="406"/>
      <c r="CK442" s="406"/>
      <c r="CL442" s="406"/>
      <c r="CM442" s="406"/>
      <c r="CN442" s="406"/>
      <c r="CO442" s="467"/>
      <c r="CP442" s="467"/>
      <c r="CQ442" s="406"/>
      <c r="CR442" s="407"/>
      <c r="CS442" s="407"/>
      <c r="CT442" s="407"/>
      <c r="CU442" s="406"/>
      <c r="CV442" s="406"/>
      <c r="CW442" s="407"/>
      <c r="CX442" s="467"/>
      <c r="CY442" s="467"/>
      <c r="CZ442" s="406"/>
      <c r="DA442" s="407"/>
      <c r="DB442" s="467"/>
      <c r="DC442" s="467"/>
      <c r="DD442" s="467"/>
      <c r="DE442" s="467"/>
      <c r="DF442" s="407"/>
    </row>
    <row r="443" spans="1:110" ht="8.4499999999999993" customHeight="1" x14ac:dyDescent="0.2">
      <c r="A443" s="130" t="s">
        <v>172</v>
      </c>
      <c r="B443" s="96">
        <v>58</v>
      </c>
      <c r="C443" s="82" t="s">
        <v>2736</v>
      </c>
      <c r="D443" s="104">
        <v>380</v>
      </c>
      <c r="E443" s="82" t="s">
        <v>2166</v>
      </c>
      <c r="F443" s="82" t="s">
        <v>2008</v>
      </c>
      <c r="G443" s="100">
        <v>700</v>
      </c>
      <c r="H443" s="98">
        <v>0.01</v>
      </c>
      <c r="I443" s="99"/>
      <c r="J443" s="99"/>
      <c r="K443" s="99"/>
      <c r="L443" s="99"/>
      <c r="M443" s="99"/>
      <c r="N443" s="99"/>
      <c r="O443" s="102">
        <v>38.71</v>
      </c>
      <c r="P443" s="98">
        <v>5.53</v>
      </c>
      <c r="Q443" s="98">
        <v>5.53</v>
      </c>
      <c r="R443" s="102">
        <v>38.71</v>
      </c>
      <c r="S443" s="98">
        <v>5.53</v>
      </c>
      <c r="T443" s="102">
        <v>11.06</v>
      </c>
      <c r="U443" s="102">
        <v>36.82</v>
      </c>
      <c r="V443" s="98">
        <v>5.26</v>
      </c>
      <c r="W443" s="102">
        <v>16.32</v>
      </c>
      <c r="X443" s="102">
        <v>40.53</v>
      </c>
      <c r="Y443" s="98">
        <v>5.79</v>
      </c>
      <c r="Z443" s="102">
        <v>22.11</v>
      </c>
      <c r="AA443" s="102">
        <v>36.82</v>
      </c>
      <c r="AB443" s="98">
        <v>5.26</v>
      </c>
      <c r="AC443" s="102">
        <v>27.37</v>
      </c>
      <c r="AD443" s="102">
        <v>36.82</v>
      </c>
      <c r="AE443" s="98">
        <v>5.26</v>
      </c>
      <c r="AF443" s="102">
        <v>32.630000000000003</v>
      </c>
      <c r="AG443" s="102">
        <v>42.35</v>
      </c>
      <c r="AH443" s="98">
        <v>6.05</v>
      </c>
      <c r="AI443" s="102">
        <v>38.68</v>
      </c>
      <c r="AJ443" s="102">
        <v>38.71</v>
      </c>
      <c r="AK443" s="98">
        <v>5.53</v>
      </c>
      <c r="AL443" s="102">
        <v>44.21</v>
      </c>
      <c r="AM443" s="102">
        <v>38.71</v>
      </c>
      <c r="AN443" s="98">
        <v>5.53</v>
      </c>
      <c r="AO443" s="102">
        <v>49.74</v>
      </c>
      <c r="AP443" s="102">
        <v>40.53</v>
      </c>
      <c r="AQ443" s="98">
        <v>5.79</v>
      </c>
      <c r="AR443" s="102">
        <v>55.53</v>
      </c>
      <c r="AS443" s="102">
        <v>40.53</v>
      </c>
      <c r="AT443" s="98">
        <v>5.79</v>
      </c>
      <c r="AU443" s="102">
        <v>61.32</v>
      </c>
      <c r="AV443" s="102">
        <v>40.53</v>
      </c>
      <c r="AW443" s="98">
        <v>5.79</v>
      </c>
      <c r="AX443" s="102">
        <v>67.11</v>
      </c>
      <c r="AY443" s="102">
        <v>38.71</v>
      </c>
      <c r="AZ443" s="98">
        <v>5.53</v>
      </c>
      <c r="BA443" s="102">
        <v>72.64</v>
      </c>
      <c r="BB443" s="102">
        <v>36.82</v>
      </c>
      <c r="BC443" s="98">
        <v>5.26</v>
      </c>
      <c r="BD443" s="102">
        <v>77.900000000000006</v>
      </c>
      <c r="BE443" s="102">
        <v>36.82</v>
      </c>
      <c r="BF443" s="98">
        <v>5.26</v>
      </c>
      <c r="BG443" s="102">
        <v>83.16</v>
      </c>
      <c r="BH443" s="102">
        <v>42.35</v>
      </c>
      <c r="BI443" s="98">
        <v>6.05</v>
      </c>
      <c r="BJ443" s="102">
        <v>89.21</v>
      </c>
      <c r="BK443" s="102">
        <v>38.71</v>
      </c>
      <c r="BL443" s="98">
        <v>5.53</v>
      </c>
      <c r="BM443" s="102">
        <v>94.74</v>
      </c>
      <c r="BN443" s="102">
        <v>36.82</v>
      </c>
      <c r="BO443" s="98">
        <v>5.26</v>
      </c>
      <c r="BP443" s="100">
        <v>100</v>
      </c>
      <c r="BQ443" s="99"/>
      <c r="BR443" s="99"/>
      <c r="BS443" s="100">
        <v>100</v>
      </c>
      <c r="BT443" s="99"/>
      <c r="BU443" s="99"/>
      <c r="BV443" s="100">
        <v>100</v>
      </c>
      <c r="BW443" s="99"/>
      <c r="BX443" s="99"/>
      <c r="BY443" s="100">
        <v>100</v>
      </c>
      <c r="BZ443" s="99"/>
      <c r="CA443" s="99"/>
      <c r="CB443" s="100">
        <v>100</v>
      </c>
      <c r="CC443" s="99"/>
      <c r="CD443" s="99"/>
      <c r="CE443" s="989">
        <v>100</v>
      </c>
      <c r="CF443" s="406"/>
      <c r="CG443" s="406"/>
      <c r="CH443" s="407"/>
      <c r="CI443" s="406"/>
      <c r="CJ443" s="406"/>
      <c r="CK443" s="406"/>
      <c r="CL443" s="406"/>
      <c r="CM443" s="406"/>
      <c r="CN443" s="406"/>
      <c r="CO443" s="467"/>
      <c r="CP443" s="467"/>
      <c r="CQ443" s="406"/>
      <c r="CR443" s="410"/>
      <c r="CS443" s="407"/>
      <c r="CT443" s="407"/>
      <c r="CU443" s="406"/>
      <c r="CV443" s="406"/>
      <c r="CW443" s="407"/>
      <c r="CX443" s="467"/>
      <c r="CY443" s="467"/>
      <c r="CZ443" s="406"/>
      <c r="DA443" s="407"/>
      <c r="DB443" s="467"/>
      <c r="DC443" s="467"/>
      <c r="DD443" s="467"/>
      <c r="DE443" s="467"/>
      <c r="DF443" s="407"/>
    </row>
    <row r="444" spans="1:110" ht="8.4499999999999993" customHeight="1" x14ac:dyDescent="0.2">
      <c r="A444" s="130" t="s">
        <v>173</v>
      </c>
      <c r="B444" s="96">
        <v>59</v>
      </c>
      <c r="C444" s="82" t="s">
        <v>2737</v>
      </c>
      <c r="D444" s="104">
        <v>233</v>
      </c>
      <c r="E444" s="82" t="s">
        <v>1955</v>
      </c>
      <c r="F444" s="82" t="s">
        <v>2008</v>
      </c>
      <c r="G444" s="101">
        <v>6000</v>
      </c>
      <c r="H444" s="98">
        <v>7.0000000000000007E-2</v>
      </c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100">
        <v>540.6</v>
      </c>
      <c r="AK444" s="98">
        <v>9.01</v>
      </c>
      <c r="AL444" s="98">
        <v>9.01</v>
      </c>
      <c r="AM444" s="100">
        <v>540.6</v>
      </c>
      <c r="AN444" s="98">
        <v>9.01</v>
      </c>
      <c r="AO444" s="102">
        <v>18.02</v>
      </c>
      <c r="AP444" s="100">
        <v>566.4</v>
      </c>
      <c r="AQ444" s="98">
        <v>9.44</v>
      </c>
      <c r="AR444" s="102">
        <v>27.46</v>
      </c>
      <c r="AS444" s="100">
        <v>567</v>
      </c>
      <c r="AT444" s="98">
        <v>9.4499999999999993</v>
      </c>
      <c r="AU444" s="102">
        <v>36.909999999999997</v>
      </c>
      <c r="AV444" s="100">
        <v>567</v>
      </c>
      <c r="AW444" s="98">
        <v>9.4499999999999993</v>
      </c>
      <c r="AX444" s="102">
        <v>46.36</v>
      </c>
      <c r="AY444" s="100">
        <v>540.6</v>
      </c>
      <c r="AZ444" s="98">
        <v>9.01</v>
      </c>
      <c r="BA444" s="102">
        <v>55.37</v>
      </c>
      <c r="BB444" s="100">
        <v>514.79999999999995</v>
      </c>
      <c r="BC444" s="98">
        <v>8.58</v>
      </c>
      <c r="BD444" s="102">
        <v>63.95</v>
      </c>
      <c r="BE444" s="100">
        <v>514.79999999999995</v>
      </c>
      <c r="BF444" s="98">
        <v>8.58</v>
      </c>
      <c r="BG444" s="102">
        <v>72.53</v>
      </c>
      <c r="BH444" s="100">
        <v>592.79999999999995</v>
      </c>
      <c r="BI444" s="98">
        <v>9.8800000000000008</v>
      </c>
      <c r="BJ444" s="102">
        <v>82.41</v>
      </c>
      <c r="BK444" s="100">
        <v>540.6</v>
      </c>
      <c r="BL444" s="98">
        <v>9.01</v>
      </c>
      <c r="BM444" s="102">
        <v>91.42</v>
      </c>
      <c r="BN444" s="100">
        <v>514.79999999999995</v>
      </c>
      <c r="BO444" s="98">
        <v>8.58</v>
      </c>
      <c r="BP444" s="100">
        <v>100</v>
      </c>
      <c r="BQ444" s="99"/>
      <c r="BR444" s="99"/>
      <c r="BS444" s="100">
        <v>100</v>
      </c>
      <c r="BT444" s="99"/>
      <c r="BU444" s="99"/>
      <c r="BV444" s="100">
        <v>100</v>
      </c>
      <c r="BW444" s="99"/>
      <c r="BX444" s="99"/>
      <c r="BY444" s="100">
        <v>100</v>
      </c>
      <c r="BZ444" s="99"/>
      <c r="CA444" s="99"/>
      <c r="CB444" s="100">
        <v>100</v>
      </c>
      <c r="CC444" s="99"/>
      <c r="CD444" s="99"/>
      <c r="CE444" s="989">
        <v>100</v>
      </c>
      <c r="CF444" s="407"/>
      <c r="CG444" s="408"/>
      <c r="CH444" s="407"/>
      <c r="CI444" s="406"/>
      <c r="CJ444" s="406"/>
      <c r="CK444" s="406"/>
      <c r="CL444" s="406"/>
      <c r="CM444" s="406"/>
      <c r="CN444" s="406"/>
      <c r="CO444" s="467"/>
      <c r="CP444" s="467"/>
      <c r="CQ444" s="406"/>
      <c r="CR444" s="407"/>
      <c r="CS444" s="407"/>
      <c r="CT444" s="407"/>
      <c r="CU444" s="406"/>
      <c r="CV444" s="406"/>
      <c r="CW444" s="407"/>
      <c r="CX444" s="467"/>
      <c r="CY444" s="467"/>
      <c r="CZ444" s="406"/>
      <c r="DA444" s="407"/>
      <c r="DB444" s="467"/>
      <c r="DC444" s="467"/>
      <c r="DD444" s="467"/>
      <c r="DE444" s="467"/>
      <c r="DF444" s="407"/>
    </row>
    <row r="445" spans="1:110" ht="8.4499999999999993" customHeight="1" x14ac:dyDescent="0.2">
      <c r="A445" s="130" t="s">
        <v>175</v>
      </c>
      <c r="B445" s="96">
        <v>60</v>
      </c>
      <c r="C445" s="82" t="s">
        <v>2738</v>
      </c>
      <c r="D445" s="104">
        <v>233</v>
      </c>
      <c r="E445" s="82" t="s">
        <v>1955</v>
      </c>
      <c r="F445" s="82" t="s">
        <v>2008</v>
      </c>
      <c r="G445" s="101">
        <v>1780.7</v>
      </c>
      <c r="H445" s="98">
        <v>0.02</v>
      </c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100">
        <v>160.44</v>
      </c>
      <c r="AK445" s="98">
        <v>9.01</v>
      </c>
      <c r="AL445" s="98">
        <v>9.01</v>
      </c>
      <c r="AM445" s="100">
        <v>160.44</v>
      </c>
      <c r="AN445" s="98">
        <v>9.01</v>
      </c>
      <c r="AO445" s="102">
        <v>18.02</v>
      </c>
      <c r="AP445" s="100">
        <v>168.1</v>
      </c>
      <c r="AQ445" s="98">
        <v>9.44</v>
      </c>
      <c r="AR445" s="102">
        <v>27.46</v>
      </c>
      <c r="AS445" s="100">
        <v>168.28</v>
      </c>
      <c r="AT445" s="98">
        <v>9.4499999999999993</v>
      </c>
      <c r="AU445" s="102">
        <v>36.909999999999997</v>
      </c>
      <c r="AV445" s="100">
        <v>168.28</v>
      </c>
      <c r="AW445" s="98">
        <v>9.4499999999999993</v>
      </c>
      <c r="AX445" s="102">
        <v>46.36</v>
      </c>
      <c r="AY445" s="100">
        <v>160.44</v>
      </c>
      <c r="AZ445" s="98">
        <v>9.01</v>
      </c>
      <c r="BA445" s="102">
        <v>55.37</v>
      </c>
      <c r="BB445" s="100">
        <v>152.78</v>
      </c>
      <c r="BC445" s="98">
        <v>8.58</v>
      </c>
      <c r="BD445" s="102">
        <v>63.95</v>
      </c>
      <c r="BE445" s="100">
        <v>152.78</v>
      </c>
      <c r="BF445" s="98">
        <v>8.58</v>
      </c>
      <c r="BG445" s="102">
        <v>72.53</v>
      </c>
      <c r="BH445" s="100">
        <v>175.93</v>
      </c>
      <c r="BI445" s="98">
        <v>9.8800000000000008</v>
      </c>
      <c r="BJ445" s="102">
        <v>82.41</v>
      </c>
      <c r="BK445" s="100">
        <v>160.44</v>
      </c>
      <c r="BL445" s="98">
        <v>9.01</v>
      </c>
      <c r="BM445" s="102">
        <v>91.42</v>
      </c>
      <c r="BN445" s="100">
        <v>152.78</v>
      </c>
      <c r="BO445" s="98">
        <v>8.58</v>
      </c>
      <c r="BP445" s="100">
        <v>100</v>
      </c>
      <c r="BQ445" s="99"/>
      <c r="BR445" s="99"/>
      <c r="BS445" s="100">
        <v>100</v>
      </c>
      <c r="BT445" s="99"/>
      <c r="BU445" s="99"/>
      <c r="BV445" s="100">
        <v>100</v>
      </c>
      <c r="BW445" s="99"/>
      <c r="BX445" s="99"/>
      <c r="BY445" s="100">
        <v>100</v>
      </c>
      <c r="BZ445" s="99"/>
      <c r="CA445" s="99"/>
      <c r="CB445" s="100">
        <v>100</v>
      </c>
      <c r="CC445" s="99"/>
      <c r="CD445" s="99"/>
      <c r="CE445" s="989">
        <v>100</v>
      </c>
      <c r="CF445" s="409"/>
      <c r="CG445" s="408"/>
      <c r="CH445" s="407"/>
      <c r="CI445" s="406"/>
      <c r="CJ445" s="406"/>
      <c r="CK445" s="406"/>
      <c r="CL445" s="406"/>
      <c r="CM445" s="406"/>
      <c r="CN445" s="406"/>
      <c r="CO445" s="467"/>
      <c r="CP445" s="467"/>
      <c r="CQ445" s="406"/>
      <c r="CR445" s="407"/>
      <c r="CS445" s="407"/>
      <c r="CT445" s="407"/>
      <c r="CU445" s="406"/>
      <c r="CV445" s="406"/>
      <c r="CW445" s="407"/>
      <c r="CX445" s="467"/>
      <c r="CY445" s="467"/>
      <c r="CZ445" s="406"/>
      <c r="DA445" s="407"/>
      <c r="DB445" s="467"/>
      <c r="DC445" s="467"/>
      <c r="DD445" s="467"/>
      <c r="DE445" s="467"/>
      <c r="DF445" s="407"/>
    </row>
    <row r="446" spans="1:110" ht="8.4499999999999993" customHeight="1" x14ac:dyDescent="0.2">
      <c r="A446" s="130" t="s">
        <v>176</v>
      </c>
      <c r="B446" s="96">
        <v>61</v>
      </c>
      <c r="C446" s="82" t="s">
        <v>2739</v>
      </c>
      <c r="D446" s="104">
        <v>211</v>
      </c>
      <c r="E446" s="82" t="s">
        <v>2166</v>
      </c>
      <c r="F446" s="82" t="s">
        <v>2027</v>
      </c>
      <c r="G446" s="100">
        <v>350</v>
      </c>
      <c r="H446" s="98">
        <v>0</v>
      </c>
      <c r="I446" s="99"/>
      <c r="J446" s="99"/>
      <c r="K446" s="99"/>
      <c r="L446" s="99"/>
      <c r="M446" s="99"/>
      <c r="N446" s="99"/>
      <c r="O446" s="102">
        <v>34.83</v>
      </c>
      <c r="P446" s="98">
        <v>9.9499999999999993</v>
      </c>
      <c r="Q446" s="98">
        <v>9.9499999999999993</v>
      </c>
      <c r="R446" s="102">
        <v>34.83</v>
      </c>
      <c r="S446" s="98">
        <v>9.9499999999999993</v>
      </c>
      <c r="T446" s="102">
        <v>19.899999999999999</v>
      </c>
      <c r="U446" s="102">
        <v>33.18</v>
      </c>
      <c r="V446" s="98">
        <v>9.48</v>
      </c>
      <c r="W446" s="102">
        <v>29.38</v>
      </c>
      <c r="X446" s="102">
        <v>36.51</v>
      </c>
      <c r="Y446" s="102">
        <v>10.43</v>
      </c>
      <c r="Z446" s="102">
        <v>39.81</v>
      </c>
      <c r="AA446" s="102">
        <v>33.18</v>
      </c>
      <c r="AB446" s="98">
        <v>9.48</v>
      </c>
      <c r="AC446" s="102">
        <v>49.29</v>
      </c>
      <c r="AD446" s="102">
        <v>33.18</v>
      </c>
      <c r="AE446" s="98">
        <v>9.48</v>
      </c>
      <c r="AF446" s="102">
        <v>58.77</v>
      </c>
      <c r="AG446" s="102">
        <v>38.15</v>
      </c>
      <c r="AH446" s="102">
        <v>10.9</v>
      </c>
      <c r="AI446" s="102">
        <v>69.67</v>
      </c>
      <c r="AJ446" s="102">
        <v>34.83</v>
      </c>
      <c r="AK446" s="98">
        <v>9.9499999999999993</v>
      </c>
      <c r="AL446" s="102">
        <v>79.62</v>
      </c>
      <c r="AM446" s="102">
        <v>34.83</v>
      </c>
      <c r="AN446" s="98">
        <v>9.9499999999999993</v>
      </c>
      <c r="AO446" s="102">
        <v>89.57</v>
      </c>
      <c r="AP446" s="102">
        <v>36.51</v>
      </c>
      <c r="AQ446" s="102">
        <v>10.43</v>
      </c>
      <c r="AR446" s="100">
        <v>100</v>
      </c>
      <c r="AS446" s="99"/>
      <c r="AT446" s="99"/>
      <c r="AU446" s="100">
        <v>100</v>
      </c>
      <c r="AV446" s="99"/>
      <c r="AW446" s="99"/>
      <c r="AX446" s="100">
        <v>100</v>
      </c>
      <c r="AY446" s="99"/>
      <c r="AZ446" s="99"/>
      <c r="BA446" s="100">
        <v>100</v>
      </c>
      <c r="BB446" s="99"/>
      <c r="BC446" s="99"/>
      <c r="BD446" s="100">
        <v>100</v>
      </c>
      <c r="BE446" s="99"/>
      <c r="BF446" s="99"/>
      <c r="BG446" s="100">
        <v>100</v>
      </c>
      <c r="BH446" s="99"/>
      <c r="BI446" s="99"/>
      <c r="BJ446" s="100">
        <v>100</v>
      </c>
      <c r="BK446" s="99"/>
      <c r="BL446" s="99"/>
      <c r="BM446" s="100">
        <v>100</v>
      </c>
      <c r="BN446" s="99"/>
      <c r="BO446" s="99"/>
      <c r="BP446" s="100">
        <v>100</v>
      </c>
      <c r="BQ446" s="99"/>
      <c r="BR446" s="99"/>
      <c r="BS446" s="100">
        <v>100</v>
      </c>
      <c r="BT446" s="99"/>
      <c r="BU446" s="99"/>
      <c r="BV446" s="100">
        <v>100</v>
      </c>
      <c r="BW446" s="99"/>
      <c r="BX446" s="99"/>
      <c r="BY446" s="100">
        <v>100</v>
      </c>
      <c r="BZ446" s="99"/>
      <c r="CA446" s="99"/>
      <c r="CB446" s="100">
        <v>100</v>
      </c>
      <c r="CC446" s="99"/>
      <c r="CD446" s="99"/>
      <c r="CE446" s="989">
        <v>100</v>
      </c>
      <c r="CF446" s="406"/>
      <c r="CG446" s="406"/>
      <c r="CH446" s="407"/>
      <c r="CI446" s="406"/>
      <c r="CJ446" s="406"/>
      <c r="CK446" s="406"/>
      <c r="CL446" s="406"/>
      <c r="CM446" s="406"/>
      <c r="CN446" s="406"/>
      <c r="CO446" s="473"/>
      <c r="CP446" s="467"/>
      <c r="CQ446" s="409"/>
      <c r="CR446" s="478"/>
      <c r="CS446" s="409"/>
      <c r="CT446" s="409"/>
      <c r="CU446" s="478"/>
      <c r="CV446" s="409"/>
      <c r="CW446" s="407"/>
      <c r="CX446" s="467"/>
      <c r="CY446" s="467"/>
      <c r="CZ446" s="406"/>
      <c r="DA446" s="407"/>
      <c r="DB446" s="467"/>
      <c r="DC446" s="467"/>
      <c r="DD446" s="467"/>
      <c r="DE446" s="467"/>
      <c r="DF446" s="407"/>
    </row>
    <row r="447" spans="1:110" ht="8.4499999999999993" customHeight="1" x14ac:dyDescent="0.2">
      <c r="A447" s="130" t="s">
        <v>177</v>
      </c>
      <c r="B447" s="96">
        <v>62</v>
      </c>
      <c r="C447" s="82" t="s">
        <v>2740</v>
      </c>
      <c r="D447" s="96">
        <v>29</v>
      </c>
      <c r="E447" s="82" t="s">
        <v>2180</v>
      </c>
      <c r="F447" s="82" t="s">
        <v>2741</v>
      </c>
      <c r="G447" s="97">
        <v>66000</v>
      </c>
      <c r="H447" s="98">
        <v>0.75</v>
      </c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7">
        <v>47790.6</v>
      </c>
      <c r="AN447" s="102">
        <v>72.41</v>
      </c>
      <c r="AO447" s="102">
        <v>72.41</v>
      </c>
      <c r="AP447" s="97">
        <v>18209.400000000001</v>
      </c>
      <c r="AQ447" s="102">
        <v>27.59</v>
      </c>
      <c r="AR447" s="100">
        <v>100</v>
      </c>
      <c r="AS447" s="99"/>
      <c r="AT447" s="99"/>
      <c r="AU447" s="100">
        <v>100</v>
      </c>
      <c r="AV447" s="99"/>
      <c r="AW447" s="99"/>
      <c r="AX447" s="100">
        <v>100</v>
      </c>
      <c r="AY447" s="99"/>
      <c r="AZ447" s="99"/>
      <c r="BA447" s="100">
        <v>100</v>
      </c>
      <c r="BB447" s="99"/>
      <c r="BC447" s="99"/>
      <c r="BD447" s="100">
        <v>100</v>
      </c>
      <c r="BE447" s="99"/>
      <c r="BF447" s="99"/>
      <c r="BG447" s="100">
        <v>100</v>
      </c>
      <c r="BH447" s="99"/>
      <c r="BI447" s="99"/>
      <c r="BJ447" s="100">
        <v>100</v>
      </c>
      <c r="BK447" s="99"/>
      <c r="BL447" s="99"/>
      <c r="BM447" s="100">
        <v>100</v>
      </c>
      <c r="BN447" s="99"/>
      <c r="BO447" s="99"/>
      <c r="BP447" s="100">
        <v>100</v>
      </c>
      <c r="BQ447" s="99"/>
      <c r="BR447" s="99"/>
      <c r="BS447" s="100">
        <v>100</v>
      </c>
      <c r="BT447" s="99"/>
      <c r="BU447" s="99"/>
      <c r="BV447" s="100">
        <v>100</v>
      </c>
      <c r="BW447" s="99"/>
      <c r="BX447" s="99"/>
      <c r="BY447" s="100">
        <v>100</v>
      </c>
      <c r="BZ447" s="99"/>
      <c r="CA447" s="99"/>
      <c r="CB447" s="100">
        <v>100</v>
      </c>
      <c r="CC447" s="99"/>
      <c r="CD447" s="99"/>
      <c r="CE447" s="989">
        <v>100</v>
      </c>
      <c r="CF447" s="406"/>
      <c r="CG447" s="406"/>
      <c r="CH447" s="407"/>
      <c r="CI447" s="406"/>
      <c r="CJ447" s="406"/>
      <c r="CK447" s="406"/>
      <c r="CL447" s="406"/>
      <c r="CM447" s="406"/>
      <c r="CN447" s="406"/>
      <c r="CO447" s="467"/>
      <c r="CP447" s="467"/>
      <c r="CQ447" s="406"/>
      <c r="CR447" s="410"/>
      <c r="CS447" s="409"/>
      <c r="CT447" s="409"/>
      <c r="CU447" s="410"/>
      <c r="CV447" s="409"/>
      <c r="CW447" s="407"/>
      <c r="CX447" s="467"/>
      <c r="CY447" s="467"/>
      <c r="CZ447" s="406"/>
      <c r="DA447" s="407"/>
      <c r="DB447" s="467"/>
      <c r="DC447" s="467"/>
      <c r="DD447" s="467"/>
      <c r="DE447" s="467"/>
      <c r="DF447" s="407"/>
    </row>
    <row r="448" spans="1:110" ht="8.4499999999999993" customHeight="1" x14ac:dyDescent="0.2">
      <c r="A448" s="130" t="s">
        <v>178</v>
      </c>
      <c r="B448" s="96">
        <v>63</v>
      </c>
      <c r="C448" s="82" t="s">
        <v>2742</v>
      </c>
      <c r="D448" s="96">
        <v>21</v>
      </c>
      <c r="E448" s="82" t="s">
        <v>2165</v>
      </c>
      <c r="F448" s="82" t="s">
        <v>2016</v>
      </c>
      <c r="G448" s="97">
        <v>19800</v>
      </c>
      <c r="H448" s="98">
        <v>0.23</v>
      </c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7">
        <v>19800</v>
      </c>
      <c r="AW448" s="100">
        <v>100</v>
      </c>
      <c r="AX448" s="100">
        <v>100</v>
      </c>
      <c r="AY448" s="99"/>
      <c r="AZ448" s="99"/>
      <c r="BA448" s="100">
        <v>100</v>
      </c>
      <c r="BB448" s="99"/>
      <c r="BC448" s="99"/>
      <c r="BD448" s="100">
        <v>100</v>
      </c>
      <c r="BE448" s="99"/>
      <c r="BF448" s="99"/>
      <c r="BG448" s="100">
        <v>100</v>
      </c>
      <c r="BH448" s="99"/>
      <c r="BI448" s="99"/>
      <c r="BJ448" s="100">
        <v>100</v>
      </c>
      <c r="BK448" s="99"/>
      <c r="BL448" s="99"/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100">
        <v>100</v>
      </c>
      <c r="BW448" s="99"/>
      <c r="BX448" s="99"/>
      <c r="BY448" s="100">
        <v>100</v>
      </c>
      <c r="BZ448" s="99"/>
      <c r="CA448" s="99"/>
      <c r="CB448" s="100">
        <v>100</v>
      </c>
      <c r="CC448" s="99"/>
      <c r="CD448" s="99"/>
      <c r="CE448" s="989">
        <v>100</v>
      </c>
      <c r="CF448" s="406"/>
      <c r="CG448" s="406"/>
      <c r="CH448" s="407"/>
      <c r="CI448" s="406"/>
      <c r="CJ448" s="406"/>
      <c r="CK448" s="406"/>
      <c r="CL448" s="406"/>
      <c r="CM448" s="406"/>
      <c r="CN448" s="406"/>
      <c r="CO448" s="467"/>
      <c r="CP448" s="467"/>
      <c r="CQ448" s="406"/>
      <c r="CR448" s="410"/>
      <c r="CS448" s="407"/>
      <c r="CT448" s="407"/>
      <c r="CU448" s="406"/>
      <c r="CV448" s="406"/>
      <c r="CW448" s="407"/>
      <c r="CX448" s="467"/>
      <c r="CY448" s="467"/>
      <c r="CZ448" s="406"/>
      <c r="DA448" s="407"/>
      <c r="DB448" s="467"/>
      <c r="DC448" s="467"/>
      <c r="DD448" s="467"/>
      <c r="DE448" s="467"/>
      <c r="DF448" s="407"/>
    </row>
    <row r="449" spans="1:110" ht="8.4499999999999993" customHeight="1" x14ac:dyDescent="0.2">
      <c r="A449" s="130" t="s">
        <v>557</v>
      </c>
      <c r="B449" s="88">
        <v>64</v>
      </c>
      <c r="C449" s="87" t="s">
        <v>2743</v>
      </c>
      <c r="D449" s="103">
        <v>382</v>
      </c>
      <c r="E449" s="87" t="s">
        <v>1950</v>
      </c>
      <c r="F449" s="87" t="s">
        <v>2026</v>
      </c>
      <c r="G449" s="89">
        <v>26659.67</v>
      </c>
      <c r="H449" s="90">
        <v>0.3</v>
      </c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3">
        <v>181.44</v>
      </c>
      <c r="Y449" s="90">
        <v>0.69</v>
      </c>
      <c r="Z449" s="90">
        <v>0.69</v>
      </c>
      <c r="AA449" s="93">
        <v>165.06</v>
      </c>
      <c r="AB449" s="90">
        <v>0.63</v>
      </c>
      <c r="AC449" s="90">
        <v>1.31</v>
      </c>
      <c r="AD449" s="93">
        <v>165.06</v>
      </c>
      <c r="AE449" s="90">
        <v>0.63</v>
      </c>
      <c r="AF449" s="90">
        <v>1.94</v>
      </c>
      <c r="AG449" s="93">
        <v>189.32</v>
      </c>
      <c r="AH449" s="90">
        <v>0.72</v>
      </c>
      <c r="AI449" s="90">
        <v>2.66</v>
      </c>
      <c r="AJ449" s="93">
        <v>173.25</v>
      </c>
      <c r="AK449" s="90">
        <v>0.66</v>
      </c>
      <c r="AL449" s="90">
        <v>3.31</v>
      </c>
      <c r="AM449" s="92">
        <v>6909.39</v>
      </c>
      <c r="AN449" s="91">
        <v>26.13</v>
      </c>
      <c r="AO449" s="91">
        <v>29.44</v>
      </c>
      <c r="AP449" s="92">
        <v>3805.94</v>
      </c>
      <c r="AQ449" s="91">
        <v>14.34</v>
      </c>
      <c r="AR449" s="91">
        <v>43.78</v>
      </c>
      <c r="AS449" s="93">
        <v>505.94</v>
      </c>
      <c r="AT449" s="90">
        <v>1.83</v>
      </c>
      <c r="AU449" s="91">
        <v>45.61</v>
      </c>
      <c r="AV449" s="93">
        <v>505.63</v>
      </c>
      <c r="AW449" s="90">
        <v>1.83</v>
      </c>
      <c r="AX449" s="91">
        <v>47.44</v>
      </c>
      <c r="AY449" s="93">
        <v>482.9</v>
      </c>
      <c r="AZ449" s="90">
        <v>1.75</v>
      </c>
      <c r="BA449" s="91">
        <v>49.19</v>
      </c>
      <c r="BB449" s="93">
        <v>460.24</v>
      </c>
      <c r="BC449" s="90">
        <v>1.66</v>
      </c>
      <c r="BD449" s="91">
        <v>50.85</v>
      </c>
      <c r="BE449" s="93">
        <v>460.24</v>
      </c>
      <c r="BF449" s="90">
        <v>1.66</v>
      </c>
      <c r="BG449" s="91">
        <v>52.52</v>
      </c>
      <c r="BH449" s="93">
        <v>528.66999999999996</v>
      </c>
      <c r="BI449" s="90">
        <v>1.91</v>
      </c>
      <c r="BJ449" s="91">
        <v>54.43</v>
      </c>
      <c r="BK449" s="92">
        <v>6982.9</v>
      </c>
      <c r="BL449" s="91">
        <v>26.39</v>
      </c>
      <c r="BM449" s="91">
        <v>80.81</v>
      </c>
      <c r="BN449" s="93">
        <v>460.24</v>
      </c>
      <c r="BO449" s="90">
        <v>1.66</v>
      </c>
      <c r="BP449" s="91">
        <v>82.48</v>
      </c>
      <c r="BQ449" s="92">
        <v>3828.67</v>
      </c>
      <c r="BR449" s="91">
        <v>14.42</v>
      </c>
      <c r="BS449" s="91">
        <v>96.9</v>
      </c>
      <c r="BT449" s="93">
        <v>460.24</v>
      </c>
      <c r="BU449" s="90">
        <v>1.66</v>
      </c>
      <c r="BV449" s="91">
        <v>98.56</v>
      </c>
      <c r="BW449" s="93">
        <v>394.54</v>
      </c>
      <c r="BX449" s="90">
        <v>1.44</v>
      </c>
      <c r="BY449" s="93">
        <v>100</v>
      </c>
      <c r="BZ449" s="94"/>
      <c r="CA449" s="94"/>
      <c r="CB449" s="93">
        <v>100</v>
      </c>
      <c r="CC449" s="94"/>
      <c r="CD449" s="94"/>
      <c r="CE449" s="988">
        <v>100</v>
      </c>
      <c r="CF449" s="460"/>
      <c r="CG449" s="460"/>
      <c r="CH449" s="405"/>
      <c r="CI449" s="460"/>
      <c r="CJ449" s="460"/>
      <c r="CK449" s="460"/>
      <c r="CL449" s="460"/>
      <c r="CM449" s="460"/>
      <c r="CN449" s="460"/>
      <c r="CO449" s="473"/>
      <c r="CP449" s="467"/>
      <c r="CQ449" s="409"/>
      <c r="CR449" s="410"/>
      <c r="CS449" s="409"/>
      <c r="CT449" s="409"/>
      <c r="CU449" s="410"/>
      <c r="CV449" s="409"/>
      <c r="CW449" s="407"/>
      <c r="CX449" s="467"/>
      <c r="CY449" s="467"/>
      <c r="CZ449" s="406"/>
      <c r="DA449" s="407"/>
      <c r="DB449" s="467"/>
      <c r="DC449" s="467"/>
      <c r="DD449" s="467"/>
      <c r="DE449" s="467"/>
      <c r="DF449" s="407"/>
    </row>
    <row r="450" spans="1:110" ht="8.4499999999999993" customHeight="1" x14ac:dyDescent="0.2">
      <c r="A450" s="130" t="s">
        <v>559</v>
      </c>
      <c r="B450" s="96">
        <v>65</v>
      </c>
      <c r="C450" s="82" t="s">
        <v>2744</v>
      </c>
      <c r="D450" s="104">
        <v>265</v>
      </c>
      <c r="E450" s="82" t="s">
        <v>2745</v>
      </c>
      <c r="F450" s="82" t="s">
        <v>2621</v>
      </c>
      <c r="G450" s="101">
        <v>2536.21</v>
      </c>
      <c r="H450" s="98">
        <v>0.03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100">
        <v>153.19</v>
      </c>
      <c r="AN450" s="98">
        <v>6.04</v>
      </c>
      <c r="AO450" s="98">
        <v>6.04</v>
      </c>
      <c r="AP450" s="100">
        <v>210.51</v>
      </c>
      <c r="AQ450" s="98">
        <v>8.3000000000000007</v>
      </c>
      <c r="AR450" s="102">
        <v>14.34</v>
      </c>
      <c r="AS450" s="100">
        <v>210.51</v>
      </c>
      <c r="AT450" s="98">
        <v>8.3000000000000007</v>
      </c>
      <c r="AU450" s="102">
        <v>22.64</v>
      </c>
      <c r="AV450" s="100">
        <v>210.51</v>
      </c>
      <c r="AW450" s="98">
        <v>8.3000000000000007</v>
      </c>
      <c r="AX450" s="102">
        <v>30.94</v>
      </c>
      <c r="AY450" s="100">
        <v>200.87</v>
      </c>
      <c r="AZ450" s="98">
        <v>7.92</v>
      </c>
      <c r="BA450" s="102">
        <v>38.86</v>
      </c>
      <c r="BB450" s="100">
        <v>191.48</v>
      </c>
      <c r="BC450" s="98">
        <v>7.55</v>
      </c>
      <c r="BD450" s="102">
        <v>46.41</v>
      </c>
      <c r="BE450" s="100">
        <v>191.48</v>
      </c>
      <c r="BF450" s="98">
        <v>7.55</v>
      </c>
      <c r="BG450" s="102">
        <v>53.96</v>
      </c>
      <c r="BH450" s="100">
        <v>220.14</v>
      </c>
      <c r="BI450" s="98">
        <v>8.68</v>
      </c>
      <c r="BJ450" s="102">
        <v>62.64</v>
      </c>
      <c r="BK450" s="100">
        <v>200.87</v>
      </c>
      <c r="BL450" s="98">
        <v>7.92</v>
      </c>
      <c r="BM450" s="102">
        <v>70.56</v>
      </c>
      <c r="BN450" s="100">
        <v>191.48</v>
      </c>
      <c r="BO450" s="98">
        <v>7.55</v>
      </c>
      <c r="BP450" s="102">
        <v>78.11</v>
      </c>
      <c r="BQ450" s="100">
        <v>220.14</v>
      </c>
      <c r="BR450" s="98">
        <v>8.68</v>
      </c>
      <c r="BS450" s="102">
        <v>86.79</v>
      </c>
      <c r="BT450" s="100">
        <v>191.48</v>
      </c>
      <c r="BU450" s="98">
        <v>7.55</v>
      </c>
      <c r="BV450" s="102">
        <v>94.34</v>
      </c>
      <c r="BW450" s="100">
        <v>143.55000000000001</v>
      </c>
      <c r="BX450" s="98">
        <v>5.66</v>
      </c>
      <c r="BY450" s="100">
        <v>100</v>
      </c>
      <c r="BZ450" s="99"/>
      <c r="CA450" s="99"/>
      <c r="CB450" s="100">
        <v>100</v>
      </c>
      <c r="CC450" s="99"/>
      <c r="CD450" s="99"/>
      <c r="CE450" s="989">
        <v>100</v>
      </c>
      <c r="CF450" s="406"/>
      <c r="CG450" s="406"/>
      <c r="CH450" s="407"/>
      <c r="CI450" s="406"/>
      <c r="CJ450" s="406"/>
      <c r="CK450" s="406"/>
      <c r="CL450" s="406"/>
      <c r="CM450" s="406"/>
      <c r="CN450" s="406"/>
      <c r="CO450" s="466"/>
      <c r="CP450" s="464"/>
      <c r="CQ450" s="404"/>
      <c r="CR450" s="411"/>
      <c r="CS450" s="462"/>
      <c r="CT450" s="404"/>
      <c r="CU450" s="411"/>
      <c r="CV450" s="462"/>
      <c r="CW450" s="404"/>
      <c r="CX450" s="472"/>
      <c r="CY450" s="464"/>
      <c r="CZ450" s="462"/>
      <c r="DA450" s="404"/>
      <c r="DB450" s="472"/>
      <c r="DC450" s="464"/>
      <c r="DD450" s="466"/>
      <c r="DE450" s="464"/>
      <c r="DF450" s="405"/>
    </row>
    <row r="451" spans="1:110" ht="8.4499999999999993" customHeight="1" x14ac:dyDescent="0.2">
      <c r="A451" s="130" t="s">
        <v>560</v>
      </c>
      <c r="B451" s="96">
        <v>66</v>
      </c>
      <c r="C451" s="82" t="s">
        <v>2746</v>
      </c>
      <c r="D451" s="104">
        <v>186</v>
      </c>
      <c r="E451" s="82" t="s">
        <v>2745</v>
      </c>
      <c r="F451" s="82" t="s">
        <v>2170</v>
      </c>
      <c r="G451" s="97">
        <v>13000</v>
      </c>
      <c r="H451" s="98">
        <v>0.15</v>
      </c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101">
        <v>6500</v>
      </c>
      <c r="AN451" s="102">
        <v>50</v>
      </c>
      <c r="AO451" s="102">
        <v>50</v>
      </c>
      <c r="AP451" s="99"/>
      <c r="AQ451" s="99"/>
      <c r="AR451" s="102">
        <v>50</v>
      </c>
      <c r="AS451" s="99"/>
      <c r="AT451" s="99"/>
      <c r="AU451" s="102">
        <v>50</v>
      </c>
      <c r="AV451" s="99"/>
      <c r="AW451" s="99"/>
      <c r="AX451" s="102">
        <v>50</v>
      </c>
      <c r="AY451" s="99"/>
      <c r="AZ451" s="99"/>
      <c r="BA451" s="102">
        <v>50</v>
      </c>
      <c r="BB451" s="99"/>
      <c r="BC451" s="99"/>
      <c r="BD451" s="102">
        <v>50</v>
      </c>
      <c r="BE451" s="99"/>
      <c r="BF451" s="99"/>
      <c r="BG451" s="102">
        <v>50</v>
      </c>
      <c r="BH451" s="99"/>
      <c r="BI451" s="99"/>
      <c r="BJ451" s="102">
        <v>50</v>
      </c>
      <c r="BK451" s="101">
        <v>6500</v>
      </c>
      <c r="BL451" s="102">
        <v>50</v>
      </c>
      <c r="BM451" s="100">
        <v>100</v>
      </c>
      <c r="BN451" s="99"/>
      <c r="BO451" s="99"/>
      <c r="BP451" s="100">
        <v>100</v>
      </c>
      <c r="BQ451" s="99"/>
      <c r="BR451" s="99"/>
      <c r="BS451" s="100">
        <v>100</v>
      </c>
      <c r="BT451" s="99"/>
      <c r="BU451" s="99"/>
      <c r="BV451" s="100">
        <v>100</v>
      </c>
      <c r="BW451" s="99"/>
      <c r="BX451" s="99"/>
      <c r="BY451" s="100">
        <v>100</v>
      </c>
      <c r="BZ451" s="99"/>
      <c r="CA451" s="99"/>
      <c r="CB451" s="100">
        <v>100</v>
      </c>
      <c r="CC451" s="99"/>
      <c r="CD451" s="99"/>
      <c r="CE451" s="989">
        <v>100</v>
      </c>
      <c r="CF451" s="406"/>
      <c r="CG451" s="406"/>
      <c r="CH451" s="407"/>
      <c r="CI451" s="406"/>
      <c r="CJ451" s="406"/>
      <c r="CK451" s="406"/>
      <c r="CL451" s="406"/>
      <c r="CM451" s="406"/>
      <c r="CN451" s="406"/>
      <c r="CO451" s="469"/>
      <c r="CP451" s="467"/>
      <c r="CQ451" s="409"/>
      <c r="CR451" s="412"/>
      <c r="CS451" s="408"/>
      <c r="CT451" s="409"/>
      <c r="CU451" s="412"/>
      <c r="CV451" s="408"/>
      <c r="CW451" s="409"/>
      <c r="CX451" s="475"/>
      <c r="CY451" s="467"/>
      <c r="CZ451" s="408"/>
      <c r="DA451" s="409"/>
      <c r="DB451" s="475"/>
      <c r="DC451" s="467"/>
      <c r="DD451" s="473"/>
      <c r="DE451" s="467"/>
      <c r="DF451" s="407"/>
    </row>
    <row r="452" spans="1:110" ht="8.4499999999999993" customHeight="1" x14ac:dyDescent="0.2">
      <c r="A452" s="130" t="s">
        <v>561</v>
      </c>
      <c r="B452" s="96">
        <v>67</v>
      </c>
      <c r="C452" s="82" t="s">
        <v>2747</v>
      </c>
      <c r="D452" s="104">
        <v>265</v>
      </c>
      <c r="E452" s="82" t="s">
        <v>2745</v>
      </c>
      <c r="F452" s="82" t="s">
        <v>2621</v>
      </c>
      <c r="G452" s="101">
        <v>1373.46</v>
      </c>
      <c r="H452" s="98">
        <v>0.02</v>
      </c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102">
        <v>82.96</v>
      </c>
      <c r="AN452" s="98">
        <v>6.04</v>
      </c>
      <c r="AO452" s="98">
        <v>6.04</v>
      </c>
      <c r="AP452" s="100">
        <v>114</v>
      </c>
      <c r="AQ452" s="98">
        <v>8.3000000000000007</v>
      </c>
      <c r="AR452" s="102">
        <v>14.34</v>
      </c>
      <c r="AS452" s="100">
        <v>114</v>
      </c>
      <c r="AT452" s="98">
        <v>8.3000000000000007</v>
      </c>
      <c r="AU452" s="102">
        <v>22.64</v>
      </c>
      <c r="AV452" s="100">
        <v>114</v>
      </c>
      <c r="AW452" s="98">
        <v>8.3000000000000007</v>
      </c>
      <c r="AX452" s="102">
        <v>30.94</v>
      </c>
      <c r="AY452" s="100">
        <v>108.78</v>
      </c>
      <c r="AZ452" s="98">
        <v>7.92</v>
      </c>
      <c r="BA452" s="102">
        <v>38.86</v>
      </c>
      <c r="BB452" s="100">
        <v>103.7</v>
      </c>
      <c r="BC452" s="98">
        <v>7.55</v>
      </c>
      <c r="BD452" s="102">
        <v>46.41</v>
      </c>
      <c r="BE452" s="100">
        <v>103.7</v>
      </c>
      <c r="BF452" s="98">
        <v>7.55</v>
      </c>
      <c r="BG452" s="102">
        <v>53.96</v>
      </c>
      <c r="BH452" s="100">
        <v>119.22</v>
      </c>
      <c r="BI452" s="98">
        <v>8.68</v>
      </c>
      <c r="BJ452" s="102">
        <v>62.64</v>
      </c>
      <c r="BK452" s="100">
        <v>108.78</v>
      </c>
      <c r="BL452" s="98">
        <v>7.92</v>
      </c>
      <c r="BM452" s="102">
        <v>70.56</v>
      </c>
      <c r="BN452" s="100">
        <v>103.7</v>
      </c>
      <c r="BO452" s="98">
        <v>7.55</v>
      </c>
      <c r="BP452" s="102">
        <v>78.11</v>
      </c>
      <c r="BQ452" s="100">
        <v>119.22</v>
      </c>
      <c r="BR452" s="98">
        <v>8.68</v>
      </c>
      <c r="BS452" s="102">
        <v>86.79</v>
      </c>
      <c r="BT452" s="100">
        <v>103.7</v>
      </c>
      <c r="BU452" s="98">
        <v>7.55</v>
      </c>
      <c r="BV452" s="102">
        <v>94.34</v>
      </c>
      <c r="BW452" s="102">
        <v>77.739999999999995</v>
      </c>
      <c r="BX452" s="98">
        <v>5.66</v>
      </c>
      <c r="BY452" s="100">
        <v>100</v>
      </c>
      <c r="BZ452" s="99"/>
      <c r="CA452" s="99"/>
      <c r="CB452" s="100">
        <v>100</v>
      </c>
      <c r="CC452" s="99"/>
      <c r="CD452" s="99"/>
      <c r="CE452" s="989">
        <v>100</v>
      </c>
      <c r="CF452" s="406"/>
      <c r="CG452" s="406"/>
      <c r="CH452" s="407"/>
      <c r="CI452" s="406"/>
      <c r="CJ452" s="406"/>
      <c r="CK452" s="406"/>
      <c r="CL452" s="406"/>
      <c r="CM452" s="406"/>
      <c r="CN452" s="406"/>
      <c r="CO452" s="469"/>
      <c r="CP452" s="467"/>
      <c r="CQ452" s="409"/>
      <c r="CR452" s="410"/>
      <c r="CS452" s="408"/>
      <c r="CT452" s="409"/>
      <c r="CU452" s="410"/>
      <c r="CV452" s="408"/>
      <c r="CW452" s="409"/>
      <c r="CX452" s="470"/>
      <c r="CY452" s="467"/>
      <c r="CZ452" s="408"/>
      <c r="DA452" s="409"/>
      <c r="DB452" s="473"/>
      <c r="DC452" s="467"/>
      <c r="DD452" s="469"/>
      <c r="DE452" s="467"/>
      <c r="DF452" s="407"/>
    </row>
    <row r="453" spans="1:110" ht="8.4499999999999993" customHeight="1" x14ac:dyDescent="0.2">
      <c r="A453" s="130" t="s">
        <v>562</v>
      </c>
      <c r="B453" s="96">
        <v>68</v>
      </c>
      <c r="C453" s="82" t="s">
        <v>2748</v>
      </c>
      <c r="D453" s="104">
        <v>192</v>
      </c>
      <c r="E453" s="82" t="s">
        <v>2176</v>
      </c>
      <c r="F453" s="82" t="s">
        <v>2543</v>
      </c>
      <c r="G453" s="101">
        <v>6600</v>
      </c>
      <c r="H453" s="98">
        <v>0.08</v>
      </c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101">
        <v>3300</v>
      </c>
      <c r="AQ453" s="102">
        <v>50</v>
      </c>
      <c r="AR453" s="102">
        <v>50</v>
      </c>
      <c r="AS453" s="99"/>
      <c r="AT453" s="99"/>
      <c r="AU453" s="102">
        <v>50</v>
      </c>
      <c r="AV453" s="99"/>
      <c r="AW453" s="99"/>
      <c r="AX453" s="102">
        <v>50</v>
      </c>
      <c r="AY453" s="99"/>
      <c r="AZ453" s="99"/>
      <c r="BA453" s="102">
        <v>50</v>
      </c>
      <c r="BB453" s="99"/>
      <c r="BC453" s="99"/>
      <c r="BD453" s="102">
        <v>50</v>
      </c>
      <c r="BE453" s="99"/>
      <c r="BF453" s="99"/>
      <c r="BG453" s="102">
        <v>50</v>
      </c>
      <c r="BH453" s="99"/>
      <c r="BI453" s="99"/>
      <c r="BJ453" s="102">
        <v>50</v>
      </c>
      <c r="BK453" s="99"/>
      <c r="BL453" s="99"/>
      <c r="BM453" s="102">
        <v>50</v>
      </c>
      <c r="BN453" s="99"/>
      <c r="BO453" s="99"/>
      <c r="BP453" s="102">
        <v>50</v>
      </c>
      <c r="BQ453" s="101">
        <v>3300</v>
      </c>
      <c r="BR453" s="102">
        <v>50</v>
      </c>
      <c r="BS453" s="100">
        <v>100</v>
      </c>
      <c r="BT453" s="99"/>
      <c r="BU453" s="99"/>
      <c r="BV453" s="100">
        <v>100</v>
      </c>
      <c r="BW453" s="99"/>
      <c r="BX453" s="99"/>
      <c r="BY453" s="100">
        <v>100</v>
      </c>
      <c r="BZ453" s="99"/>
      <c r="CA453" s="99"/>
      <c r="CB453" s="100">
        <v>100</v>
      </c>
      <c r="CC453" s="99"/>
      <c r="CD453" s="99"/>
      <c r="CE453" s="989">
        <v>100</v>
      </c>
      <c r="CF453" s="406"/>
      <c r="CG453" s="406"/>
      <c r="CH453" s="407"/>
      <c r="CI453" s="406"/>
      <c r="CJ453" s="406"/>
      <c r="CK453" s="406"/>
      <c r="CL453" s="406"/>
      <c r="CM453" s="406"/>
      <c r="CN453" s="406"/>
      <c r="CO453" s="467"/>
      <c r="CP453" s="467"/>
      <c r="CQ453" s="407"/>
      <c r="CR453" s="406"/>
      <c r="CS453" s="406"/>
      <c r="CT453" s="407"/>
      <c r="CU453" s="406"/>
      <c r="CV453" s="406"/>
      <c r="CW453" s="407"/>
      <c r="CX453" s="467"/>
      <c r="CY453" s="467"/>
      <c r="CZ453" s="406"/>
      <c r="DA453" s="407"/>
      <c r="DB453" s="467"/>
      <c r="DC453" s="467"/>
      <c r="DD453" s="467"/>
      <c r="DE453" s="467"/>
      <c r="DF453" s="407"/>
    </row>
    <row r="454" spans="1:110" ht="8.4499999999999993" customHeight="1" x14ac:dyDescent="0.2">
      <c r="A454" s="130" t="s">
        <v>563</v>
      </c>
      <c r="B454" s="96">
        <v>69</v>
      </c>
      <c r="C454" s="82" t="s">
        <v>2749</v>
      </c>
      <c r="D454" s="104">
        <v>382</v>
      </c>
      <c r="E454" s="82" t="s">
        <v>1950</v>
      </c>
      <c r="F454" s="82" t="s">
        <v>2026</v>
      </c>
      <c r="G454" s="101">
        <v>3150</v>
      </c>
      <c r="H454" s="98">
        <v>0.04</v>
      </c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100">
        <v>181.44</v>
      </c>
      <c r="Y454" s="98">
        <v>5.76</v>
      </c>
      <c r="Z454" s="98">
        <v>5.76</v>
      </c>
      <c r="AA454" s="100">
        <v>165.06</v>
      </c>
      <c r="AB454" s="98">
        <v>5.24</v>
      </c>
      <c r="AC454" s="102">
        <v>11</v>
      </c>
      <c r="AD454" s="100">
        <v>165.06</v>
      </c>
      <c r="AE454" s="98">
        <v>5.24</v>
      </c>
      <c r="AF454" s="102">
        <v>16.239999999999998</v>
      </c>
      <c r="AG454" s="100">
        <v>189.32</v>
      </c>
      <c r="AH454" s="98">
        <v>6.01</v>
      </c>
      <c r="AI454" s="102">
        <v>22.25</v>
      </c>
      <c r="AJ454" s="100">
        <v>173.25</v>
      </c>
      <c r="AK454" s="98">
        <v>5.5</v>
      </c>
      <c r="AL454" s="102">
        <v>27.75</v>
      </c>
      <c r="AM454" s="100">
        <v>173.25</v>
      </c>
      <c r="AN454" s="98">
        <v>5.5</v>
      </c>
      <c r="AO454" s="102">
        <v>33.25</v>
      </c>
      <c r="AP454" s="100">
        <v>181.44</v>
      </c>
      <c r="AQ454" s="98">
        <v>5.76</v>
      </c>
      <c r="AR454" s="102">
        <v>39.01</v>
      </c>
      <c r="AS454" s="100">
        <v>181.44</v>
      </c>
      <c r="AT454" s="98">
        <v>5.76</v>
      </c>
      <c r="AU454" s="102">
        <v>44.77</v>
      </c>
      <c r="AV454" s="100">
        <v>181.13</v>
      </c>
      <c r="AW454" s="98">
        <v>5.75</v>
      </c>
      <c r="AX454" s="102">
        <v>50.52</v>
      </c>
      <c r="AY454" s="100">
        <v>173.25</v>
      </c>
      <c r="AZ454" s="98">
        <v>5.5</v>
      </c>
      <c r="BA454" s="102">
        <v>56.02</v>
      </c>
      <c r="BB454" s="100">
        <v>165.06</v>
      </c>
      <c r="BC454" s="98">
        <v>5.24</v>
      </c>
      <c r="BD454" s="102">
        <v>61.26</v>
      </c>
      <c r="BE454" s="100">
        <v>165.06</v>
      </c>
      <c r="BF454" s="98">
        <v>5.24</v>
      </c>
      <c r="BG454" s="102">
        <v>66.5</v>
      </c>
      <c r="BH454" s="100">
        <v>189.32</v>
      </c>
      <c r="BI454" s="98">
        <v>6.01</v>
      </c>
      <c r="BJ454" s="102">
        <v>72.510000000000005</v>
      </c>
      <c r="BK454" s="100">
        <v>173.25</v>
      </c>
      <c r="BL454" s="98">
        <v>5.5</v>
      </c>
      <c r="BM454" s="102">
        <v>78.010000000000005</v>
      </c>
      <c r="BN454" s="100">
        <v>165.06</v>
      </c>
      <c r="BO454" s="98">
        <v>5.24</v>
      </c>
      <c r="BP454" s="102">
        <v>83.25</v>
      </c>
      <c r="BQ454" s="100">
        <v>189.32</v>
      </c>
      <c r="BR454" s="98">
        <v>6.01</v>
      </c>
      <c r="BS454" s="102">
        <v>89.26</v>
      </c>
      <c r="BT454" s="100">
        <v>165.06</v>
      </c>
      <c r="BU454" s="98">
        <v>5.24</v>
      </c>
      <c r="BV454" s="102">
        <v>94.5</v>
      </c>
      <c r="BW454" s="100">
        <v>173.25</v>
      </c>
      <c r="BX454" s="98">
        <v>5.5</v>
      </c>
      <c r="BY454" s="100">
        <v>100</v>
      </c>
      <c r="BZ454" s="99"/>
      <c r="CA454" s="99"/>
      <c r="CB454" s="100">
        <v>100</v>
      </c>
      <c r="CC454" s="99"/>
      <c r="CD454" s="99"/>
      <c r="CE454" s="989">
        <v>100</v>
      </c>
      <c r="CF454" s="406"/>
      <c r="CG454" s="406"/>
      <c r="CH454" s="407"/>
      <c r="CI454" s="406"/>
      <c r="CJ454" s="406"/>
      <c r="CK454" s="406"/>
      <c r="CL454" s="406"/>
      <c r="CM454" s="406"/>
      <c r="CN454" s="406"/>
      <c r="CO454" s="467"/>
      <c r="CP454" s="467"/>
      <c r="CQ454" s="409"/>
      <c r="CR454" s="406"/>
      <c r="CS454" s="406"/>
      <c r="CT454" s="409"/>
      <c r="CU454" s="410"/>
      <c r="CV454" s="408"/>
      <c r="CW454" s="409"/>
      <c r="CX454" s="470"/>
      <c r="CY454" s="467"/>
      <c r="CZ454" s="409"/>
      <c r="DA454" s="407"/>
      <c r="DB454" s="467"/>
      <c r="DC454" s="467"/>
      <c r="DD454" s="467"/>
      <c r="DE454" s="467"/>
      <c r="DF454" s="407"/>
    </row>
    <row r="455" spans="1:110" ht="8.4499999999999993" customHeight="1" x14ac:dyDescent="0.2">
      <c r="A455" s="130" t="s">
        <v>95</v>
      </c>
      <c r="B455" s="88">
        <v>70</v>
      </c>
      <c r="C455" s="87" t="s">
        <v>328</v>
      </c>
      <c r="D455" s="103">
        <v>511</v>
      </c>
      <c r="E455" s="87" t="s">
        <v>1557</v>
      </c>
      <c r="F455" s="87" t="s">
        <v>2024</v>
      </c>
      <c r="G455" s="105">
        <v>311618.37</v>
      </c>
      <c r="H455" s="90">
        <v>3.54</v>
      </c>
      <c r="I455" s="89">
        <v>14022.83</v>
      </c>
      <c r="J455" s="90">
        <v>4.5</v>
      </c>
      <c r="K455" s="90">
        <v>4.5</v>
      </c>
      <c r="L455" s="89">
        <v>12807.52</v>
      </c>
      <c r="M455" s="90">
        <v>4.1100000000000003</v>
      </c>
      <c r="N455" s="90">
        <v>8.61</v>
      </c>
      <c r="O455" s="89">
        <v>12807.52</v>
      </c>
      <c r="P455" s="90">
        <v>4.1100000000000003</v>
      </c>
      <c r="Q455" s="91">
        <v>12.72</v>
      </c>
      <c r="R455" s="89">
        <v>12807.52</v>
      </c>
      <c r="S455" s="90">
        <v>4.1100000000000003</v>
      </c>
      <c r="T455" s="91">
        <v>16.829999999999998</v>
      </c>
      <c r="U455" s="89">
        <v>12184.28</v>
      </c>
      <c r="V455" s="90">
        <v>3.91</v>
      </c>
      <c r="W455" s="91">
        <v>20.74</v>
      </c>
      <c r="X455" s="89">
        <v>13430.75</v>
      </c>
      <c r="Y455" s="90">
        <v>4.3099999999999996</v>
      </c>
      <c r="Z455" s="91">
        <v>25.05</v>
      </c>
      <c r="AA455" s="89">
        <v>12184.28</v>
      </c>
      <c r="AB455" s="90">
        <v>3.91</v>
      </c>
      <c r="AC455" s="91">
        <v>28.96</v>
      </c>
      <c r="AD455" s="89">
        <v>12184.28</v>
      </c>
      <c r="AE455" s="90">
        <v>3.91</v>
      </c>
      <c r="AF455" s="91">
        <v>32.869999999999997</v>
      </c>
      <c r="AG455" s="89">
        <v>14022.83</v>
      </c>
      <c r="AH455" s="90">
        <v>4.5</v>
      </c>
      <c r="AI455" s="91">
        <v>37.369999999999997</v>
      </c>
      <c r="AJ455" s="89">
        <v>12807.52</v>
      </c>
      <c r="AK455" s="90">
        <v>4.1100000000000003</v>
      </c>
      <c r="AL455" s="91">
        <v>41.48</v>
      </c>
      <c r="AM455" s="89">
        <v>12807.52</v>
      </c>
      <c r="AN455" s="90">
        <v>4.1100000000000003</v>
      </c>
      <c r="AO455" s="91">
        <v>45.59</v>
      </c>
      <c r="AP455" s="89">
        <v>13430.75</v>
      </c>
      <c r="AQ455" s="90">
        <v>4.3099999999999996</v>
      </c>
      <c r="AR455" s="91">
        <v>49.9</v>
      </c>
      <c r="AS455" s="89">
        <v>13430.75</v>
      </c>
      <c r="AT455" s="90">
        <v>4.3099999999999996</v>
      </c>
      <c r="AU455" s="91">
        <v>54.21</v>
      </c>
      <c r="AV455" s="89">
        <v>13430.75</v>
      </c>
      <c r="AW455" s="90">
        <v>4.3099999999999996</v>
      </c>
      <c r="AX455" s="91">
        <v>58.52</v>
      </c>
      <c r="AY455" s="89">
        <v>12807.52</v>
      </c>
      <c r="AZ455" s="90">
        <v>4.1100000000000003</v>
      </c>
      <c r="BA455" s="91">
        <v>62.63</v>
      </c>
      <c r="BB455" s="89">
        <v>12184.28</v>
      </c>
      <c r="BC455" s="90">
        <v>3.91</v>
      </c>
      <c r="BD455" s="91">
        <v>66.540000000000006</v>
      </c>
      <c r="BE455" s="89">
        <v>12184.28</v>
      </c>
      <c r="BF455" s="90">
        <v>3.91</v>
      </c>
      <c r="BG455" s="91">
        <v>70.45</v>
      </c>
      <c r="BH455" s="89">
        <v>14022.83</v>
      </c>
      <c r="BI455" s="90">
        <v>4.5</v>
      </c>
      <c r="BJ455" s="91">
        <v>74.95</v>
      </c>
      <c r="BK455" s="89">
        <v>12807.52</v>
      </c>
      <c r="BL455" s="90">
        <v>4.1100000000000003</v>
      </c>
      <c r="BM455" s="91">
        <v>79.06</v>
      </c>
      <c r="BN455" s="89">
        <v>12184.28</v>
      </c>
      <c r="BO455" s="90">
        <v>3.91</v>
      </c>
      <c r="BP455" s="91">
        <v>82.97</v>
      </c>
      <c r="BQ455" s="89">
        <v>14022.83</v>
      </c>
      <c r="BR455" s="90">
        <v>4.5</v>
      </c>
      <c r="BS455" s="91">
        <v>87.47</v>
      </c>
      <c r="BT455" s="89">
        <v>12184.28</v>
      </c>
      <c r="BU455" s="90">
        <v>3.91</v>
      </c>
      <c r="BV455" s="91">
        <v>91.38</v>
      </c>
      <c r="BW455" s="89">
        <v>13430.75</v>
      </c>
      <c r="BX455" s="90">
        <v>4.3099999999999996</v>
      </c>
      <c r="BY455" s="91">
        <v>95.69</v>
      </c>
      <c r="BZ455" s="89">
        <v>13430.75</v>
      </c>
      <c r="CA455" s="90">
        <v>4.3099999999999996</v>
      </c>
      <c r="CB455" s="93">
        <v>100</v>
      </c>
      <c r="CC455" s="94"/>
      <c r="CD455" s="94"/>
      <c r="CE455" s="988">
        <v>100</v>
      </c>
      <c r="CF455" s="406"/>
      <c r="CG455" s="406"/>
      <c r="CH455" s="407"/>
      <c r="CI455" s="406"/>
      <c r="CJ455" s="406"/>
      <c r="CK455" s="406"/>
      <c r="CL455" s="406"/>
      <c r="CM455" s="406"/>
      <c r="CN455" s="406"/>
      <c r="CO455" s="467"/>
      <c r="CP455" s="467"/>
      <c r="CQ455" s="406"/>
      <c r="CR455" s="406"/>
      <c r="CS455" s="406"/>
      <c r="CT455" s="406"/>
      <c r="CU455" s="406"/>
      <c r="CV455" s="406"/>
      <c r="CW455" s="406"/>
      <c r="CX455" s="470"/>
      <c r="CY455" s="467"/>
      <c r="CZ455" s="407"/>
      <c r="DA455" s="407"/>
      <c r="DB455" s="467"/>
      <c r="DC455" s="467"/>
      <c r="DD455" s="467"/>
      <c r="DE455" s="467"/>
      <c r="DF455" s="407"/>
    </row>
    <row r="456" spans="1:110" ht="8.4499999999999993" customHeight="1" x14ac:dyDescent="0.2">
      <c r="A456" s="130" t="s">
        <v>565</v>
      </c>
      <c r="B456" s="88">
        <v>71</v>
      </c>
      <c r="C456" s="87" t="s">
        <v>2750</v>
      </c>
      <c r="D456" s="103">
        <v>511</v>
      </c>
      <c r="E456" s="87" t="s">
        <v>1557</v>
      </c>
      <c r="F456" s="87" t="s">
        <v>2024</v>
      </c>
      <c r="G456" s="105">
        <v>234906.45</v>
      </c>
      <c r="H456" s="90">
        <v>2.67</v>
      </c>
      <c r="I456" s="89">
        <v>10570.79</v>
      </c>
      <c r="J456" s="90">
        <v>4.5</v>
      </c>
      <c r="K456" s="90">
        <v>4.5</v>
      </c>
      <c r="L456" s="92">
        <v>9654.66</v>
      </c>
      <c r="M456" s="90">
        <v>4.1100000000000003</v>
      </c>
      <c r="N456" s="90">
        <v>8.61</v>
      </c>
      <c r="O456" s="92">
        <v>9654.66</v>
      </c>
      <c r="P456" s="90">
        <v>4.1100000000000003</v>
      </c>
      <c r="Q456" s="91">
        <v>12.72</v>
      </c>
      <c r="R456" s="92">
        <v>9654.66</v>
      </c>
      <c r="S456" s="90">
        <v>4.1100000000000003</v>
      </c>
      <c r="T456" s="91">
        <v>16.829999999999998</v>
      </c>
      <c r="U456" s="92">
        <v>9184.84</v>
      </c>
      <c r="V456" s="90">
        <v>3.91</v>
      </c>
      <c r="W456" s="91">
        <v>20.74</v>
      </c>
      <c r="X456" s="89">
        <v>10124.469999999999</v>
      </c>
      <c r="Y456" s="90">
        <v>4.3099999999999996</v>
      </c>
      <c r="Z456" s="91">
        <v>25.05</v>
      </c>
      <c r="AA456" s="92">
        <v>9184.84</v>
      </c>
      <c r="AB456" s="90">
        <v>3.91</v>
      </c>
      <c r="AC456" s="91">
        <v>28.96</v>
      </c>
      <c r="AD456" s="92">
        <v>9184.84</v>
      </c>
      <c r="AE456" s="90">
        <v>3.91</v>
      </c>
      <c r="AF456" s="91">
        <v>32.869999999999997</v>
      </c>
      <c r="AG456" s="89">
        <v>10570.79</v>
      </c>
      <c r="AH456" s="90">
        <v>4.5</v>
      </c>
      <c r="AI456" s="91">
        <v>37.369999999999997</v>
      </c>
      <c r="AJ456" s="92">
        <v>9654.66</v>
      </c>
      <c r="AK456" s="90">
        <v>4.1100000000000003</v>
      </c>
      <c r="AL456" s="91">
        <v>41.48</v>
      </c>
      <c r="AM456" s="92">
        <v>9654.66</v>
      </c>
      <c r="AN456" s="90">
        <v>4.1100000000000003</v>
      </c>
      <c r="AO456" s="91">
        <v>45.59</v>
      </c>
      <c r="AP456" s="89">
        <v>10124.469999999999</v>
      </c>
      <c r="AQ456" s="90">
        <v>4.3099999999999996</v>
      </c>
      <c r="AR456" s="91">
        <v>49.9</v>
      </c>
      <c r="AS456" s="89">
        <v>10124.469999999999</v>
      </c>
      <c r="AT456" s="90">
        <v>4.3099999999999996</v>
      </c>
      <c r="AU456" s="91">
        <v>54.21</v>
      </c>
      <c r="AV456" s="89">
        <v>10124.469999999999</v>
      </c>
      <c r="AW456" s="90">
        <v>4.3099999999999996</v>
      </c>
      <c r="AX456" s="91">
        <v>58.52</v>
      </c>
      <c r="AY456" s="92">
        <v>9654.66</v>
      </c>
      <c r="AZ456" s="90">
        <v>4.1100000000000003</v>
      </c>
      <c r="BA456" s="91">
        <v>62.63</v>
      </c>
      <c r="BB456" s="92">
        <v>9184.84</v>
      </c>
      <c r="BC456" s="90">
        <v>3.91</v>
      </c>
      <c r="BD456" s="91">
        <v>66.540000000000006</v>
      </c>
      <c r="BE456" s="92">
        <v>9184.84</v>
      </c>
      <c r="BF456" s="90">
        <v>3.91</v>
      </c>
      <c r="BG456" s="91">
        <v>70.45</v>
      </c>
      <c r="BH456" s="89">
        <v>10570.79</v>
      </c>
      <c r="BI456" s="90">
        <v>4.5</v>
      </c>
      <c r="BJ456" s="91">
        <v>74.95</v>
      </c>
      <c r="BK456" s="92">
        <v>9654.66</v>
      </c>
      <c r="BL456" s="90">
        <v>4.1100000000000003</v>
      </c>
      <c r="BM456" s="91">
        <v>79.06</v>
      </c>
      <c r="BN456" s="92">
        <v>9184.84</v>
      </c>
      <c r="BO456" s="90">
        <v>3.91</v>
      </c>
      <c r="BP456" s="91">
        <v>82.97</v>
      </c>
      <c r="BQ456" s="89">
        <v>10570.79</v>
      </c>
      <c r="BR456" s="90">
        <v>4.5</v>
      </c>
      <c r="BS456" s="91">
        <v>87.47</v>
      </c>
      <c r="BT456" s="92">
        <v>9184.84</v>
      </c>
      <c r="BU456" s="90">
        <v>3.91</v>
      </c>
      <c r="BV456" s="91">
        <v>91.38</v>
      </c>
      <c r="BW456" s="89">
        <v>10124.469999999999</v>
      </c>
      <c r="BX456" s="90">
        <v>4.3099999999999996</v>
      </c>
      <c r="BY456" s="91">
        <v>95.69</v>
      </c>
      <c r="BZ456" s="89">
        <v>10124.469999999999</v>
      </c>
      <c r="CA456" s="90">
        <v>4.3099999999999996</v>
      </c>
      <c r="CB456" s="93">
        <v>100</v>
      </c>
      <c r="CC456" s="94"/>
      <c r="CD456" s="94"/>
      <c r="CE456" s="988">
        <v>100</v>
      </c>
      <c r="CF456" s="411"/>
      <c r="CG456" s="404"/>
      <c r="CH456" s="405"/>
      <c r="CI456" s="460"/>
      <c r="CJ456" s="460"/>
      <c r="CK456" s="460"/>
      <c r="CL456" s="460"/>
      <c r="CM456" s="460"/>
      <c r="CN456" s="460"/>
      <c r="CO456" s="467"/>
      <c r="CP456" s="467"/>
      <c r="CQ456" s="409"/>
      <c r="CR456" s="406"/>
      <c r="CS456" s="406"/>
      <c r="CT456" s="409"/>
      <c r="CU456" s="406"/>
      <c r="CV456" s="406"/>
      <c r="CW456" s="409"/>
      <c r="CX456" s="475"/>
      <c r="CY456" s="467"/>
      <c r="CZ456" s="409"/>
      <c r="DA456" s="409"/>
      <c r="DB456" s="475"/>
      <c r="DC456" s="467"/>
      <c r="DD456" s="473"/>
      <c r="DE456" s="467"/>
      <c r="DF456" s="407"/>
    </row>
    <row r="457" spans="1:110" ht="8.4499999999999993" customHeight="1" x14ac:dyDescent="0.2">
      <c r="A457" s="130" t="s">
        <v>567</v>
      </c>
      <c r="B457" s="96">
        <v>72</v>
      </c>
      <c r="C457" s="82" t="s">
        <v>2751</v>
      </c>
      <c r="D457" s="104">
        <v>511</v>
      </c>
      <c r="E457" s="82" t="s">
        <v>1557</v>
      </c>
      <c r="F457" s="82" t="s">
        <v>2024</v>
      </c>
      <c r="G457" s="97">
        <v>22000</v>
      </c>
      <c r="H457" s="98">
        <v>0.25</v>
      </c>
      <c r="I457" s="100">
        <v>990</v>
      </c>
      <c r="J457" s="98">
        <v>4.5</v>
      </c>
      <c r="K457" s="98">
        <v>4.5</v>
      </c>
      <c r="L457" s="100">
        <v>904.2</v>
      </c>
      <c r="M457" s="98">
        <v>4.1100000000000003</v>
      </c>
      <c r="N457" s="98">
        <v>8.61</v>
      </c>
      <c r="O457" s="100">
        <v>904.2</v>
      </c>
      <c r="P457" s="98">
        <v>4.1100000000000003</v>
      </c>
      <c r="Q457" s="102">
        <v>12.72</v>
      </c>
      <c r="R457" s="100">
        <v>904.2</v>
      </c>
      <c r="S457" s="98">
        <v>4.1100000000000003</v>
      </c>
      <c r="T457" s="102">
        <v>16.829999999999998</v>
      </c>
      <c r="U457" s="100">
        <v>860.2</v>
      </c>
      <c r="V457" s="98">
        <v>3.91</v>
      </c>
      <c r="W457" s="102">
        <v>20.74</v>
      </c>
      <c r="X457" s="100">
        <v>948.2</v>
      </c>
      <c r="Y457" s="98">
        <v>4.3099999999999996</v>
      </c>
      <c r="Z457" s="102">
        <v>25.05</v>
      </c>
      <c r="AA457" s="100">
        <v>860.2</v>
      </c>
      <c r="AB457" s="98">
        <v>3.91</v>
      </c>
      <c r="AC457" s="102">
        <v>28.96</v>
      </c>
      <c r="AD457" s="100">
        <v>860.2</v>
      </c>
      <c r="AE457" s="98">
        <v>3.91</v>
      </c>
      <c r="AF457" s="102">
        <v>32.869999999999997</v>
      </c>
      <c r="AG457" s="100">
        <v>990</v>
      </c>
      <c r="AH457" s="98">
        <v>4.5</v>
      </c>
      <c r="AI457" s="102">
        <v>37.369999999999997</v>
      </c>
      <c r="AJ457" s="100">
        <v>904.2</v>
      </c>
      <c r="AK457" s="98">
        <v>4.1100000000000003</v>
      </c>
      <c r="AL457" s="102">
        <v>41.48</v>
      </c>
      <c r="AM457" s="100">
        <v>904.2</v>
      </c>
      <c r="AN457" s="98">
        <v>4.1100000000000003</v>
      </c>
      <c r="AO457" s="102">
        <v>45.59</v>
      </c>
      <c r="AP457" s="100">
        <v>948.2</v>
      </c>
      <c r="AQ457" s="98">
        <v>4.3099999999999996</v>
      </c>
      <c r="AR457" s="102">
        <v>49.9</v>
      </c>
      <c r="AS457" s="100">
        <v>948.2</v>
      </c>
      <c r="AT457" s="98">
        <v>4.3099999999999996</v>
      </c>
      <c r="AU457" s="102">
        <v>54.21</v>
      </c>
      <c r="AV457" s="100">
        <v>948.2</v>
      </c>
      <c r="AW457" s="98">
        <v>4.3099999999999996</v>
      </c>
      <c r="AX457" s="102">
        <v>58.52</v>
      </c>
      <c r="AY457" s="100">
        <v>904.2</v>
      </c>
      <c r="AZ457" s="98">
        <v>4.1100000000000003</v>
      </c>
      <c r="BA457" s="102">
        <v>62.63</v>
      </c>
      <c r="BB457" s="100">
        <v>860.2</v>
      </c>
      <c r="BC457" s="98">
        <v>3.91</v>
      </c>
      <c r="BD457" s="102">
        <v>66.540000000000006</v>
      </c>
      <c r="BE457" s="100">
        <v>860.2</v>
      </c>
      <c r="BF457" s="98">
        <v>3.91</v>
      </c>
      <c r="BG457" s="102">
        <v>70.45</v>
      </c>
      <c r="BH457" s="100">
        <v>990</v>
      </c>
      <c r="BI457" s="98">
        <v>4.5</v>
      </c>
      <c r="BJ457" s="102">
        <v>74.95</v>
      </c>
      <c r="BK457" s="100">
        <v>904.2</v>
      </c>
      <c r="BL457" s="98">
        <v>4.1100000000000003</v>
      </c>
      <c r="BM457" s="102">
        <v>79.06</v>
      </c>
      <c r="BN457" s="100">
        <v>860.2</v>
      </c>
      <c r="BO457" s="98">
        <v>3.91</v>
      </c>
      <c r="BP457" s="102">
        <v>82.97</v>
      </c>
      <c r="BQ457" s="100">
        <v>990</v>
      </c>
      <c r="BR457" s="98">
        <v>4.5</v>
      </c>
      <c r="BS457" s="102">
        <v>87.47</v>
      </c>
      <c r="BT457" s="100">
        <v>860.2</v>
      </c>
      <c r="BU457" s="98">
        <v>3.91</v>
      </c>
      <c r="BV457" s="102">
        <v>91.38</v>
      </c>
      <c r="BW457" s="100">
        <v>948.2</v>
      </c>
      <c r="BX457" s="98">
        <v>4.3099999999999996</v>
      </c>
      <c r="BY457" s="102">
        <v>95.69</v>
      </c>
      <c r="BZ457" s="100">
        <v>948.2</v>
      </c>
      <c r="CA457" s="98">
        <v>4.3099999999999996</v>
      </c>
      <c r="CB457" s="100">
        <v>100</v>
      </c>
      <c r="CC457" s="99"/>
      <c r="CD457" s="99"/>
      <c r="CE457" s="989">
        <v>100</v>
      </c>
      <c r="CF457" s="403"/>
      <c r="CG457" s="462"/>
      <c r="CH457" s="405"/>
      <c r="CI457" s="460"/>
      <c r="CJ457" s="460"/>
      <c r="CK457" s="460"/>
      <c r="CL457" s="460"/>
      <c r="CM457" s="460"/>
      <c r="CN457" s="460"/>
      <c r="CO457" s="473"/>
      <c r="CP457" s="467"/>
      <c r="CQ457" s="409"/>
      <c r="CR457" s="412"/>
      <c r="CS457" s="409"/>
      <c r="CT457" s="407"/>
      <c r="CU457" s="406"/>
      <c r="CV457" s="406"/>
      <c r="CW457" s="407"/>
      <c r="CX457" s="467"/>
      <c r="CY457" s="467"/>
      <c r="CZ457" s="406"/>
      <c r="DA457" s="407"/>
      <c r="DB457" s="467"/>
      <c r="DC457" s="467"/>
      <c r="DD457" s="467"/>
      <c r="DE457" s="467"/>
      <c r="DF457" s="407"/>
    </row>
    <row r="458" spans="1:110" ht="8.4499999999999993" customHeight="1" x14ac:dyDescent="0.2">
      <c r="A458" s="130" t="s">
        <v>568</v>
      </c>
      <c r="B458" s="96">
        <v>73</v>
      </c>
      <c r="C458" s="82" t="s">
        <v>2752</v>
      </c>
      <c r="D458" s="104">
        <v>511</v>
      </c>
      <c r="E458" s="82" t="s">
        <v>1557</v>
      </c>
      <c r="F458" s="82" t="s">
        <v>2024</v>
      </c>
      <c r="G458" s="97">
        <v>19800</v>
      </c>
      <c r="H458" s="98">
        <v>0.23</v>
      </c>
      <c r="I458" s="100">
        <v>891</v>
      </c>
      <c r="J458" s="98">
        <v>4.5</v>
      </c>
      <c r="K458" s="98">
        <v>4.5</v>
      </c>
      <c r="L458" s="100">
        <v>813.78</v>
      </c>
      <c r="M458" s="98">
        <v>4.1100000000000003</v>
      </c>
      <c r="N458" s="98">
        <v>8.61</v>
      </c>
      <c r="O458" s="100">
        <v>813.78</v>
      </c>
      <c r="P458" s="98">
        <v>4.1100000000000003</v>
      </c>
      <c r="Q458" s="102">
        <v>12.72</v>
      </c>
      <c r="R458" s="100">
        <v>813.78</v>
      </c>
      <c r="S458" s="98">
        <v>4.1100000000000003</v>
      </c>
      <c r="T458" s="102">
        <v>16.829999999999998</v>
      </c>
      <c r="U458" s="100">
        <v>774.18</v>
      </c>
      <c r="V458" s="98">
        <v>3.91</v>
      </c>
      <c r="W458" s="102">
        <v>20.74</v>
      </c>
      <c r="X458" s="100">
        <v>853.38</v>
      </c>
      <c r="Y458" s="98">
        <v>4.3099999999999996</v>
      </c>
      <c r="Z458" s="102">
        <v>25.05</v>
      </c>
      <c r="AA458" s="100">
        <v>774.18</v>
      </c>
      <c r="AB458" s="98">
        <v>3.91</v>
      </c>
      <c r="AC458" s="102">
        <v>28.96</v>
      </c>
      <c r="AD458" s="100">
        <v>774.18</v>
      </c>
      <c r="AE458" s="98">
        <v>3.91</v>
      </c>
      <c r="AF458" s="102">
        <v>32.869999999999997</v>
      </c>
      <c r="AG458" s="100">
        <v>891</v>
      </c>
      <c r="AH458" s="98">
        <v>4.5</v>
      </c>
      <c r="AI458" s="102">
        <v>37.369999999999997</v>
      </c>
      <c r="AJ458" s="100">
        <v>813.78</v>
      </c>
      <c r="AK458" s="98">
        <v>4.1100000000000003</v>
      </c>
      <c r="AL458" s="102">
        <v>41.48</v>
      </c>
      <c r="AM458" s="100">
        <v>813.78</v>
      </c>
      <c r="AN458" s="98">
        <v>4.1100000000000003</v>
      </c>
      <c r="AO458" s="102">
        <v>45.59</v>
      </c>
      <c r="AP458" s="100">
        <v>853.38</v>
      </c>
      <c r="AQ458" s="98">
        <v>4.3099999999999996</v>
      </c>
      <c r="AR458" s="102">
        <v>49.9</v>
      </c>
      <c r="AS458" s="100">
        <v>853.38</v>
      </c>
      <c r="AT458" s="98">
        <v>4.3099999999999996</v>
      </c>
      <c r="AU458" s="102">
        <v>54.21</v>
      </c>
      <c r="AV458" s="100">
        <v>853.38</v>
      </c>
      <c r="AW458" s="98">
        <v>4.3099999999999996</v>
      </c>
      <c r="AX458" s="102">
        <v>58.52</v>
      </c>
      <c r="AY458" s="100">
        <v>813.78</v>
      </c>
      <c r="AZ458" s="98">
        <v>4.1100000000000003</v>
      </c>
      <c r="BA458" s="102">
        <v>62.63</v>
      </c>
      <c r="BB458" s="100">
        <v>774.18</v>
      </c>
      <c r="BC458" s="98">
        <v>3.91</v>
      </c>
      <c r="BD458" s="102">
        <v>66.540000000000006</v>
      </c>
      <c r="BE458" s="100">
        <v>774.18</v>
      </c>
      <c r="BF458" s="98">
        <v>3.91</v>
      </c>
      <c r="BG458" s="102">
        <v>70.45</v>
      </c>
      <c r="BH458" s="100">
        <v>891</v>
      </c>
      <c r="BI458" s="98">
        <v>4.5</v>
      </c>
      <c r="BJ458" s="102">
        <v>74.95</v>
      </c>
      <c r="BK458" s="100">
        <v>813.78</v>
      </c>
      <c r="BL458" s="98">
        <v>4.1100000000000003</v>
      </c>
      <c r="BM458" s="102">
        <v>79.06</v>
      </c>
      <c r="BN458" s="100">
        <v>774.18</v>
      </c>
      <c r="BO458" s="98">
        <v>3.91</v>
      </c>
      <c r="BP458" s="102">
        <v>82.97</v>
      </c>
      <c r="BQ458" s="100">
        <v>891</v>
      </c>
      <c r="BR458" s="98">
        <v>4.5</v>
      </c>
      <c r="BS458" s="102">
        <v>87.47</v>
      </c>
      <c r="BT458" s="100">
        <v>774.18</v>
      </c>
      <c r="BU458" s="98">
        <v>3.91</v>
      </c>
      <c r="BV458" s="102">
        <v>91.38</v>
      </c>
      <c r="BW458" s="100">
        <v>853.38</v>
      </c>
      <c r="BX458" s="98">
        <v>4.3099999999999996</v>
      </c>
      <c r="BY458" s="102">
        <v>95.69</v>
      </c>
      <c r="BZ458" s="100">
        <v>853.38</v>
      </c>
      <c r="CA458" s="98">
        <v>4.3099999999999996</v>
      </c>
      <c r="CB458" s="100">
        <v>100</v>
      </c>
      <c r="CC458" s="99"/>
      <c r="CD458" s="99"/>
      <c r="CE458" s="989">
        <v>100</v>
      </c>
      <c r="CF458" s="410"/>
      <c r="CG458" s="408"/>
      <c r="CH458" s="407"/>
      <c r="CI458" s="406"/>
      <c r="CJ458" s="406"/>
      <c r="CK458" s="406"/>
      <c r="CL458" s="406"/>
      <c r="CM458" s="406"/>
      <c r="CN458" s="406"/>
      <c r="CO458" s="473"/>
      <c r="CP458" s="467"/>
      <c r="CQ458" s="409"/>
      <c r="CR458" s="412"/>
      <c r="CS458" s="409"/>
      <c r="CT458" s="407"/>
      <c r="CU458" s="406"/>
      <c r="CV458" s="406"/>
      <c r="CW458" s="407"/>
      <c r="CX458" s="467"/>
      <c r="CY458" s="467"/>
      <c r="CZ458" s="406"/>
      <c r="DA458" s="407"/>
      <c r="DB458" s="467"/>
      <c r="DC458" s="467"/>
      <c r="DD458" s="467"/>
      <c r="DE458" s="467"/>
      <c r="DF458" s="407"/>
    </row>
    <row r="459" spans="1:110" ht="8.4499999999999993" customHeight="1" x14ac:dyDescent="0.2">
      <c r="A459" s="130" t="s">
        <v>569</v>
      </c>
      <c r="B459" s="96">
        <v>74</v>
      </c>
      <c r="C459" s="82" t="s">
        <v>2753</v>
      </c>
      <c r="D459" s="104">
        <v>511</v>
      </c>
      <c r="E459" s="82" t="s">
        <v>1557</v>
      </c>
      <c r="F459" s="82" t="s">
        <v>2024</v>
      </c>
      <c r="G459" s="97">
        <v>22000</v>
      </c>
      <c r="H459" s="98">
        <v>0.25</v>
      </c>
      <c r="I459" s="100">
        <v>990</v>
      </c>
      <c r="J459" s="98">
        <v>4.5</v>
      </c>
      <c r="K459" s="98">
        <v>4.5</v>
      </c>
      <c r="L459" s="100">
        <v>904.2</v>
      </c>
      <c r="M459" s="98">
        <v>4.1100000000000003</v>
      </c>
      <c r="N459" s="98">
        <v>8.61</v>
      </c>
      <c r="O459" s="100">
        <v>904.2</v>
      </c>
      <c r="P459" s="98">
        <v>4.1100000000000003</v>
      </c>
      <c r="Q459" s="102">
        <v>12.72</v>
      </c>
      <c r="R459" s="100">
        <v>904.2</v>
      </c>
      <c r="S459" s="98">
        <v>4.1100000000000003</v>
      </c>
      <c r="T459" s="102">
        <v>16.829999999999998</v>
      </c>
      <c r="U459" s="100">
        <v>860.2</v>
      </c>
      <c r="V459" s="98">
        <v>3.91</v>
      </c>
      <c r="W459" s="102">
        <v>20.74</v>
      </c>
      <c r="X459" s="100">
        <v>948.2</v>
      </c>
      <c r="Y459" s="98">
        <v>4.3099999999999996</v>
      </c>
      <c r="Z459" s="102">
        <v>25.05</v>
      </c>
      <c r="AA459" s="100">
        <v>860.2</v>
      </c>
      <c r="AB459" s="98">
        <v>3.91</v>
      </c>
      <c r="AC459" s="102">
        <v>28.96</v>
      </c>
      <c r="AD459" s="100">
        <v>860.2</v>
      </c>
      <c r="AE459" s="98">
        <v>3.91</v>
      </c>
      <c r="AF459" s="102">
        <v>32.869999999999997</v>
      </c>
      <c r="AG459" s="100">
        <v>990</v>
      </c>
      <c r="AH459" s="98">
        <v>4.5</v>
      </c>
      <c r="AI459" s="102">
        <v>37.369999999999997</v>
      </c>
      <c r="AJ459" s="100">
        <v>904.2</v>
      </c>
      <c r="AK459" s="98">
        <v>4.1100000000000003</v>
      </c>
      <c r="AL459" s="102">
        <v>41.48</v>
      </c>
      <c r="AM459" s="100">
        <v>904.2</v>
      </c>
      <c r="AN459" s="98">
        <v>4.1100000000000003</v>
      </c>
      <c r="AO459" s="102">
        <v>45.59</v>
      </c>
      <c r="AP459" s="100">
        <v>948.2</v>
      </c>
      <c r="AQ459" s="98">
        <v>4.3099999999999996</v>
      </c>
      <c r="AR459" s="102">
        <v>49.9</v>
      </c>
      <c r="AS459" s="100">
        <v>948.2</v>
      </c>
      <c r="AT459" s="98">
        <v>4.3099999999999996</v>
      </c>
      <c r="AU459" s="102">
        <v>54.21</v>
      </c>
      <c r="AV459" s="100">
        <v>948.2</v>
      </c>
      <c r="AW459" s="98">
        <v>4.3099999999999996</v>
      </c>
      <c r="AX459" s="102">
        <v>58.52</v>
      </c>
      <c r="AY459" s="100">
        <v>904.2</v>
      </c>
      <c r="AZ459" s="98">
        <v>4.1100000000000003</v>
      </c>
      <c r="BA459" s="102">
        <v>62.63</v>
      </c>
      <c r="BB459" s="100">
        <v>860.2</v>
      </c>
      <c r="BC459" s="98">
        <v>3.91</v>
      </c>
      <c r="BD459" s="102">
        <v>66.540000000000006</v>
      </c>
      <c r="BE459" s="100">
        <v>860.2</v>
      </c>
      <c r="BF459" s="98">
        <v>3.91</v>
      </c>
      <c r="BG459" s="102">
        <v>70.45</v>
      </c>
      <c r="BH459" s="100">
        <v>990</v>
      </c>
      <c r="BI459" s="98">
        <v>4.5</v>
      </c>
      <c r="BJ459" s="102">
        <v>74.95</v>
      </c>
      <c r="BK459" s="100">
        <v>904.2</v>
      </c>
      <c r="BL459" s="98">
        <v>4.1100000000000003</v>
      </c>
      <c r="BM459" s="102">
        <v>79.06</v>
      </c>
      <c r="BN459" s="100">
        <v>860.2</v>
      </c>
      <c r="BO459" s="98">
        <v>3.91</v>
      </c>
      <c r="BP459" s="102">
        <v>82.97</v>
      </c>
      <c r="BQ459" s="100">
        <v>990</v>
      </c>
      <c r="BR459" s="98">
        <v>4.5</v>
      </c>
      <c r="BS459" s="102">
        <v>87.47</v>
      </c>
      <c r="BT459" s="100">
        <v>860.2</v>
      </c>
      <c r="BU459" s="98">
        <v>3.91</v>
      </c>
      <c r="BV459" s="102">
        <v>91.38</v>
      </c>
      <c r="BW459" s="100">
        <v>948.2</v>
      </c>
      <c r="BX459" s="98">
        <v>4.3099999999999996</v>
      </c>
      <c r="BY459" s="102">
        <v>95.69</v>
      </c>
      <c r="BZ459" s="100">
        <v>948.2</v>
      </c>
      <c r="CA459" s="98">
        <v>4.3099999999999996</v>
      </c>
      <c r="CB459" s="100">
        <v>100</v>
      </c>
      <c r="CC459" s="99"/>
      <c r="CD459" s="99"/>
      <c r="CE459" s="989">
        <v>100</v>
      </c>
      <c r="CF459" s="410"/>
      <c r="CG459" s="408"/>
      <c r="CH459" s="407"/>
      <c r="CI459" s="406"/>
      <c r="CJ459" s="406"/>
      <c r="CK459" s="406"/>
      <c r="CL459" s="406"/>
      <c r="CM459" s="406"/>
      <c r="CN459" s="406"/>
      <c r="CO459" s="467"/>
      <c r="CP459" s="467"/>
      <c r="CQ459" s="409"/>
      <c r="CR459" s="410"/>
      <c r="CS459" s="409"/>
      <c r="CT459" s="409"/>
      <c r="CU459" s="410"/>
      <c r="CV459" s="409"/>
      <c r="CW459" s="409"/>
      <c r="CX459" s="470"/>
      <c r="CY459" s="467"/>
      <c r="CZ459" s="409"/>
      <c r="DA459" s="407"/>
      <c r="DB459" s="467"/>
      <c r="DC459" s="467"/>
      <c r="DD459" s="467"/>
      <c r="DE459" s="467"/>
      <c r="DF459" s="407"/>
    </row>
    <row r="460" spans="1:110" ht="8.4499999999999993" customHeight="1" x14ac:dyDescent="0.2">
      <c r="A460" s="130" t="s">
        <v>570</v>
      </c>
      <c r="B460" s="96">
        <v>75</v>
      </c>
      <c r="C460" s="82" t="s">
        <v>2754</v>
      </c>
      <c r="D460" s="104">
        <v>511</v>
      </c>
      <c r="E460" s="82" t="s">
        <v>1557</v>
      </c>
      <c r="F460" s="82" t="s">
        <v>2024</v>
      </c>
      <c r="G460" s="101">
        <v>8800</v>
      </c>
      <c r="H460" s="98">
        <v>0.1</v>
      </c>
      <c r="I460" s="100">
        <v>396</v>
      </c>
      <c r="J460" s="98">
        <v>4.5</v>
      </c>
      <c r="K460" s="98">
        <v>4.5</v>
      </c>
      <c r="L460" s="100">
        <v>361.68</v>
      </c>
      <c r="M460" s="98">
        <v>4.1100000000000003</v>
      </c>
      <c r="N460" s="98">
        <v>8.61</v>
      </c>
      <c r="O460" s="100">
        <v>361.68</v>
      </c>
      <c r="P460" s="98">
        <v>4.1100000000000003</v>
      </c>
      <c r="Q460" s="102">
        <v>12.72</v>
      </c>
      <c r="R460" s="100">
        <v>361.68</v>
      </c>
      <c r="S460" s="98">
        <v>4.1100000000000003</v>
      </c>
      <c r="T460" s="102">
        <v>16.829999999999998</v>
      </c>
      <c r="U460" s="100">
        <v>344.08</v>
      </c>
      <c r="V460" s="98">
        <v>3.91</v>
      </c>
      <c r="W460" s="102">
        <v>20.74</v>
      </c>
      <c r="X460" s="100">
        <v>379.28</v>
      </c>
      <c r="Y460" s="98">
        <v>4.3099999999999996</v>
      </c>
      <c r="Z460" s="102">
        <v>25.05</v>
      </c>
      <c r="AA460" s="100">
        <v>344.08</v>
      </c>
      <c r="AB460" s="98">
        <v>3.91</v>
      </c>
      <c r="AC460" s="102">
        <v>28.96</v>
      </c>
      <c r="AD460" s="100">
        <v>344.08</v>
      </c>
      <c r="AE460" s="98">
        <v>3.91</v>
      </c>
      <c r="AF460" s="102">
        <v>32.869999999999997</v>
      </c>
      <c r="AG460" s="100">
        <v>396</v>
      </c>
      <c r="AH460" s="98">
        <v>4.5</v>
      </c>
      <c r="AI460" s="102">
        <v>37.369999999999997</v>
      </c>
      <c r="AJ460" s="100">
        <v>361.68</v>
      </c>
      <c r="AK460" s="98">
        <v>4.1100000000000003</v>
      </c>
      <c r="AL460" s="102">
        <v>41.48</v>
      </c>
      <c r="AM460" s="100">
        <v>361.68</v>
      </c>
      <c r="AN460" s="98">
        <v>4.1100000000000003</v>
      </c>
      <c r="AO460" s="102">
        <v>45.59</v>
      </c>
      <c r="AP460" s="100">
        <v>379.28</v>
      </c>
      <c r="AQ460" s="98">
        <v>4.3099999999999996</v>
      </c>
      <c r="AR460" s="102">
        <v>49.9</v>
      </c>
      <c r="AS460" s="100">
        <v>379.28</v>
      </c>
      <c r="AT460" s="98">
        <v>4.3099999999999996</v>
      </c>
      <c r="AU460" s="102">
        <v>54.21</v>
      </c>
      <c r="AV460" s="100">
        <v>379.28</v>
      </c>
      <c r="AW460" s="98">
        <v>4.3099999999999996</v>
      </c>
      <c r="AX460" s="102">
        <v>58.52</v>
      </c>
      <c r="AY460" s="100">
        <v>361.68</v>
      </c>
      <c r="AZ460" s="98">
        <v>4.1100000000000003</v>
      </c>
      <c r="BA460" s="102">
        <v>62.63</v>
      </c>
      <c r="BB460" s="100">
        <v>344.08</v>
      </c>
      <c r="BC460" s="98">
        <v>3.91</v>
      </c>
      <c r="BD460" s="102">
        <v>66.540000000000006</v>
      </c>
      <c r="BE460" s="100">
        <v>344.08</v>
      </c>
      <c r="BF460" s="98">
        <v>3.91</v>
      </c>
      <c r="BG460" s="102">
        <v>70.45</v>
      </c>
      <c r="BH460" s="100">
        <v>396</v>
      </c>
      <c r="BI460" s="98">
        <v>4.5</v>
      </c>
      <c r="BJ460" s="102">
        <v>74.95</v>
      </c>
      <c r="BK460" s="100">
        <v>361.68</v>
      </c>
      <c r="BL460" s="98">
        <v>4.1100000000000003</v>
      </c>
      <c r="BM460" s="102">
        <v>79.06</v>
      </c>
      <c r="BN460" s="100">
        <v>344.08</v>
      </c>
      <c r="BO460" s="98">
        <v>3.91</v>
      </c>
      <c r="BP460" s="102">
        <v>82.97</v>
      </c>
      <c r="BQ460" s="100">
        <v>396</v>
      </c>
      <c r="BR460" s="98">
        <v>4.5</v>
      </c>
      <c r="BS460" s="102">
        <v>87.47</v>
      </c>
      <c r="BT460" s="100">
        <v>344.08</v>
      </c>
      <c r="BU460" s="98">
        <v>3.91</v>
      </c>
      <c r="BV460" s="102">
        <v>91.38</v>
      </c>
      <c r="BW460" s="100">
        <v>379.28</v>
      </c>
      <c r="BX460" s="98">
        <v>4.3099999999999996</v>
      </c>
      <c r="BY460" s="102">
        <v>95.69</v>
      </c>
      <c r="BZ460" s="100">
        <v>379.28</v>
      </c>
      <c r="CA460" s="98">
        <v>4.3099999999999996</v>
      </c>
      <c r="CB460" s="100">
        <v>100</v>
      </c>
      <c r="CC460" s="99"/>
      <c r="CD460" s="99"/>
      <c r="CE460" s="989">
        <v>100</v>
      </c>
      <c r="CF460" s="407"/>
      <c r="CG460" s="408"/>
      <c r="CH460" s="407"/>
      <c r="CI460" s="406"/>
      <c r="CJ460" s="406"/>
      <c r="CK460" s="406"/>
      <c r="CL460" s="406"/>
      <c r="CM460" s="406"/>
      <c r="CN460" s="406"/>
      <c r="CO460" s="467"/>
      <c r="CP460" s="467"/>
      <c r="CQ460" s="407"/>
      <c r="CR460" s="406"/>
      <c r="CS460" s="406"/>
      <c r="CT460" s="407"/>
      <c r="CU460" s="406"/>
      <c r="CV460" s="406"/>
      <c r="CW460" s="407"/>
      <c r="CX460" s="467"/>
      <c r="CY460" s="467"/>
      <c r="CZ460" s="406"/>
      <c r="DA460" s="407"/>
      <c r="DB460" s="467"/>
      <c r="DC460" s="467"/>
      <c r="DD460" s="467"/>
      <c r="DE460" s="467"/>
      <c r="DF460" s="407"/>
    </row>
    <row r="461" spans="1:110" ht="8.4499999999999993" customHeight="1" x14ac:dyDescent="0.2">
      <c r="A461" s="130" t="s">
        <v>571</v>
      </c>
      <c r="B461" s="96">
        <v>76</v>
      </c>
      <c r="C461" s="82" t="s">
        <v>2755</v>
      </c>
      <c r="D461" s="104">
        <v>511</v>
      </c>
      <c r="E461" s="82" t="s">
        <v>1557</v>
      </c>
      <c r="F461" s="82" t="s">
        <v>2024</v>
      </c>
      <c r="G461" s="97">
        <v>10756.68</v>
      </c>
      <c r="H461" s="98">
        <v>0.12</v>
      </c>
      <c r="I461" s="100">
        <v>484.05</v>
      </c>
      <c r="J461" s="98">
        <v>4.5</v>
      </c>
      <c r="K461" s="98">
        <v>4.5</v>
      </c>
      <c r="L461" s="100">
        <v>442.1</v>
      </c>
      <c r="M461" s="98">
        <v>4.1100000000000003</v>
      </c>
      <c r="N461" s="98">
        <v>8.61</v>
      </c>
      <c r="O461" s="100">
        <v>442.1</v>
      </c>
      <c r="P461" s="98">
        <v>4.1100000000000003</v>
      </c>
      <c r="Q461" s="102">
        <v>12.72</v>
      </c>
      <c r="R461" s="100">
        <v>442.1</v>
      </c>
      <c r="S461" s="98">
        <v>4.1100000000000003</v>
      </c>
      <c r="T461" s="102">
        <v>16.829999999999998</v>
      </c>
      <c r="U461" s="100">
        <v>420.59</v>
      </c>
      <c r="V461" s="98">
        <v>3.91</v>
      </c>
      <c r="W461" s="102">
        <v>20.74</v>
      </c>
      <c r="X461" s="100">
        <v>463.61</v>
      </c>
      <c r="Y461" s="98">
        <v>4.3099999999999996</v>
      </c>
      <c r="Z461" s="102">
        <v>25.05</v>
      </c>
      <c r="AA461" s="100">
        <v>420.59</v>
      </c>
      <c r="AB461" s="98">
        <v>3.91</v>
      </c>
      <c r="AC461" s="102">
        <v>28.96</v>
      </c>
      <c r="AD461" s="100">
        <v>420.59</v>
      </c>
      <c r="AE461" s="98">
        <v>3.91</v>
      </c>
      <c r="AF461" s="102">
        <v>32.869999999999997</v>
      </c>
      <c r="AG461" s="100">
        <v>484.05</v>
      </c>
      <c r="AH461" s="98">
        <v>4.5</v>
      </c>
      <c r="AI461" s="102">
        <v>37.369999999999997</v>
      </c>
      <c r="AJ461" s="100">
        <v>442.1</v>
      </c>
      <c r="AK461" s="98">
        <v>4.1100000000000003</v>
      </c>
      <c r="AL461" s="102">
        <v>41.48</v>
      </c>
      <c r="AM461" s="100">
        <v>442.1</v>
      </c>
      <c r="AN461" s="98">
        <v>4.1100000000000003</v>
      </c>
      <c r="AO461" s="102">
        <v>45.59</v>
      </c>
      <c r="AP461" s="100">
        <v>463.61</v>
      </c>
      <c r="AQ461" s="98">
        <v>4.3099999999999996</v>
      </c>
      <c r="AR461" s="102">
        <v>49.9</v>
      </c>
      <c r="AS461" s="100">
        <v>463.61</v>
      </c>
      <c r="AT461" s="98">
        <v>4.3099999999999996</v>
      </c>
      <c r="AU461" s="102">
        <v>54.21</v>
      </c>
      <c r="AV461" s="100">
        <v>463.61</v>
      </c>
      <c r="AW461" s="98">
        <v>4.3099999999999996</v>
      </c>
      <c r="AX461" s="102">
        <v>58.52</v>
      </c>
      <c r="AY461" s="100">
        <v>442.1</v>
      </c>
      <c r="AZ461" s="98">
        <v>4.1100000000000003</v>
      </c>
      <c r="BA461" s="102">
        <v>62.63</v>
      </c>
      <c r="BB461" s="100">
        <v>420.59</v>
      </c>
      <c r="BC461" s="98">
        <v>3.91</v>
      </c>
      <c r="BD461" s="102">
        <v>66.540000000000006</v>
      </c>
      <c r="BE461" s="100">
        <v>420.59</v>
      </c>
      <c r="BF461" s="98">
        <v>3.91</v>
      </c>
      <c r="BG461" s="102">
        <v>70.45</v>
      </c>
      <c r="BH461" s="100">
        <v>484.05</v>
      </c>
      <c r="BI461" s="98">
        <v>4.5</v>
      </c>
      <c r="BJ461" s="102">
        <v>74.95</v>
      </c>
      <c r="BK461" s="100">
        <v>442.1</v>
      </c>
      <c r="BL461" s="98">
        <v>4.1100000000000003</v>
      </c>
      <c r="BM461" s="102">
        <v>79.06</v>
      </c>
      <c r="BN461" s="100">
        <v>420.59</v>
      </c>
      <c r="BO461" s="98">
        <v>3.91</v>
      </c>
      <c r="BP461" s="102">
        <v>82.97</v>
      </c>
      <c r="BQ461" s="100">
        <v>484.05</v>
      </c>
      <c r="BR461" s="98">
        <v>4.5</v>
      </c>
      <c r="BS461" s="102">
        <v>87.47</v>
      </c>
      <c r="BT461" s="100">
        <v>420.59</v>
      </c>
      <c r="BU461" s="98">
        <v>3.91</v>
      </c>
      <c r="BV461" s="102">
        <v>91.38</v>
      </c>
      <c r="BW461" s="100">
        <v>463.61</v>
      </c>
      <c r="BX461" s="98">
        <v>4.3099999999999996</v>
      </c>
      <c r="BY461" s="102">
        <v>95.69</v>
      </c>
      <c r="BZ461" s="100">
        <v>463.61</v>
      </c>
      <c r="CA461" s="98">
        <v>4.3099999999999996</v>
      </c>
      <c r="CB461" s="100">
        <v>100</v>
      </c>
      <c r="CC461" s="99"/>
      <c r="CD461" s="99"/>
      <c r="CE461" s="989">
        <v>100</v>
      </c>
      <c r="CF461" s="407"/>
      <c r="CG461" s="408"/>
      <c r="CH461" s="407"/>
      <c r="CI461" s="406"/>
      <c r="CJ461" s="406"/>
      <c r="CK461" s="406"/>
      <c r="CL461" s="406"/>
      <c r="CM461" s="406"/>
      <c r="CN461" s="406"/>
      <c r="CO461" s="467"/>
      <c r="CP461" s="467"/>
      <c r="CQ461" s="406"/>
      <c r="CR461" s="406"/>
      <c r="CS461" s="406"/>
      <c r="CT461" s="406"/>
      <c r="CU461" s="406"/>
      <c r="CV461" s="406"/>
      <c r="CW461" s="406"/>
      <c r="CX461" s="467"/>
      <c r="CY461" s="467"/>
      <c r="CZ461" s="406"/>
      <c r="DA461" s="406"/>
      <c r="DB461" s="475"/>
      <c r="DC461" s="467"/>
      <c r="DD461" s="468"/>
      <c r="DE461" s="467"/>
      <c r="DF461" s="407"/>
    </row>
    <row r="462" spans="1:110" ht="8.4499999999999993" customHeight="1" x14ac:dyDescent="0.2">
      <c r="A462" s="130" t="s">
        <v>572</v>
      </c>
      <c r="B462" s="96">
        <v>77</v>
      </c>
      <c r="C462" s="82" t="s">
        <v>2756</v>
      </c>
      <c r="D462" s="104">
        <v>511</v>
      </c>
      <c r="E462" s="82" t="s">
        <v>1557</v>
      </c>
      <c r="F462" s="82" t="s">
        <v>2024</v>
      </c>
      <c r="G462" s="101">
        <v>3600</v>
      </c>
      <c r="H462" s="98">
        <v>0.04</v>
      </c>
      <c r="I462" s="100">
        <v>162</v>
      </c>
      <c r="J462" s="98">
        <v>4.5</v>
      </c>
      <c r="K462" s="98">
        <v>4.5</v>
      </c>
      <c r="L462" s="100">
        <v>147.96</v>
      </c>
      <c r="M462" s="98">
        <v>4.1100000000000003</v>
      </c>
      <c r="N462" s="98">
        <v>8.61</v>
      </c>
      <c r="O462" s="100">
        <v>147.96</v>
      </c>
      <c r="P462" s="98">
        <v>4.1100000000000003</v>
      </c>
      <c r="Q462" s="102">
        <v>12.72</v>
      </c>
      <c r="R462" s="100">
        <v>147.96</v>
      </c>
      <c r="S462" s="98">
        <v>4.1100000000000003</v>
      </c>
      <c r="T462" s="102">
        <v>16.829999999999998</v>
      </c>
      <c r="U462" s="100">
        <v>140.76</v>
      </c>
      <c r="V462" s="98">
        <v>3.91</v>
      </c>
      <c r="W462" s="102">
        <v>20.74</v>
      </c>
      <c r="X462" s="100">
        <v>155.16</v>
      </c>
      <c r="Y462" s="98">
        <v>4.3099999999999996</v>
      </c>
      <c r="Z462" s="102">
        <v>25.05</v>
      </c>
      <c r="AA462" s="100">
        <v>140.76</v>
      </c>
      <c r="AB462" s="98">
        <v>3.91</v>
      </c>
      <c r="AC462" s="102">
        <v>28.96</v>
      </c>
      <c r="AD462" s="100">
        <v>140.76</v>
      </c>
      <c r="AE462" s="98">
        <v>3.91</v>
      </c>
      <c r="AF462" s="102">
        <v>32.869999999999997</v>
      </c>
      <c r="AG462" s="100">
        <v>162</v>
      </c>
      <c r="AH462" s="98">
        <v>4.5</v>
      </c>
      <c r="AI462" s="102">
        <v>37.369999999999997</v>
      </c>
      <c r="AJ462" s="100">
        <v>147.96</v>
      </c>
      <c r="AK462" s="98">
        <v>4.1100000000000003</v>
      </c>
      <c r="AL462" s="102">
        <v>41.48</v>
      </c>
      <c r="AM462" s="100">
        <v>147.96</v>
      </c>
      <c r="AN462" s="98">
        <v>4.1100000000000003</v>
      </c>
      <c r="AO462" s="102">
        <v>45.59</v>
      </c>
      <c r="AP462" s="100">
        <v>155.16</v>
      </c>
      <c r="AQ462" s="98">
        <v>4.3099999999999996</v>
      </c>
      <c r="AR462" s="102">
        <v>49.9</v>
      </c>
      <c r="AS462" s="100">
        <v>155.16</v>
      </c>
      <c r="AT462" s="98">
        <v>4.3099999999999996</v>
      </c>
      <c r="AU462" s="102">
        <v>54.21</v>
      </c>
      <c r="AV462" s="100">
        <v>155.16</v>
      </c>
      <c r="AW462" s="98">
        <v>4.3099999999999996</v>
      </c>
      <c r="AX462" s="102">
        <v>58.52</v>
      </c>
      <c r="AY462" s="100">
        <v>147.96</v>
      </c>
      <c r="AZ462" s="98">
        <v>4.1100000000000003</v>
      </c>
      <c r="BA462" s="102">
        <v>62.63</v>
      </c>
      <c r="BB462" s="100">
        <v>140.76</v>
      </c>
      <c r="BC462" s="98">
        <v>3.91</v>
      </c>
      <c r="BD462" s="102">
        <v>66.540000000000006</v>
      </c>
      <c r="BE462" s="100">
        <v>140.76</v>
      </c>
      <c r="BF462" s="98">
        <v>3.91</v>
      </c>
      <c r="BG462" s="102">
        <v>70.45</v>
      </c>
      <c r="BH462" s="100">
        <v>162</v>
      </c>
      <c r="BI462" s="98">
        <v>4.5</v>
      </c>
      <c r="BJ462" s="102">
        <v>74.95</v>
      </c>
      <c r="BK462" s="100">
        <v>147.96</v>
      </c>
      <c r="BL462" s="98">
        <v>4.1100000000000003</v>
      </c>
      <c r="BM462" s="102">
        <v>79.06</v>
      </c>
      <c r="BN462" s="100">
        <v>140.76</v>
      </c>
      <c r="BO462" s="98">
        <v>3.91</v>
      </c>
      <c r="BP462" s="102">
        <v>82.97</v>
      </c>
      <c r="BQ462" s="100">
        <v>162</v>
      </c>
      <c r="BR462" s="98">
        <v>4.5</v>
      </c>
      <c r="BS462" s="102">
        <v>87.47</v>
      </c>
      <c r="BT462" s="100">
        <v>140.76</v>
      </c>
      <c r="BU462" s="98">
        <v>3.91</v>
      </c>
      <c r="BV462" s="102">
        <v>91.38</v>
      </c>
      <c r="BW462" s="100">
        <v>155.16</v>
      </c>
      <c r="BX462" s="98">
        <v>4.3099999999999996</v>
      </c>
      <c r="BY462" s="102">
        <v>95.69</v>
      </c>
      <c r="BZ462" s="100">
        <v>155.16</v>
      </c>
      <c r="CA462" s="98">
        <v>4.3099999999999996</v>
      </c>
      <c r="CB462" s="100">
        <v>100</v>
      </c>
      <c r="CC462" s="99"/>
      <c r="CD462" s="99"/>
      <c r="CE462" s="989">
        <v>100</v>
      </c>
      <c r="CF462" s="407"/>
      <c r="CG462" s="408"/>
      <c r="CH462" s="407"/>
      <c r="CI462" s="406"/>
      <c r="CJ462" s="406"/>
      <c r="CK462" s="406"/>
      <c r="CL462" s="406"/>
      <c r="CM462" s="406"/>
      <c r="CN462" s="406"/>
      <c r="CO462" s="467"/>
      <c r="CP462" s="467"/>
      <c r="CQ462" s="409"/>
      <c r="CR462" s="406"/>
      <c r="CS462" s="406"/>
      <c r="CT462" s="409"/>
      <c r="CU462" s="412"/>
      <c r="CV462" s="409"/>
      <c r="CW462" s="407"/>
      <c r="CX462" s="467"/>
      <c r="CY462" s="467"/>
      <c r="CZ462" s="406"/>
      <c r="DA462" s="407"/>
      <c r="DB462" s="467"/>
      <c r="DC462" s="467"/>
      <c r="DD462" s="467"/>
      <c r="DE462" s="467"/>
      <c r="DF462" s="407"/>
    </row>
    <row r="463" spans="1:110" ht="8.4499999999999993" customHeight="1" x14ac:dyDescent="0.2">
      <c r="A463" s="130" t="s">
        <v>573</v>
      </c>
      <c r="B463" s="96">
        <v>78</v>
      </c>
      <c r="C463" s="82" t="s">
        <v>2757</v>
      </c>
      <c r="D463" s="104">
        <v>511</v>
      </c>
      <c r="E463" s="82" t="s">
        <v>1557</v>
      </c>
      <c r="F463" s="82" t="s">
        <v>2024</v>
      </c>
      <c r="G463" s="97">
        <v>22880</v>
      </c>
      <c r="H463" s="98">
        <v>0.26</v>
      </c>
      <c r="I463" s="101">
        <v>1029.5999999999999</v>
      </c>
      <c r="J463" s="98">
        <v>4.5</v>
      </c>
      <c r="K463" s="98">
        <v>4.5</v>
      </c>
      <c r="L463" s="100">
        <v>940.37</v>
      </c>
      <c r="M463" s="98">
        <v>4.1100000000000003</v>
      </c>
      <c r="N463" s="98">
        <v>8.61</v>
      </c>
      <c r="O463" s="100">
        <v>940.37</v>
      </c>
      <c r="P463" s="98">
        <v>4.1100000000000003</v>
      </c>
      <c r="Q463" s="102">
        <v>12.72</v>
      </c>
      <c r="R463" s="100">
        <v>940.37</v>
      </c>
      <c r="S463" s="98">
        <v>4.1100000000000003</v>
      </c>
      <c r="T463" s="102">
        <v>16.829999999999998</v>
      </c>
      <c r="U463" s="100">
        <v>894.61</v>
      </c>
      <c r="V463" s="98">
        <v>3.91</v>
      </c>
      <c r="W463" s="102">
        <v>20.74</v>
      </c>
      <c r="X463" s="100">
        <v>986.13</v>
      </c>
      <c r="Y463" s="98">
        <v>4.3099999999999996</v>
      </c>
      <c r="Z463" s="102">
        <v>25.05</v>
      </c>
      <c r="AA463" s="100">
        <v>894.61</v>
      </c>
      <c r="AB463" s="98">
        <v>3.91</v>
      </c>
      <c r="AC463" s="102">
        <v>28.96</v>
      </c>
      <c r="AD463" s="100">
        <v>894.61</v>
      </c>
      <c r="AE463" s="98">
        <v>3.91</v>
      </c>
      <c r="AF463" s="102">
        <v>32.869999999999997</v>
      </c>
      <c r="AG463" s="101">
        <v>1029.5999999999999</v>
      </c>
      <c r="AH463" s="98">
        <v>4.5</v>
      </c>
      <c r="AI463" s="102">
        <v>37.369999999999997</v>
      </c>
      <c r="AJ463" s="100">
        <v>940.37</v>
      </c>
      <c r="AK463" s="98">
        <v>4.1100000000000003</v>
      </c>
      <c r="AL463" s="102">
        <v>41.48</v>
      </c>
      <c r="AM463" s="100">
        <v>940.37</v>
      </c>
      <c r="AN463" s="98">
        <v>4.1100000000000003</v>
      </c>
      <c r="AO463" s="102">
        <v>45.59</v>
      </c>
      <c r="AP463" s="100">
        <v>986.13</v>
      </c>
      <c r="AQ463" s="98">
        <v>4.3099999999999996</v>
      </c>
      <c r="AR463" s="102">
        <v>49.9</v>
      </c>
      <c r="AS463" s="100">
        <v>986.13</v>
      </c>
      <c r="AT463" s="98">
        <v>4.3099999999999996</v>
      </c>
      <c r="AU463" s="102">
        <v>54.21</v>
      </c>
      <c r="AV463" s="100">
        <v>986.13</v>
      </c>
      <c r="AW463" s="98">
        <v>4.3099999999999996</v>
      </c>
      <c r="AX463" s="102">
        <v>58.52</v>
      </c>
      <c r="AY463" s="100">
        <v>940.37</v>
      </c>
      <c r="AZ463" s="98">
        <v>4.1100000000000003</v>
      </c>
      <c r="BA463" s="102">
        <v>62.63</v>
      </c>
      <c r="BB463" s="100">
        <v>894.61</v>
      </c>
      <c r="BC463" s="98">
        <v>3.91</v>
      </c>
      <c r="BD463" s="102">
        <v>66.540000000000006</v>
      </c>
      <c r="BE463" s="100">
        <v>894.61</v>
      </c>
      <c r="BF463" s="98">
        <v>3.91</v>
      </c>
      <c r="BG463" s="102">
        <v>70.45</v>
      </c>
      <c r="BH463" s="101">
        <v>1029.5999999999999</v>
      </c>
      <c r="BI463" s="98">
        <v>4.5</v>
      </c>
      <c r="BJ463" s="102">
        <v>74.95</v>
      </c>
      <c r="BK463" s="100">
        <v>940.37</v>
      </c>
      <c r="BL463" s="98">
        <v>4.1100000000000003</v>
      </c>
      <c r="BM463" s="102">
        <v>79.06</v>
      </c>
      <c r="BN463" s="100">
        <v>894.61</v>
      </c>
      <c r="BO463" s="98">
        <v>3.91</v>
      </c>
      <c r="BP463" s="102">
        <v>82.97</v>
      </c>
      <c r="BQ463" s="101">
        <v>1029.5999999999999</v>
      </c>
      <c r="BR463" s="98">
        <v>4.5</v>
      </c>
      <c r="BS463" s="102">
        <v>87.47</v>
      </c>
      <c r="BT463" s="100">
        <v>894.61</v>
      </c>
      <c r="BU463" s="98">
        <v>3.91</v>
      </c>
      <c r="BV463" s="102">
        <v>91.38</v>
      </c>
      <c r="BW463" s="100">
        <v>986.13</v>
      </c>
      <c r="BX463" s="98">
        <v>4.3099999999999996</v>
      </c>
      <c r="BY463" s="102">
        <v>95.69</v>
      </c>
      <c r="BZ463" s="100">
        <v>986.13</v>
      </c>
      <c r="CA463" s="98">
        <v>4.3099999999999996</v>
      </c>
      <c r="CB463" s="100">
        <v>100</v>
      </c>
      <c r="CC463" s="99"/>
      <c r="CD463" s="99"/>
      <c r="CE463" s="989">
        <v>100</v>
      </c>
      <c r="CF463" s="407"/>
      <c r="CG463" s="408"/>
      <c r="CH463" s="407"/>
      <c r="CI463" s="406"/>
      <c r="CJ463" s="406"/>
      <c r="CK463" s="406"/>
      <c r="CL463" s="406"/>
      <c r="CM463" s="406"/>
      <c r="CN463" s="406"/>
      <c r="CO463" s="466"/>
      <c r="CP463" s="464"/>
      <c r="CQ463" s="404"/>
      <c r="CR463" s="403"/>
      <c r="CS463" s="404"/>
      <c r="CT463" s="405"/>
      <c r="CU463" s="460"/>
      <c r="CV463" s="460"/>
      <c r="CW463" s="405"/>
      <c r="CX463" s="464"/>
      <c r="CY463" s="464"/>
      <c r="CZ463" s="460"/>
      <c r="DA463" s="405"/>
      <c r="DB463" s="464"/>
      <c r="DC463" s="464"/>
      <c r="DD463" s="464"/>
      <c r="DE463" s="464"/>
      <c r="DF463" s="405"/>
    </row>
    <row r="464" spans="1:110" ht="8.4499999999999993" customHeight="1" x14ac:dyDescent="0.2">
      <c r="A464" s="130" t="s">
        <v>574</v>
      </c>
      <c r="B464" s="96">
        <v>79</v>
      </c>
      <c r="C464" s="82" t="s">
        <v>2758</v>
      </c>
      <c r="D464" s="104">
        <v>511</v>
      </c>
      <c r="E464" s="82" t="s">
        <v>1557</v>
      </c>
      <c r="F464" s="82" t="s">
        <v>2024</v>
      </c>
      <c r="G464" s="101">
        <v>5069.7700000000004</v>
      </c>
      <c r="H464" s="98">
        <v>0.06</v>
      </c>
      <c r="I464" s="100">
        <v>228.14</v>
      </c>
      <c r="J464" s="98">
        <v>4.5</v>
      </c>
      <c r="K464" s="98">
        <v>4.5</v>
      </c>
      <c r="L464" s="100">
        <v>208.37</v>
      </c>
      <c r="M464" s="98">
        <v>4.1100000000000003</v>
      </c>
      <c r="N464" s="98">
        <v>8.61</v>
      </c>
      <c r="O464" s="100">
        <v>208.37</v>
      </c>
      <c r="P464" s="98">
        <v>4.1100000000000003</v>
      </c>
      <c r="Q464" s="102">
        <v>12.72</v>
      </c>
      <c r="R464" s="100">
        <v>208.37</v>
      </c>
      <c r="S464" s="98">
        <v>4.1100000000000003</v>
      </c>
      <c r="T464" s="102">
        <v>16.829999999999998</v>
      </c>
      <c r="U464" s="100">
        <v>198.23</v>
      </c>
      <c r="V464" s="98">
        <v>3.91</v>
      </c>
      <c r="W464" s="102">
        <v>20.74</v>
      </c>
      <c r="X464" s="100">
        <v>218.51</v>
      </c>
      <c r="Y464" s="98">
        <v>4.3099999999999996</v>
      </c>
      <c r="Z464" s="102">
        <v>25.05</v>
      </c>
      <c r="AA464" s="100">
        <v>198.23</v>
      </c>
      <c r="AB464" s="98">
        <v>3.91</v>
      </c>
      <c r="AC464" s="102">
        <v>28.96</v>
      </c>
      <c r="AD464" s="100">
        <v>198.23</v>
      </c>
      <c r="AE464" s="98">
        <v>3.91</v>
      </c>
      <c r="AF464" s="102">
        <v>32.869999999999997</v>
      </c>
      <c r="AG464" s="100">
        <v>228.14</v>
      </c>
      <c r="AH464" s="98">
        <v>4.5</v>
      </c>
      <c r="AI464" s="102">
        <v>37.369999999999997</v>
      </c>
      <c r="AJ464" s="100">
        <v>208.37</v>
      </c>
      <c r="AK464" s="98">
        <v>4.1100000000000003</v>
      </c>
      <c r="AL464" s="102">
        <v>41.48</v>
      </c>
      <c r="AM464" s="100">
        <v>208.37</v>
      </c>
      <c r="AN464" s="98">
        <v>4.1100000000000003</v>
      </c>
      <c r="AO464" s="102">
        <v>45.59</v>
      </c>
      <c r="AP464" s="100">
        <v>218.51</v>
      </c>
      <c r="AQ464" s="98">
        <v>4.3099999999999996</v>
      </c>
      <c r="AR464" s="102">
        <v>49.9</v>
      </c>
      <c r="AS464" s="100">
        <v>218.51</v>
      </c>
      <c r="AT464" s="98">
        <v>4.3099999999999996</v>
      </c>
      <c r="AU464" s="102">
        <v>54.21</v>
      </c>
      <c r="AV464" s="100">
        <v>218.51</v>
      </c>
      <c r="AW464" s="98">
        <v>4.3099999999999996</v>
      </c>
      <c r="AX464" s="102">
        <v>58.52</v>
      </c>
      <c r="AY464" s="100">
        <v>208.37</v>
      </c>
      <c r="AZ464" s="98">
        <v>4.1100000000000003</v>
      </c>
      <c r="BA464" s="102">
        <v>62.63</v>
      </c>
      <c r="BB464" s="100">
        <v>198.23</v>
      </c>
      <c r="BC464" s="98">
        <v>3.91</v>
      </c>
      <c r="BD464" s="102">
        <v>66.540000000000006</v>
      </c>
      <c r="BE464" s="100">
        <v>198.23</v>
      </c>
      <c r="BF464" s="98">
        <v>3.91</v>
      </c>
      <c r="BG464" s="102">
        <v>70.45</v>
      </c>
      <c r="BH464" s="100">
        <v>228.14</v>
      </c>
      <c r="BI464" s="98">
        <v>4.5</v>
      </c>
      <c r="BJ464" s="102">
        <v>74.95</v>
      </c>
      <c r="BK464" s="100">
        <v>208.37</v>
      </c>
      <c r="BL464" s="98">
        <v>4.1100000000000003</v>
      </c>
      <c r="BM464" s="102">
        <v>79.06</v>
      </c>
      <c r="BN464" s="100">
        <v>198.23</v>
      </c>
      <c r="BO464" s="98">
        <v>3.91</v>
      </c>
      <c r="BP464" s="102">
        <v>82.97</v>
      </c>
      <c r="BQ464" s="100">
        <v>228.14</v>
      </c>
      <c r="BR464" s="98">
        <v>4.5</v>
      </c>
      <c r="BS464" s="102">
        <v>87.47</v>
      </c>
      <c r="BT464" s="100">
        <v>198.23</v>
      </c>
      <c r="BU464" s="98">
        <v>3.91</v>
      </c>
      <c r="BV464" s="102">
        <v>91.38</v>
      </c>
      <c r="BW464" s="100">
        <v>218.51</v>
      </c>
      <c r="BX464" s="98">
        <v>4.3099999999999996</v>
      </c>
      <c r="BY464" s="102">
        <v>95.69</v>
      </c>
      <c r="BZ464" s="100">
        <v>218.51</v>
      </c>
      <c r="CA464" s="98">
        <v>4.3099999999999996</v>
      </c>
      <c r="CB464" s="100">
        <v>100</v>
      </c>
      <c r="CC464" s="99"/>
      <c r="CD464" s="99"/>
      <c r="CE464" s="989">
        <v>100</v>
      </c>
      <c r="CF464" s="407"/>
      <c r="CG464" s="408"/>
      <c r="CH464" s="407"/>
      <c r="CI464" s="406"/>
      <c r="CJ464" s="406"/>
      <c r="CK464" s="406"/>
      <c r="CL464" s="406"/>
      <c r="CM464" s="406"/>
      <c r="CN464" s="406"/>
      <c r="CO464" s="469"/>
      <c r="CP464" s="467"/>
      <c r="CQ464" s="409"/>
      <c r="CR464" s="410"/>
      <c r="CS464" s="409"/>
      <c r="CT464" s="407"/>
      <c r="CU464" s="406"/>
      <c r="CV464" s="406"/>
      <c r="CW464" s="407"/>
      <c r="CX464" s="467"/>
      <c r="CY464" s="467"/>
      <c r="CZ464" s="406"/>
      <c r="DA464" s="407"/>
      <c r="DB464" s="467"/>
      <c r="DC464" s="467"/>
      <c r="DD464" s="467"/>
      <c r="DE464" s="467"/>
      <c r="DF464" s="407"/>
    </row>
    <row r="465" spans="1:110" ht="8.4499999999999993" customHeight="1" x14ac:dyDescent="0.2">
      <c r="A465" s="130" t="s">
        <v>575</v>
      </c>
      <c r="B465" s="96">
        <v>80</v>
      </c>
      <c r="C465" s="82" t="s">
        <v>2759</v>
      </c>
      <c r="D465" s="104">
        <v>511</v>
      </c>
      <c r="E465" s="82" t="s">
        <v>1557</v>
      </c>
      <c r="F465" s="82" t="s">
        <v>2024</v>
      </c>
      <c r="G465" s="97">
        <v>36000</v>
      </c>
      <c r="H465" s="98">
        <v>0.41</v>
      </c>
      <c r="I465" s="101">
        <v>1620</v>
      </c>
      <c r="J465" s="98">
        <v>4.5</v>
      </c>
      <c r="K465" s="98">
        <v>4.5</v>
      </c>
      <c r="L465" s="101">
        <v>1479.6</v>
      </c>
      <c r="M465" s="98">
        <v>4.1100000000000003</v>
      </c>
      <c r="N465" s="98">
        <v>8.61</v>
      </c>
      <c r="O465" s="101">
        <v>1479.6</v>
      </c>
      <c r="P465" s="98">
        <v>4.1100000000000003</v>
      </c>
      <c r="Q465" s="102">
        <v>12.72</v>
      </c>
      <c r="R465" s="101">
        <v>1479.6</v>
      </c>
      <c r="S465" s="98">
        <v>4.1100000000000003</v>
      </c>
      <c r="T465" s="102">
        <v>16.829999999999998</v>
      </c>
      <c r="U465" s="101">
        <v>1407.6</v>
      </c>
      <c r="V465" s="98">
        <v>3.91</v>
      </c>
      <c r="W465" s="102">
        <v>20.74</v>
      </c>
      <c r="X465" s="101">
        <v>1551.6</v>
      </c>
      <c r="Y465" s="98">
        <v>4.3099999999999996</v>
      </c>
      <c r="Z465" s="102">
        <v>25.05</v>
      </c>
      <c r="AA465" s="101">
        <v>1407.6</v>
      </c>
      <c r="AB465" s="98">
        <v>3.91</v>
      </c>
      <c r="AC465" s="102">
        <v>28.96</v>
      </c>
      <c r="AD465" s="101">
        <v>1407.6</v>
      </c>
      <c r="AE465" s="98">
        <v>3.91</v>
      </c>
      <c r="AF465" s="102">
        <v>32.869999999999997</v>
      </c>
      <c r="AG465" s="101">
        <v>1620</v>
      </c>
      <c r="AH465" s="98">
        <v>4.5</v>
      </c>
      <c r="AI465" s="102">
        <v>37.369999999999997</v>
      </c>
      <c r="AJ465" s="101">
        <v>1479.6</v>
      </c>
      <c r="AK465" s="98">
        <v>4.1100000000000003</v>
      </c>
      <c r="AL465" s="102">
        <v>41.48</v>
      </c>
      <c r="AM465" s="101">
        <v>1479.6</v>
      </c>
      <c r="AN465" s="98">
        <v>4.1100000000000003</v>
      </c>
      <c r="AO465" s="102">
        <v>45.59</v>
      </c>
      <c r="AP465" s="101">
        <v>1551.6</v>
      </c>
      <c r="AQ465" s="98">
        <v>4.3099999999999996</v>
      </c>
      <c r="AR465" s="102">
        <v>49.9</v>
      </c>
      <c r="AS465" s="101">
        <v>1551.6</v>
      </c>
      <c r="AT465" s="98">
        <v>4.3099999999999996</v>
      </c>
      <c r="AU465" s="102">
        <v>54.21</v>
      </c>
      <c r="AV465" s="101">
        <v>1551.6</v>
      </c>
      <c r="AW465" s="98">
        <v>4.3099999999999996</v>
      </c>
      <c r="AX465" s="102">
        <v>58.52</v>
      </c>
      <c r="AY465" s="101">
        <v>1479.6</v>
      </c>
      <c r="AZ465" s="98">
        <v>4.1100000000000003</v>
      </c>
      <c r="BA465" s="102">
        <v>62.63</v>
      </c>
      <c r="BB465" s="101">
        <v>1407.6</v>
      </c>
      <c r="BC465" s="98">
        <v>3.91</v>
      </c>
      <c r="BD465" s="102">
        <v>66.540000000000006</v>
      </c>
      <c r="BE465" s="101">
        <v>1407.6</v>
      </c>
      <c r="BF465" s="98">
        <v>3.91</v>
      </c>
      <c r="BG465" s="102">
        <v>70.45</v>
      </c>
      <c r="BH465" s="101">
        <v>1620</v>
      </c>
      <c r="BI465" s="98">
        <v>4.5</v>
      </c>
      <c r="BJ465" s="102">
        <v>74.95</v>
      </c>
      <c r="BK465" s="101">
        <v>1479.6</v>
      </c>
      <c r="BL465" s="98">
        <v>4.1100000000000003</v>
      </c>
      <c r="BM465" s="102">
        <v>79.06</v>
      </c>
      <c r="BN465" s="101">
        <v>1407.6</v>
      </c>
      <c r="BO465" s="98">
        <v>3.91</v>
      </c>
      <c r="BP465" s="102">
        <v>82.97</v>
      </c>
      <c r="BQ465" s="101">
        <v>1620</v>
      </c>
      <c r="BR465" s="98">
        <v>4.5</v>
      </c>
      <c r="BS465" s="102">
        <v>87.47</v>
      </c>
      <c r="BT465" s="101">
        <v>1407.6</v>
      </c>
      <c r="BU465" s="98">
        <v>3.91</v>
      </c>
      <c r="BV465" s="102">
        <v>91.38</v>
      </c>
      <c r="BW465" s="101">
        <v>1551.6</v>
      </c>
      <c r="BX465" s="98">
        <v>4.3099999999999996</v>
      </c>
      <c r="BY465" s="102">
        <v>95.69</v>
      </c>
      <c r="BZ465" s="101">
        <v>1551.6</v>
      </c>
      <c r="CA465" s="98">
        <v>4.3099999999999996</v>
      </c>
      <c r="CB465" s="100">
        <v>100</v>
      </c>
      <c r="CC465" s="99"/>
      <c r="CD465" s="99"/>
      <c r="CE465" s="989">
        <v>100</v>
      </c>
      <c r="CF465" s="407"/>
      <c r="CG465" s="408"/>
      <c r="CH465" s="407"/>
      <c r="CI465" s="406"/>
      <c r="CJ465" s="406"/>
      <c r="CK465" s="406"/>
      <c r="CL465" s="406"/>
      <c r="CM465" s="406"/>
      <c r="CN465" s="406"/>
      <c r="CO465" s="473"/>
      <c r="CP465" s="467"/>
      <c r="CQ465" s="409"/>
      <c r="CR465" s="410"/>
      <c r="CS465" s="409"/>
      <c r="CT465" s="407"/>
      <c r="CU465" s="406"/>
      <c r="CV465" s="406"/>
      <c r="CW465" s="407"/>
      <c r="CX465" s="467"/>
      <c r="CY465" s="467"/>
      <c r="CZ465" s="406"/>
      <c r="DA465" s="407"/>
      <c r="DB465" s="467"/>
      <c r="DC465" s="467"/>
      <c r="DD465" s="467"/>
      <c r="DE465" s="467"/>
      <c r="DF465" s="407"/>
    </row>
    <row r="466" spans="1:110" ht="8.4499999999999993" customHeight="1" x14ac:dyDescent="0.2">
      <c r="A466" s="130" t="s">
        <v>836</v>
      </c>
      <c r="B466" s="96">
        <v>81</v>
      </c>
      <c r="C466" s="82" t="s">
        <v>2760</v>
      </c>
      <c r="D466" s="104">
        <v>511</v>
      </c>
      <c r="E466" s="82" t="s">
        <v>1557</v>
      </c>
      <c r="F466" s="82" t="s">
        <v>2024</v>
      </c>
      <c r="G466" s="97">
        <v>84000</v>
      </c>
      <c r="H466" s="98">
        <v>0.95</v>
      </c>
      <c r="I466" s="101">
        <v>3780</v>
      </c>
      <c r="J466" s="98">
        <v>4.5</v>
      </c>
      <c r="K466" s="98">
        <v>4.5</v>
      </c>
      <c r="L466" s="101">
        <v>3452.4</v>
      </c>
      <c r="M466" s="98">
        <v>4.1100000000000003</v>
      </c>
      <c r="N466" s="98">
        <v>8.61</v>
      </c>
      <c r="O466" s="101">
        <v>3452.4</v>
      </c>
      <c r="P466" s="98">
        <v>4.1100000000000003</v>
      </c>
      <c r="Q466" s="102">
        <v>12.72</v>
      </c>
      <c r="R466" s="101">
        <v>3452.4</v>
      </c>
      <c r="S466" s="98">
        <v>4.1100000000000003</v>
      </c>
      <c r="T466" s="102">
        <v>16.829999999999998</v>
      </c>
      <c r="U466" s="101">
        <v>3284.4</v>
      </c>
      <c r="V466" s="98">
        <v>3.91</v>
      </c>
      <c r="W466" s="102">
        <v>20.74</v>
      </c>
      <c r="X466" s="101">
        <v>3620.4</v>
      </c>
      <c r="Y466" s="98">
        <v>4.3099999999999996</v>
      </c>
      <c r="Z466" s="102">
        <v>25.05</v>
      </c>
      <c r="AA466" s="101">
        <v>3284.4</v>
      </c>
      <c r="AB466" s="98">
        <v>3.91</v>
      </c>
      <c r="AC466" s="102">
        <v>28.96</v>
      </c>
      <c r="AD466" s="101">
        <v>3284.4</v>
      </c>
      <c r="AE466" s="98">
        <v>3.91</v>
      </c>
      <c r="AF466" s="102">
        <v>32.869999999999997</v>
      </c>
      <c r="AG466" s="101">
        <v>3780</v>
      </c>
      <c r="AH466" s="98">
        <v>4.5</v>
      </c>
      <c r="AI466" s="102">
        <v>37.369999999999997</v>
      </c>
      <c r="AJ466" s="101">
        <v>3452.4</v>
      </c>
      <c r="AK466" s="98">
        <v>4.1100000000000003</v>
      </c>
      <c r="AL466" s="102">
        <v>41.48</v>
      </c>
      <c r="AM466" s="101">
        <v>3452.4</v>
      </c>
      <c r="AN466" s="98">
        <v>4.1100000000000003</v>
      </c>
      <c r="AO466" s="102">
        <v>45.59</v>
      </c>
      <c r="AP466" s="101">
        <v>3620.4</v>
      </c>
      <c r="AQ466" s="98">
        <v>4.3099999999999996</v>
      </c>
      <c r="AR466" s="102">
        <v>49.9</v>
      </c>
      <c r="AS466" s="101">
        <v>3620.4</v>
      </c>
      <c r="AT466" s="98">
        <v>4.3099999999999996</v>
      </c>
      <c r="AU466" s="102">
        <v>54.21</v>
      </c>
      <c r="AV466" s="101">
        <v>3620.4</v>
      </c>
      <c r="AW466" s="98">
        <v>4.3099999999999996</v>
      </c>
      <c r="AX466" s="102">
        <v>58.52</v>
      </c>
      <c r="AY466" s="101">
        <v>3452.4</v>
      </c>
      <c r="AZ466" s="98">
        <v>4.1100000000000003</v>
      </c>
      <c r="BA466" s="102">
        <v>62.63</v>
      </c>
      <c r="BB466" s="101">
        <v>3284.4</v>
      </c>
      <c r="BC466" s="98">
        <v>3.91</v>
      </c>
      <c r="BD466" s="102">
        <v>66.540000000000006</v>
      </c>
      <c r="BE466" s="101">
        <v>3284.4</v>
      </c>
      <c r="BF466" s="98">
        <v>3.91</v>
      </c>
      <c r="BG466" s="102">
        <v>70.45</v>
      </c>
      <c r="BH466" s="101">
        <v>3780</v>
      </c>
      <c r="BI466" s="98">
        <v>4.5</v>
      </c>
      <c r="BJ466" s="102">
        <v>74.95</v>
      </c>
      <c r="BK466" s="101">
        <v>3452.4</v>
      </c>
      <c r="BL466" s="98">
        <v>4.1100000000000003</v>
      </c>
      <c r="BM466" s="102">
        <v>79.06</v>
      </c>
      <c r="BN466" s="101">
        <v>3284.4</v>
      </c>
      <c r="BO466" s="98">
        <v>3.91</v>
      </c>
      <c r="BP466" s="102">
        <v>82.97</v>
      </c>
      <c r="BQ466" s="101">
        <v>3780</v>
      </c>
      <c r="BR466" s="98">
        <v>4.5</v>
      </c>
      <c r="BS466" s="102">
        <v>87.47</v>
      </c>
      <c r="BT466" s="101">
        <v>3284.4</v>
      </c>
      <c r="BU466" s="98">
        <v>3.91</v>
      </c>
      <c r="BV466" s="102">
        <v>91.38</v>
      </c>
      <c r="BW466" s="101">
        <v>3620.4</v>
      </c>
      <c r="BX466" s="98">
        <v>4.3099999999999996</v>
      </c>
      <c r="BY466" s="102">
        <v>95.69</v>
      </c>
      <c r="BZ466" s="101">
        <v>3620.4</v>
      </c>
      <c r="CA466" s="98">
        <v>4.3099999999999996</v>
      </c>
      <c r="CB466" s="100">
        <v>100</v>
      </c>
      <c r="CC466" s="99"/>
      <c r="CD466" s="99"/>
      <c r="CE466" s="989">
        <v>100</v>
      </c>
      <c r="CF466" s="407"/>
      <c r="CG466" s="408"/>
      <c r="CH466" s="407"/>
      <c r="CI466" s="406"/>
      <c r="CJ466" s="406"/>
      <c r="CK466" s="406"/>
      <c r="CL466" s="406"/>
      <c r="CM466" s="406"/>
      <c r="CN466" s="406"/>
      <c r="CO466" s="469"/>
      <c r="CP466" s="467"/>
      <c r="CQ466" s="409"/>
      <c r="CR466" s="407"/>
      <c r="CS466" s="409"/>
      <c r="CT466" s="407"/>
      <c r="CU466" s="406"/>
      <c r="CV466" s="406"/>
      <c r="CW466" s="407"/>
      <c r="CX466" s="467"/>
      <c r="CY466" s="467"/>
      <c r="CZ466" s="406"/>
      <c r="DA466" s="407"/>
      <c r="DB466" s="467"/>
      <c r="DC466" s="467"/>
      <c r="DD466" s="467"/>
      <c r="DE466" s="467"/>
      <c r="DF466" s="407"/>
    </row>
    <row r="467" spans="1:110" ht="8.4499999999999993" customHeight="1" x14ac:dyDescent="0.2">
      <c r="A467" s="130" t="s">
        <v>576</v>
      </c>
      <c r="B467" s="88">
        <v>82</v>
      </c>
      <c r="C467" s="87" t="s">
        <v>2761</v>
      </c>
      <c r="D467" s="103">
        <v>511</v>
      </c>
      <c r="E467" s="87" t="s">
        <v>1557</v>
      </c>
      <c r="F467" s="87" t="s">
        <v>2024</v>
      </c>
      <c r="G467" s="89">
        <v>76711.92</v>
      </c>
      <c r="H467" s="90">
        <v>0.87</v>
      </c>
      <c r="I467" s="92">
        <v>3452.04</v>
      </c>
      <c r="J467" s="90">
        <v>4.5</v>
      </c>
      <c r="K467" s="90">
        <v>4.5</v>
      </c>
      <c r="L467" s="92">
        <v>3152.86</v>
      </c>
      <c r="M467" s="90">
        <v>4.1100000000000003</v>
      </c>
      <c r="N467" s="90">
        <v>8.61</v>
      </c>
      <c r="O467" s="92">
        <v>3152.86</v>
      </c>
      <c r="P467" s="90">
        <v>4.1100000000000003</v>
      </c>
      <c r="Q467" s="91">
        <v>12.72</v>
      </c>
      <c r="R467" s="92">
        <v>3152.86</v>
      </c>
      <c r="S467" s="90">
        <v>4.1100000000000003</v>
      </c>
      <c r="T467" s="91">
        <v>16.829999999999998</v>
      </c>
      <c r="U467" s="92">
        <v>2999.44</v>
      </c>
      <c r="V467" s="90">
        <v>3.91</v>
      </c>
      <c r="W467" s="91">
        <v>20.74</v>
      </c>
      <c r="X467" s="92">
        <v>3306.28</v>
      </c>
      <c r="Y467" s="90">
        <v>4.3099999999999996</v>
      </c>
      <c r="Z467" s="91">
        <v>25.05</v>
      </c>
      <c r="AA467" s="92">
        <v>2999.44</v>
      </c>
      <c r="AB467" s="90">
        <v>3.91</v>
      </c>
      <c r="AC467" s="91">
        <v>28.96</v>
      </c>
      <c r="AD467" s="92">
        <v>2999.44</v>
      </c>
      <c r="AE467" s="90">
        <v>3.91</v>
      </c>
      <c r="AF467" s="91">
        <v>32.869999999999997</v>
      </c>
      <c r="AG467" s="92">
        <v>3452.04</v>
      </c>
      <c r="AH467" s="90">
        <v>4.5</v>
      </c>
      <c r="AI467" s="91">
        <v>37.369999999999997</v>
      </c>
      <c r="AJ467" s="92">
        <v>3152.86</v>
      </c>
      <c r="AK467" s="90">
        <v>4.1100000000000003</v>
      </c>
      <c r="AL467" s="91">
        <v>41.48</v>
      </c>
      <c r="AM467" s="92">
        <v>3152.86</v>
      </c>
      <c r="AN467" s="90">
        <v>4.1100000000000003</v>
      </c>
      <c r="AO467" s="91">
        <v>45.59</v>
      </c>
      <c r="AP467" s="92">
        <v>3306.28</v>
      </c>
      <c r="AQ467" s="90">
        <v>4.3099999999999996</v>
      </c>
      <c r="AR467" s="91">
        <v>49.9</v>
      </c>
      <c r="AS467" s="92">
        <v>3306.28</v>
      </c>
      <c r="AT467" s="90">
        <v>4.3099999999999996</v>
      </c>
      <c r="AU467" s="91">
        <v>54.21</v>
      </c>
      <c r="AV467" s="92">
        <v>3306.28</v>
      </c>
      <c r="AW467" s="90">
        <v>4.3099999999999996</v>
      </c>
      <c r="AX467" s="91">
        <v>58.52</v>
      </c>
      <c r="AY467" s="92">
        <v>3152.86</v>
      </c>
      <c r="AZ467" s="90">
        <v>4.1100000000000003</v>
      </c>
      <c r="BA467" s="91">
        <v>62.63</v>
      </c>
      <c r="BB467" s="92">
        <v>2999.44</v>
      </c>
      <c r="BC467" s="90">
        <v>3.91</v>
      </c>
      <c r="BD467" s="91">
        <v>66.540000000000006</v>
      </c>
      <c r="BE467" s="92">
        <v>2999.44</v>
      </c>
      <c r="BF467" s="90">
        <v>3.91</v>
      </c>
      <c r="BG467" s="91">
        <v>70.45</v>
      </c>
      <c r="BH467" s="92">
        <v>3452.04</v>
      </c>
      <c r="BI467" s="90">
        <v>4.5</v>
      </c>
      <c r="BJ467" s="91">
        <v>74.95</v>
      </c>
      <c r="BK467" s="92">
        <v>3152.86</v>
      </c>
      <c r="BL467" s="90">
        <v>4.1100000000000003</v>
      </c>
      <c r="BM467" s="91">
        <v>79.06</v>
      </c>
      <c r="BN467" s="92">
        <v>2999.44</v>
      </c>
      <c r="BO467" s="90">
        <v>3.91</v>
      </c>
      <c r="BP467" s="91">
        <v>82.97</v>
      </c>
      <c r="BQ467" s="92">
        <v>3452.04</v>
      </c>
      <c r="BR467" s="90">
        <v>4.5</v>
      </c>
      <c r="BS467" s="91">
        <v>87.47</v>
      </c>
      <c r="BT467" s="92">
        <v>2999.44</v>
      </c>
      <c r="BU467" s="90">
        <v>3.91</v>
      </c>
      <c r="BV467" s="91">
        <v>91.38</v>
      </c>
      <c r="BW467" s="92">
        <v>3306.28</v>
      </c>
      <c r="BX467" s="90">
        <v>4.3099999999999996</v>
      </c>
      <c r="BY467" s="91">
        <v>95.69</v>
      </c>
      <c r="BZ467" s="92">
        <v>3306.28</v>
      </c>
      <c r="CA467" s="90">
        <v>4.3099999999999996</v>
      </c>
      <c r="CB467" s="93">
        <v>100</v>
      </c>
      <c r="CC467" s="94"/>
      <c r="CD467" s="94"/>
      <c r="CE467" s="988">
        <v>100</v>
      </c>
      <c r="CF467" s="406"/>
      <c r="CG467" s="406"/>
      <c r="CH467" s="407"/>
      <c r="CI467" s="406"/>
      <c r="CJ467" s="406"/>
      <c r="CK467" s="406"/>
      <c r="CL467" s="406"/>
      <c r="CM467" s="406"/>
      <c r="CN467" s="406"/>
      <c r="CO467" s="469"/>
      <c r="CP467" s="467"/>
      <c r="CQ467" s="409"/>
      <c r="CR467" s="407"/>
      <c r="CS467" s="409"/>
      <c r="CT467" s="407"/>
      <c r="CU467" s="406"/>
      <c r="CV467" s="406"/>
      <c r="CW467" s="407"/>
      <c r="CX467" s="467"/>
      <c r="CY467" s="467"/>
      <c r="CZ467" s="406"/>
      <c r="DA467" s="407"/>
      <c r="DB467" s="467"/>
      <c r="DC467" s="467"/>
      <c r="DD467" s="467"/>
      <c r="DE467" s="467"/>
      <c r="DF467" s="407"/>
    </row>
    <row r="468" spans="1:110" ht="8.4499999999999993" customHeight="1" x14ac:dyDescent="0.2">
      <c r="A468" s="130" t="s">
        <v>577</v>
      </c>
      <c r="B468" s="96">
        <v>83</v>
      </c>
      <c r="C468" s="82" t="s">
        <v>2762</v>
      </c>
      <c r="D468" s="104">
        <v>511</v>
      </c>
      <c r="E468" s="82" t="s">
        <v>1557</v>
      </c>
      <c r="F468" s="82" t="s">
        <v>2024</v>
      </c>
      <c r="G468" s="100">
        <v>450</v>
      </c>
      <c r="H468" s="98">
        <v>0.01</v>
      </c>
      <c r="I468" s="102">
        <v>20.25</v>
      </c>
      <c r="J468" s="98">
        <v>4.5</v>
      </c>
      <c r="K468" s="98">
        <v>4.5</v>
      </c>
      <c r="L468" s="102">
        <v>18.5</v>
      </c>
      <c r="M468" s="98">
        <v>4.1100000000000003</v>
      </c>
      <c r="N468" s="98">
        <v>8.61</v>
      </c>
      <c r="O468" s="102">
        <v>18.5</v>
      </c>
      <c r="P468" s="98">
        <v>4.1100000000000003</v>
      </c>
      <c r="Q468" s="102">
        <v>12.72</v>
      </c>
      <c r="R468" s="102">
        <v>18.5</v>
      </c>
      <c r="S468" s="98">
        <v>4.1100000000000003</v>
      </c>
      <c r="T468" s="102">
        <v>16.829999999999998</v>
      </c>
      <c r="U468" s="102">
        <v>17.600000000000001</v>
      </c>
      <c r="V468" s="98">
        <v>3.91</v>
      </c>
      <c r="W468" s="102">
        <v>20.74</v>
      </c>
      <c r="X468" s="102">
        <v>19.399999999999999</v>
      </c>
      <c r="Y468" s="98">
        <v>4.3099999999999996</v>
      </c>
      <c r="Z468" s="102">
        <v>25.05</v>
      </c>
      <c r="AA468" s="102">
        <v>17.600000000000001</v>
      </c>
      <c r="AB468" s="98">
        <v>3.91</v>
      </c>
      <c r="AC468" s="102">
        <v>28.96</v>
      </c>
      <c r="AD468" s="102">
        <v>17.600000000000001</v>
      </c>
      <c r="AE468" s="98">
        <v>3.91</v>
      </c>
      <c r="AF468" s="102">
        <v>32.869999999999997</v>
      </c>
      <c r="AG468" s="102">
        <v>20.25</v>
      </c>
      <c r="AH468" s="98">
        <v>4.5</v>
      </c>
      <c r="AI468" s="102">
        <v>37.369999999999997</v>
      </c>
      <c r="AJ468" s="102">
        <v>18.5</v>
      </c>
      <c r="AK468" s="98">
        <v>4.1100000000000003</v>
      </c>
      <c r="AL468" s="102">
        <v>41.48</v>
      </c>
      <c r="AM468" s="102">
        <v>18.5</v>
      </c>
      <c r="AN468" s="98">
        <v>4.1100000000000003</v>
      </c>
      <c r="AO468" s="102">
        <v>45.59</v>
      </c>
      <c r="AP468" s="102">
        <v>19.399999999999999</v>
      </c>
      <c r="AQ468" s="98">
        <v>4.3099999999999996</v>
      </c>
      <c r="AR468" s="102">
        <v>49.9</v>
      </c>
      <c r="AS468" s="102">
        <v>19.399999999999999</v>
      </c>
      <c r="AT468" s="98">
        <v>4.3099999999999996</v>
      </c>
      <c r="AU468" s="102">
        <v>54.21</v>
      </c>
      <c r="AV468" s="102">
        <v>19.399999999999999</v>
      </c>
      <c r="AW468" s="98">
        <v>4.3099999999999996</v>
      </c>
      <c r="AX468" s="102">
        <v>58.52</v>
      </c>
      <c r="AY468" s="102">
        <v>18.5</v>
      </c>
      <c r="AZ468" s="98">
        <v>4.1100000000000003</v>
      </c>
      <c r="BA468" s="102">
        <v>62.63</v>
      </c>
      <c r="BB468" s="102">
        <v>17.600000000000001</v>
      </c>
      <c r="BC468" s="98">
        <v>3.91</v>
      </c>
      <c r="BD468" s="102">
        <v>66.540000000000006</v>
      </c>
      <c r="BE468" s="102">
        <v>17.600000000000001</v>
      </c>
      <c r="BF468" s="98">
        <v>3.91</v>
      </c>
      <c r="BG468" s="102">
        <v>70.45</v>
      </c>
      <c r="BH468" s="102">
        <v>20.25</v>
      </c>
      <c r="BI468" s="98">
        <v>4.5</v>
      </c>
      <c r="BJ468" s="102">
        <v>74.95</v>
      </c>
      <c r="BK468" s="102">
        <v>18.5</v>
      </c>
      <c r="BL468" s="98">
        <v>4.1100000000000003</v>
      </c>
      <c r="BM468" s="102">
        <v>79.06</v>
      </c>
      <c r="BN468" s="102">
        <v>17.600000000000001</v>
      </c>
      <c r="BO468" s="98">
        <v>3.91</v>
      </c>
      <c r="BP468" s="102">
        <v>82.97</v>
      </c>
      <c r="BQ468" s="102">
        <v>20.25</v>
      </c>
      <c r="BR468" s="98">
        <v>4.5</v>
      </c>
      <c r="BS468" s="102">
        <v>87.47</v>
      </c>
      <c r="BT468" s="102">
        <v>17.600000000000001</v>
      </c>
      <c r="BU468" s="98">
        <v>3.91</v>
      </c>
      <c r="BV468" s="102">
        <v>91.38</v>
      </c>
      <c r="BW468" s="102">
        <v>19.399999999999999</v>
      </c>
      <c r="BX468" s="98">
        <v>4.3099999999999996</v>
      </c>
      <c r="BY468" s="102">
        <v>95.69</v>
      </c>
      <c r="BZ468" s="102">
        <v>19.399999999999999</v>
      </c>
      <c r="CA468" s="98">
        <v>4.3099999999999996</v>
      </c>
      <c r="CB468" s="100">
        <v>100</v>
      </c>
      <c r="CC468" s="99"/>
      <c r="CD468" s="99"/>
      <c r="CE468" s="989">
        <v>100</v>
      </c>
      <c r="CF468" s="411"/>
      <c r="CG468" s="404"/>
      <c r="CH468" s="405"/>
      <c r="CI468" s="460"/>
      <c r="CJ468" s="460"/>
      <c r="CK468" s="460"/>
      <c r="CL468" s="460"/>
      <c r="CM468" s="460"/>
      <c r="CN468" s="460"/>
      <c r="CO468" s="469"/>
      <c r="CP468" s="467"/>
      <c r="CQ468" s="409"/>
      <c r="CR468" s="407"/>
      <c r="CS468" s="409"/>
      <c r="CT468" s="407"/>
      <c r="CU468" s="406"/>
      <c r="CV468" s="406"/>
      <c r="CW468" s="407"/>
      <c r="CX468" s="467"/>
      <c r="CY468" s="467"/>
      <c r="CZ468" s="406"/>
      <c r="DA468" s="407"/>
      <c r="DB468" s="467"/>
      <c r="DC468" s="467"/>
      <c r="DD468" s="467"/>
      <c r="DE468" s="467"/>
      <c r="DF468" s="407"/>
    </row>
    <row r="469" spans="1:110" ht="8.4499999999999993" customHeight="1" x14ac:dyDescent="0.2">
      <c r="A469" s="130" t="s">
        <v>579</v>
      </c>
      <c r="B469" s="96">
        <v>84</v>
      </c>
      <c r="C469" s="82" t="s">
        <v>2763</v>
      </c>
      <c r="D469" s="104">
        <v>511</v>
      </c>
      <c r="E469" s="82" t="s">
        <v>1557</v>
      </c>
      <c r="F469" s="82" t="s">
        <v>2024</v>
      </c>
      <c r="G469" s="101">
        <v>5000</v>
      </c>
      <c r="H469" s="98">
        <v>0.06</v>
      </c>
      <c r="I469" s="100">
        <v>225</v>
      </c>
      <c r="J469" s="98">
        <v>4.5</v>
      </c>
      <c r="K469" s="98">
        <v>4.5</v>
      </c>
      <c r="L469" s="100">
        <v>205.5</v>
      </c>
      <c r="M469" s="98">
        <v>4.1100000000000003</v>
      </c>
      <c r="N469" s="98">
        <v>8.61</v>
      </c>
      <c r="O469" s="100">
        <v>205.5</v>
      </c>
      <c r="P469" s="98">
        <v>4.1100000000000003</v>
      </c>
      <c r="Q469" s="102">
        <v>12.72</v>
      </c>
      <c r="R469" s="100">
        <v>205.5</v>
      </c>
      <c r="S469" s="98">
        <v>4.1100000000000003</v>
      </c>
      <c r="T469" s="102">
        <v>16.829999999999998</v>
      </c>
      <c r="U469" s="100">
        <v>195.5</v>
      </c>
      <c r="V469" s="98">
        <v>3.91</v>
      </c>
      <c r="W469" s="102">
        <v>20.74</v>
      </c>
      <c r="X469" s="100">
        <v>215.5</v>
      </c>
      <c r="Y469" s="98">
        <v>4.3099999999999996</v>
      </c>
      <c r="Z469" s="102">
        <v>25.05</v>
      </c>
      <c r="AA469" s="100">
        <v>195.5</v>
      </c>
      <c r="AB469" s="98">
        <v>3.91</v>
      </c>
      <c r="AC469" s="102">
        <v>28.96</v>
      </c>
      <c r="AD469" s="100">
        <v>195.5</v>
      </c>
      <c r="AE469" s="98">
        <v>3.91</v>
      </c>
      <c r="AF469" s="102">
        <v>32.869999999999997</v>
      </c>
      <c r="AG469" s="100">
        <v>225</v>
      </c>
      <c r="AH469" s="98">
        <v>4.5</v>
      </c>
      <c r="AI469" s="102">
        <v>37.369999999999997</v>
      </c>
      <c r="AJ469" s="100">
        <v>205.5</v>
      </c>
      <c r="AK469" s="98">
        <v>4.1100000000000003</v>
      </c>
      <c r="AL469" s="102">
        <v>41.48</v>
      </c>
      <c r="AM469" s="100">
        <v>205.5</v>
      </c>
      <c r="AN469" s="98">
        <v>4.1100000000000003</v>
      </c>
      <c r="AO469" s="102">
        <v>45.59</v>
      </c>
      <c r="AP469" s="100">
        <v>215.5</v>
      </c>
      <c r="AQ469" s="98">
        <v>4.3099999999999996</v>
      </c>
      <c r="AR469" s="102">
        <v>49.9</v>
      </c>
      <c r="AS469" s="100">
        <v>215.5</v>
      </c>
      <c r="AT469" s="98">
        <v>4.3099999999999996</v>
      </c>
      <c r="AU469" s="102">
        <v>54.21</v>
      </c>
      <c r="AV469" s="100">
        <v>215.5</v>
      </c>
      <c r="AW469" s="98">
        <v>4.3099999999999996</v>
      </c>
      <c r="AX469" s="102">
        <v>58.52</v>
      </c>
      <c r="AY469" s="100">
        <v>205.5</v>
      </c>
      <c r="AZ469" s="98">
        <v>4.1100000000000003</v>
      </c>
      <c r="BA469" s="102">
        <v>62.63</v>
      </c>
      <c r="BB469" s="100">
        <v>195.5</v>
      </c>
      <c r="BC469" s="98">
        <v>3.91</v>
      </c>
      <c r="BD469" s="102">
        <v>66.540000000000006</v>
      </c>
      <c r="BE469" s="100">
        <v>195.5</v>
      </c>
      <c r="BF469" s="98">
        <v>3.91</v>
      </c>
      <c r="BG469" s="102">
        <v>70.45</v>
      </c>
      <c r="BH469" s="100">
        <v>225</v>
      </c>
      <c r="BI469" s="98">
        <v>4.5</v>
      </c>
      <c r="BJ469" s="102">
        <v>74.95</v>
      </c>
      <c r="BK469" s="100">
        <v>205.5</v>
      </c>
      <c r="BL469" s="98">
        <v>4.1100000000000003</v>
      </c>
      <c r="BM469" s="102">
        <v>79.06</v>
      </c>
      <c r="BN469" s="100">
        <v>195.5</v>
      </c>
      <c r="BO469" s="98">
        <v>3.91</v>
      </c>
      <c r="BP469" s="102">
        <v>82.97</v>
      </c>
      <c r="BQ469" s="100">
        <v>225</v>
      </c>
      <c r="BR469" s="98">
        <v>4.5</v>
      </c>
      <c r="BS469" s="102">
        <v>87.47</v>
      </c>
      <c r="BT469" s="100">
        <v>195.5</v>
      </c>
      <c r="BU469" s="98">
        <v>3.91</v>
      </c>
      <c r="BV469" s="102">
        <v>91.38</v>
      </c>
      <c r="BW469" s="100">
        <v>215.5</v>
      </c>
      <c r="BX469" s="98">
        <v>4.3099999999999996</v>
      </c>
      <c r="BY469" s="102">
        <v>95.69</v>
      </c>
      <c r="BZ469" s="100">
        <v>215.5</v>
      </c>
      <c r="CA469" s="98">
        <v>4.3099999999999996</v>
      </c>
      <c r="CB469" s="100">
        <v>100</v>
      </c>
      <c r="CC469" s="99"/>
      <c r="CD469" s="99"/>
      <c r="CE469" s="989">
        <v>100</v>
      </c>
      <c r="CF469" s="409"/>
      <c r="CG469" s="408"/>
      <c r="CH469" s="407"/>
      <c r="CI469" s="406"/>
      <c r="CJ469" s="406"/>
      <c r="CK469" s="406"/>
      <c r="CL469" s="406"/>
      <c r="CM469" s="406"/>
      <c r="CN469" s="406"/>
      <c r="CO469" s="473"/>
      <c r="CP469" s="467"/>
      <c r="CQ469" s="409"/>
      <c r="CR469" s="407"/>
      <c r="CS469" s="408"/>
      <c r="CT469" s="407"/>
      <c r="CU469" s="406"/>
      <c r="CV469" s="406"/>
      <c r="CW469" s="407"/>
      <c r="CX469" s="467"/>
      <c r="CY469" s="467"/>
      <c r="CZ469" s="406"/>
      <c r="DA469" s="407"/>
      <c r="DB469" s="467"/>
      <c r="DC469" s="467"/>
      <c r="DD469" s="467"/>
      <c r="DE469" s="467"/>
      <c r="DF469" s="407"/>
    </row>
    <row r="470" spans="1:110" ht="8.4499999999999993" customHeight="1" x14ac:dyDescent="0.2">
      <c r="A470" s="130" t="s">
        <v>580</v>
      </c>
      <c r="B470" s="96">
        <v>85</v>
      </c>
      <c r="C470" s="82" t="s">
        <v>2764</v>
      </c>
      <c r="D470" s="104">
        <v>511</v>
      </c>
      <c r="E470" s="82" t="s">
        <v>1557</v>
      </c>
      <c r="F470" s="82" t="s">
        <v>2024</v>
      </c>
      <c r="G470" s="101">
        <v>1600</v>
      </c>
      <c r="H470" s="98">
        <v>0.02</v>
      </c>
      <c r="I470" s="102">
        <v>72</v>
      </c>
      <c r="J470" s="98">
        <v>4.5</v>
      </c>
      <c r="K470" s="98">
        <v>4.5</v>
      </c>
      <c r="L470" s="102">
        <v>65.760000000000005</v>
      </c>
      <c r="M470" s="98">
        <v>4.1100000000000003</v>
      </c>
      <c r="N470" s="98">
        <v>8.61</v>
      </c>
      <c r="O470" s="102">
        <v>65.760000000000005</v>
      </c>
      <c r="P470" s="98">
        <v>4.1100000000000003</v>
      </c>
      <c r="Q470" s="102">
        <v>12.72</v>
      </c>
      <c r="R470" s="102">
        <v>65.760000000000005</v>
      </c>
      <c r="S470" s="98">
        <v>4.1100000000000003</v>
      </c>
      <c r="T470" s="102">
        <v>16.829999999999998</v>
      </c>
      <c r="U470" s="102">
        <v>62.56</v>
      </c>
      <c r="V470" s="98">
        <v>3.91</v>
      </c>
      <c r="W470" s="102">
        <v>20.74</v>
      </c>
      <c r="X470" s="102">
        <v>68.959999999999994</v>
      </c>
      <c r="Y470" s="98">
        <v>4.3099999999999996</v>
      </c>
      <c r="Z470" s="102">
        <v>25.05</v>
      </c>
      <c r="AA470" s="102">
        <v>62.56</v>
      </c>
      <c r="AB470" s="98">
        <v>3.91</v>
      </c>
      <c r="AC470" s="102">
        <v>28.96</v>
      </c>
      <c r="AD470" s="102">
        <v>62.56</v>
      </c>
      <c r="AE470" s="98">
        <v>3.91</v>
      </c>
      <c r="AF470" s="102">
        <v>32.869999999999997</v>
      </c>
      <c r="AG470" s="102">
        <v>72</v>
      </c>
      <c r="AH470" s="98">
        <v>4.5</v>
      </c>
      <c r="AI470" s="102">
        <v>37.369999999999997</v>
      </c>
      <c r="AJ470" s="102">
        <v>65.760000000000005</v>
      </c>
      <c r="AK470" s="98">
        <v>4.1100000000000003</v>
      </c>
      <c r="AL470" s="102">
        <v>41.48</v>
      </c>
      <c r="AM470" s="102">
        <v>65.760000000000005</v>
      </c>
      <c r="AN470" s="98">
        <v>4.1100000000000003</v>
      </c>
      <c r="AO470" s="102">
        <v>45.59</v>
      </c>
      <c r="AP470" s="102">
        <v>68.959999999999994</v>
      </c>
      <c r="AQ470" s="98">
        <v>4.3099999999999996</v>
      </c>
      <c r="AR470" s="102">
        <v>49.9</v>
      </c>
      <c r="AS470" s="102">
        <v>68.959999999999994</v>
      </c>
      <c r="AT470" s="98">
        <v>4.3099999999999996</v>
      </c>
      <c r="AU470" s="102">
        <v>54.21</v>
      </c>
      <c r="AV470" s="102">
        <v>68.959999999999994</v>
      </c>
      <c r="AW470" s="98">
        <v>4.3099999999999996</v>
      </c>
      <c r="AX470" s="102">
        <v>58.52</v>
      </c>
      <c r="AY470" s="102">
        <v>65.760000000000005</v>
      </c>
      <c r="AZ470" s="98">
        <v>4.1100000000000003</v>
      </c>
      <c r="BA470" s="102">
        <v>62.63</v>
      </c>
      <c r="BB470" s="102">
        <v>62.56</v>
      </c>
      <c r="BC470" s="98">
        <v>3.91</v>
      </c>
      <c r="BD470" s="102">
        <v>66.540000000000006</v>
      </c>
      <c r="BE470" s="102">
        <v>62.56</v>
      </c>
      <c r="BF470" s="98">
        <v>3.91</v>
      </c>
      <c r="BG470" s="102">
        <v>70.45</v>
      </c>
      <c r="BH470" s="102">
        <v>72</v>
      </c>
      <c r="BI470" s="98">
        <v>4.5</v>
      </c>
      <c r="BJ470" s="102">
        <v>74.95</v>
      </c>
      <c r="BK470" s="102">
        <v>65.760000000000005</v>
      </c>
      <c r="BL470" s="98">
        <v>4.1100000000000003</v>
      </c>
      <c r="BM470" s="102">
        <v>79.06</v>
      </c>
      <c r="BN470" s="102">
        <v>62.56</v>
      </c>
      <c r="BO470" s="98">
        <v>3.91</v>
      </c>
      <c r="BP470" s="102">
        <v>82.97</v>
      </c>
      <c r="BQ470" s="102">
        <v>72</v>
      </c>
      <c r="BR470" s="98">
        <v>4.5</v>
      </c>
      <c r="BS470" s="102">
        <v>87.47</v>
      </c>
      <c r="BT470" s="102">
        <v>62.56</v>
      </c>
      <c r="BU470" s="98">
        <v>3.91</v>
      </c>
      <c r="BV470" s="102">
        <v>91.38</v>
      </c>
      <c r="BW470" s="102">
        <v>68.959999999999994</v>
      </c>
      <c r="BX470" s="98">
        <v>4.3099999999999996</v>
      </c>
      <c r="BY470" s="102">
        <v>95.69</v>
      </c>
      <c r="BZ470" s="102">
        <v>68.959999999999994</v>
      </c>
      <c r="CA470" s="98">
        <v>4.3099999999999996</v>
      </c>
      <c r="CB470" s="100">
        <v>100</v>
      </c>
      <c r="CC470" s="99"/>
      <c r="CD470" s="99"/>
      <c r="CE470" s="989">
        <v>100</v>
      </c>
      <c r="CF470" s="407"/>
      <c r="CG470" s="408"/>
      <c r="CH470" s="407"/>
      <c r="CI470" s="406"/>
      <c r="CJ470" s="406"/>
      <c r="CK470" s="406"/>
      <c r="CL470" s="406"/>
      <c r="CM470" s="406"/>
      <c r="CN470" s="406"/>
      <c r="CO470" s="469"/>
      <c r="CP470" s="467"/>
      <c r="CQ470" s="409"/>
      <c r="CR470" s="410"/>
      <c r="CS470" s="409"/>
      <c r="CT470" s="407"/>
      <c r="CU470" s="406"/>
      <c r="CV470" s="406"/>
      <c r="CW470" s="407"/>
      <c r="CX470" s="467"/>
      <c r="CY470" s="467"/>
      <c r="CZ470" s="406"/>
      <c r="DA470" s="407"/>
      <c r="DB470" s="467"/>
      <c r="DC470" s="467"/>
      <c r="DD470" s="467"/>
      <c r="DE470" s="467"/>
      <c r="DF470" s="407"/>
    </row>
    <row r="471" spans="1:110" ht="8.4499999999999993" customHeight="1" x14ac:dyDescent="0.2">
      <c r="A471" s="130" t="s">
        <v>581</v>
      </c>
      <c r="B471" s="96">
        <v>86</v>
      </c>
      <c r="C471" s="82" t="s">
        <v>2765</v>
      </c>
      <c r="D471" s="104">
        <v>511</v>
      </c>
      <c r="E471" s="82" t="s">
        <v>1557</v>
      </c>
      <c r="F471" s="82" t="s">
        <v>2024</v>
      </c>
      <c r="G471" s="101">
        <v>6208.68</v>
      </c>
      <c r="H471" s="98">
        <v>7.0000000000000007E-2</v>
      </c>
      <c r="I471" s="100">
        <v>279.39</v>
      </c>
      <c r="J471" s="98">
        <v>4.5</v>
      </c>
      <c r="K471" s="98">
        <v>4.5</v>
      </c>
      <c r="L471" s="100">
        <v>255.18</v>
      </c>
      <c r="M471" s="98">
        <v>4.1100000000000003</v>
      </c>
      <c r="N471" s="98">
        <v>8.61</v>
      </c>
      <c r="O471" s="100">
        <v>255.18</v>
      </c>
      <c r="P471" s="98">
        <v>4.1100000000000003</v>
      </c>
      <c r="Q471" s="102">
        <v>12.72</v>
      </c>
      <c r="R471" s="100">
        <v>255.18</v>
      </c>
      <c r="S471" s="98">
        <v>4.1100000000000003</v>
      </c>
      <c r="T471" s="102">
        <v>16.829999999999998</v>
      </c>
      <c r="U471" s="100">
        <v>242.76</v>
      </c>
      <c r="V471" s="98">
        <v>3.91</v>
      </c>
      <c r="W471" s="102">
        <v>20.74</v>
      </c>
      <c r="X471" s="100">
        <v>267.58999999999997</v>
      </c>
      <c r="Y471" s="98">
        <v>4.3099999999999996</v>
      </c>
      <c r="Z471" s="102">
        <v>25.05</v>
      </c>
      <c r="AA471" s="100">
        <v>242.76</v>
      </c>
      <c r="AB471" s="98">
        <v>3.91</v>
      </c>
      <c r="AC471" s="102">
        <v>28.96</v>
      </c>
      <c r="AD471" s="100">
        <v>242.76</v>
      </c>
      <c r="AE471" s="98">
        <v>3.91</v>
      </c>
      <c r="AF471" s="102">
        <v>32.869999999999997</v>
      </c>
      <c r="AG471" s="100">
        <v>279.39</v>
      </c>
      <c r="AH471" s="98">
        <v>4.5</v>
      </c>
      <c r="AI471" s="102">
        <v>37.369999999999997</v>
      </c>
      <c r="AJ471" s="100">
        <v>255.18</v>
      </c>
      <c r="AK471" s="98">
        <v>4.1100000000000003</v>
      </c>
      <c r="AL471" s="102">
        <v>41.48</v>
      </c>
      <c r="AM471" s="100">
        <v>255.18</v>
      </c>
      <c r="AN471" s="98">
        <v>4.1100000000000003</v>
      </c>
      <c r="AO471" s="102">
        <v>45.59</v>
      </c>
      <c r="AP471" s="100">
        <v>267.58999999999997</v>
      </c>
      <c r="AQ471" s="98">
        <v>4.3099999999999996</v>
      </c>
      <c r="AR471" s="102">
        <v>49.9</v>
      </c>
      <c r="AS471" s="100">
        <v>267.58999999999997</v>
      </c>
      <c r="AT471" s="98">
        <v>4.3099999999999996</v>
      </c>
      <c r="AU471" s="102">
        <v>54.21</v>
      </c>
      <c r="AV471" s="100">
        <v>267.58999999999997</v>
      </c>
      <c r="AW471" s="98">
        <v>4.3099999999999996</v>
      </c>
      <c r="AX471" s="102">
        <v>58.52</v>
      </c>
      <c r="AY471" s="100">
        <v>255.18</v>
      </c>
      <c r="AZ471" s="98">
        <v>4.1100000000000003</v>
      </c>
      <c r="BA471" s="102">
        <v>62.63</v>
      </c>
      <c r="BB471" s="100">
        <v>242.76</v>
      </c>
      <c r="BC471" s="98">
        <v>3.91</v>
      </c>
      <c r="BD471" s="102">
        <v>66.540000000000006</v>
      </c>
      <c r="BE471" s="100">
        <v>242.76</v>
      </c>
      <c r="BF471" s="98">
        <v>3.91</v>
      </c>
      <c r="BG471" s="102">
        <v>70.45</v>
      </c>
      <c r="BH471" s="100">
        <v>279.39</v>
      </c>
      <c r="BI471" s="98">
        <v>4.5</v>
      </c>
      <c r="BJ471" s="102">
        <v>74.95</v>
      </c>
      <c r="BK471" s="100">
        <v>255.18</v>
      </c>
      <c r="BL471" s="98">
        <v>4.1100000000000003</v>
      </c>
      <c r="BM471" s="102">
        <v>79.06</v>
      </c>
      <c r="BN471" s="100">
        <v>242.76</v>
      </c>
      <c r="BO471" s="98">
        <v>3.91</v>
      </c>
      <c r="BP471" s="102">
        <v>82.97</v>
      </c>
      <c r="BQ471" s="100">
        <v>279.39</v>
      </c>
      <c r="BR471" s="98">
        <v>4.5</v>
      </c>
      <c r="BS471" s="102">
        <v>87.47</v>
      </c>
      <c r="BT471" s="100">
        <v>242.76</v>
      </c>
      <c r="BU471" s="98">
        <v>3.91</v>
      </c>
      <c r="BV471" s="102">
        <v>91.38</v>
      </c>
      <c r="BW471" s="100">
        <v>267.58999999999997</v>
      </c>
      <c r="BX471" s="98">
        <v>4.3099999999999996</v>
      </c>
      <c r="BY471" s="102">
        <v>95.69</v>
      </c>
      <c r="BZ471" s="100">
        <v>267.58999999999997</v>
      </c>
      <c r="CA471" s="98">
        <v>4.3099999999999996</v>
      </c>
      <c r="CB471" s="100">
        <v>100</v>
      </c>
      <c r="CC471" s="99"/>
      <c r="CD471" s="99"/>
      <c r="CE471" s="989">
        <v>100</v>
      </c>
      <c r="CF471" s="410"/>
      <c r="CG471" s="409"/>
      <c r="CH471" s="407"/>
      <c r="CI471" s="406"/>
      <c r="CJ471" s="406"/>
      <c r="CK471" s="406"/>
      <c r="CL471" s="406"/>
      <c r="CM471" s="406"/>
      <c r="CN471" s="406"/>
      <c r="CO471" s="474"/>
      <c r="CP471" s="464"/>
      <c r="CQ471" s="404"/>
      <c r="CR471" s="403"/>
      <c r="CS471" s="462"/>
      <c r="CT471" s="404"/>
      <c r="CU471" s="411"/>
      <c r="CV471" s="404"/>
      <c r="CW471" s="404"/>
      <c r="CX471" s="472"/>
      <c r="CY471" s="464"/>
      <c r="CZ471" s="404"/>
      <c r="DA471" s="405"/>
      <c r="DB471" s="464"/>
      <c r="DC471" s="464"/>
      <c r="DD471" s="464"/>
      <c r="DE471" s="464"/>
      <c r="DF471" s="405"/>
    </row>
    <row r="472" spans="1:110" ht="8.4499999999999993" customHeight="1" x14ac:dyDescent="0.2">
      <c r="A472" s="130" t="s">
        <v>582</v>
      </c>
      <c r="B472" s="96">
        <v>87</v>
      </c>
      <c r="C472" s="82" t="s">
        <v>2766</v>
      </c>
      <c r="D472" s="104">
        <v>511</v>
      </c>
      <c r="E472" s="82" t="s">
        <v>1557</v>
      </c>
      <c r="F472" s="82" t="s">
        <v>2024</v>
      </c>
      <c r="G472" s="97">
        <v>25680.02</v>
      </c>
      <c r="H472" s="98">
        <v>0.28999999999999998</v>
      </c>
      <c r="I472" s="101">
        <v>1155.5999999999999</v>
      </c>
      <c r="J472" s="98">
        <v>4.5</v>
      </c>
      <c r="K472" s="98">
        <v>4.5</v>
      </c>
      <c r="L472" s="101">
        <v>1055.45</v>
      </c>
      <c r="M472" s="98">
        <v>4.1100000000000003</v>
      </c>
      <c r="N472" s="98">
        <v>8.61</v>
      </c>
      <c r="O472" s="101">
        <v>1055.45</v>
      </c>
      <c r="P472" s="98">
        <v>4.1100000000000003</v>
      </c>
      <c r="Q472" s="102">
        <v>12.72</v>
      </c>
      <c r="R472" s="101">
        <v>1055.45</v>
      </c>
      <c r="S472" s="98">
        <v>4.1100000000000003</v>
      </c>
      <c r="T472" s="102">
        <v>16.829999999999998</v>
      </c>
      <c r="U472" s="101">
        <v>1004.09</v>
      </c>
      <c r="V472" s="98">
        <v>3.91</v>
      </c>
      <c r="W472" s="102">
        <v>20.74</v>
      </c>
      <c r="X472" s="101">
        <v>1106.81</v>
      </c>
      <c r="Y472" s="98">
        <v>4.3099999999999996</v>
      </c>
      <c r="Z472" s="102">
        <v>25.05</v>
      </c>
      <c r="AA472" s="101">
        <v>1004.09</v>
      </c>
      <c r="AB472" s="98">
        <v>3.91</v>
      </c>
      <c r="AC472" s="102">
        <v>28.96</v>
      </c>
      <c r="AD472" s="101">
        <v>1004.09</v>
      </c>
      <c r="AE472" s="98">
        <v>3.91</v>
      </c>
      <c r="AF472" s="102">
        <v>32.869999999999997</v>
      </c>
      <c r="AG472" s="101">
        <v>1155.5999999999999</v>
      </c>
      <c r="AH472" s="98">
        <v>4.5</v>
      </c>
      <c r="AI472" s="102">
        <v>37.369999999999997</v>
      </c>
      <c r="AJ472" s="101">
        <v>1055.45</v>
      </c>
      <c r="AK472" s="98">
        <v>4.1100000000000003</v>
      </c>
      <c r="AL472" s="102">
        <v>41.48</v>
      </c>
      <c r="AM472" s="101">
        <v>1055.45</v>
      </c>
      <c r="AN472" s="98">
        <v>4.1100000000000003</v>
      </c>
      <c r="AO472" s="102">
        <v>45.59</v>
      </c>
      <c r="AP472" s="101">
        <v>1106.81</v>
      </c>
      <c r="AQ472" s="98">
        <v>4.3099999999999996</v>
      </c>
      <c r="AR472" s="102">
        <v>49.9</v>
      </c>
      <c r="AS472" s="101">
        <v>1106.81</v>
      </c>
      <c r="AT472" s="98">
        <v>4.3099999999999996</v>
      </c>
      <c r="AU472" s="102">
        <v>54.21</v>
      </c>
      <c r="AV472" s="101">
        <v>1106.81</v>
      </c>
      <c r="AW472" s="98">
        <v>4.3099999999999996</v>
      </c>
      <c r="AX472" s="102">
        <v>58.52</v>
      </c>
      <c r="AY472" s="101">
        <v>1055.45</v>
      </c>
      <c r="AZ472" s="98">
        <v>4.1100000000000003</v>
      </c>
      <c r="BA472" s="102">
        <v>62.63</v>
      </c>
      <c r="BB472" s="101">
        <v>1004.09</v>
      </c>
      <c r="BC472" s="98">
        <v>3.91</v>
      </c>
      <c r="BD472" s="102">
        <v>66.540000000000006</v>
      </c>
      <c r="BE472" s="101">
        <v>1004.09</v>
      </c>
      <c r="BF472" s="98">
        <v>3.91</v>
      </c>
      <c r="BG472" s="102">
        <v>70.45</v>
      </c>
      <c r="BH472" s="101">
        <v>1155.5999999999999</v>
      </c>
      <c r="BI472" s="98">
        <v>4.5</v>
      </c>
      <c r="BJ472" s="102">
        <v>74.95</v>
      </c>
      <c r="BK472" s="101">
        <v>1055.45</v>
      </c>
      <c r="BL472" s="98">
        <v>4.1100000000000003</v>
      </c>
      <c r="BM472" s="102">
        <v>79.06</v>
      </c>
      <c r="BN472" s="101">
        <v>1004.09</v>
      </c>
      <c r="BO472" s="98">
        <v>3.91</v>
      </c>
      <c r="BP472" s="102">
        <v>82.97</v>
      </c>
      <c r="BQ472" s="101">
        <v>1155.5999999999999</v>
      </c>
      <c r="BR472" s="98">
        <v>4.5</v>
      </c>
      <c r="BS472" s="102">
        <v>87.47</v>
      </c>
      <c r="BT472" s="101">
        <v>1004.09</v>
      </c>
      <c r="BU472" s="98">
        <v>3.91</v>
      </c>
      <c r="BV472" s="102">
        <v>91.38</v>
      </c>
      <c r="BW472" s="101">
        <v>1106.81</v>
      </c>
      <c r="BX472" s="98">
        <v>4.3099999999999996</v>
      </c>
      <c r="BY472" s="102">
        <v>95.69</v>
      </c>
      <c r="BZ472" s="101">
        <v>1106.81</v>
      </c>
      <c r="CA472" s="98">
        <v>4.3099999999999996</v>
      </c>
      <c r="CB472" s="100">
        <v>100</v>
      </c>
      <c r="CC472" s="99"/>
      <c r="CD472" s="99"/>
      <c r="CE472" s="989">
        <v>100</v>
      </c>
      <c r="CF472" s="410"/>
      <c r="CG472" s="407"/>
      <c r="CH472" s="407"/>
      <c r="CI472" s="406"/>
      <c r="CJ472" s="406"/>
      <c r="CK472" s="406"/>
      <c r="CL472" s="406"/>
      <c r="CM472" s="406"/>
      <c r="CN472" s="406"/>
      <c r="CO472" s="474"/>
      <c r="CP472" s="464"/>
      <c r="CQ472" s="404"/>
      <c r="CR472" s="403"/>
      <c r="CS472" s="404"/>
      <c r="CT472" s="404"/>
      <c r="CU472" s="403"/>
      <c r="CV472" s="404"/>
      <c r="CW472" s="405"/>
      <c r="CX472" s="464"/>
      <c r="CY472" s="464"/>
      <c r="CZ472" s="460"/>
      <c r="DA472" s="405"/>
      <c r="DB472" s="464"/>
      <c r="DC472" s="464"/>
      <c r="DD472" s="464"/>
      <c r="DE472" s="464"/>
      <c r="DF472" s="405"/>
    </row>
    <row r="473" spans="1:110" ht="8.4499999999999993" customHeight="1" x14ac:dyDescent="0.2">
      <c r="A473" s="130" t="s">
        <v>583</v>
      </c>
      <c r="B473" s="96">
        <v>88</v>
      </c>
      <c r="C473" s="82" t="s">
        <v>2767</v>
      </c>
      <c r="D473" s="104">
        <v>511</v>
      </c>
      <c r="E473" s="82" t="s">
        <v>1557</v>
      </c>
      <c r="F473" s="82" t="s">
        <v>2024</v>
      </c>
      <c r="G473" s="101">
        <v>7000</v>
      </c>
      <c r="H473" s="98">
        <v>0.08</v>
      </c>
      <c r="I473" s="100">
        <v>315</v>
      </c>
      <c r="J473" s="98">
        <v>4.5</v>
      </c>
      <c r="K473" s="98">
        <v>4.5</v>
      </c>
      <c r="L473" s="100">
        <v>287.7</v>
      </c>
      <c r="M473" s="98">
        <v>4.1100000000000003</v>
      </c>
      <c r="N473" s="98">
        <v>8.61</v>
      </c>
      <c r="O473" s="100">
        <v>287.7</v>
      </c>
      <c r="P473" s="98">
        <v>4.1100000000000003</v>
      </c>
      <c r="Q473" s="102">
        <v>12.72</v>
      </c>
      <c r="R473" s="100">
        <v>287.7</v>
      </c>
      <c r="S473" s="98">
        <v>4.1100000000000003</v>
      </c>
      <c r="T473" s="102">
        <v>16.829999999999998</v>
      </c>
      <c r="U473" s="100">
        <v>273.7</v>
      </c>
      <c r="V473" s="98">
        <v>3.91</v>
      </c>
      <c r="W473" s="102">
        <v>20.74</v>
      </c>
      <c r="X473" s="100">
        <v>301.7</v>
      </c>
      <c r="Y473" s="98">
        <v>4.3099999999999996</v>
      </c>
      <c r="Z473" s="102">
        <v>25.05</v>
      </c>
      <c r="AA473" s="100">
        <v>273.7</v>
      </c>
      <c r="AB473" s="98">
        <v>3.91</v>
      </c>
      <c r="AC473" s="102">
        <v>28.96</v>
      </c>
      <c r="AD473" s="100">
        <v>273.7</v>
      </c>
      <c r="AE473" s="98">
        <v>3.91</v>
      </c>
      <c r="AF473" s="102">
        <v>32.869999999999997</v>
      </c>
      <c r="AG473" s="100">
        <v>315</v>
      </c>
      <c r="AH473" s="98">
        <v>4.5</v>
      </c>
      <c r="AI473" s="102">
        <v>37.369999999999997</v>
      </c>
      <c r="AJ473" s="100">
        <v>287.7</v>
      </c>
      <c r="AK473" s="98">
        <v>4.1100000000000003</v>
      </c>
      <c r="AL473" s="102">
        <v>41.48</v>
      </c>
      <c r="AM473" s="100">
        <v>287.7</v>
      </c>
      <c r="AN473" s="98">
        <v>4.1100000000000003</v>
      </c>
      <c r="AO473" s="102">
        <v>45.59</v>
      </c>
      <c r="AP473" s="100">
        <v>301.7</v>
      </c>
      <c r="AQ473" s="98">
        <v>4.3099999999999996</v>
      </c>
      <c r="AR473" s="102">
        <v>49.9</v>
      </c>
      <c r="AS473" s="100">
        <v>301.7</v>
      </c>
      <c r="AT473" s="98">
        <v>4.3099999999999996</v>
      </c>
      <c r="AU473" s="102">
        <v>54.21</v>
      </c>
      <c r="AV473" s="100">
        <v>301.7</v>
      </c>
      <c r="AW473" s="98">
        <v>4.3099999999999996</v>
      </c>
      <c r="AX473" s="102">
        <v>58.52</v>
      </c>
      <c r="AY473" s="100">
        <v>287.7</v>
      </c>
      <c r="AZ473" s="98">
        <v>4.1100000000000003</v>
      </c>
      <c r="BA473" s="102">
        <v>62.63</v>
      </c>
      <c r="BB473" s="100">
        <v>273.7</v>
      </c>
      <c r="BC473" s="98">
        <v>3.91</v>
      </c>
      <c r="BD473" s="102">
        <v>66.540000000000006</v>
      </c>
      <c r="BE473" s="100">
        <v>273.7</v>
      </c>
      <c r="BF473" s="98">
        <v>3.91</v>
      </c>
      <c r="BG473" s="102">
        <v>70.45</v>
      </c>
      <c r="BH473" s="100">
        <v>315</v>
      </c>
      <c r="BI473" s="98">
        <v>4.5</v>
      </c>
      <c r="BJ473" s="102">
        <v>74.95</v>
      </c>
      <c r="BK473" s="100">
        <v>287.7</v>
      </c>
      <c r="BL473" s="98">
        <v>4.1100000000000003</v>
      </c>
      <c r="BM473" s="102">
        <v>79.06</v>
      </c>
      <c r="BN473" s="100">
        <v>273.7</v>
      </c>
      <c r="BO473" s="98">
        <v>3.91</v>
      </c>
      <c r="BP473" s="102">
        <v>82.97</v>
      </c>
      <c r="BQ473" s="100">
        <v>315</v>
      </c>
      <c r="BR473" s="98">
        <v>4.5</v>
      </c>
      <c r="BS473" s="102">
        <v>87.47</v>
      </c>
      <c r="BT473" s="100">
        <v>273.7</v>
      </c>
      <c r="BU473" s="98">
        <v>3.91</v>
      </c>
      <c r="BV473" s="102">
        <v>91.38</v>
      </c>
      <c r="BW473" s="100">
        <v>301.7</v>
      </c>
      <c r="BX473" s="98">
        <v>4.3099999999999996</v>
      </c>
      <c r="BY473" s="102">
        <v>95.69</v>
      </c>
      <c r="BZ473" s="100">
        <v>301.7</v>
      </c>
      <c r="CA473" s="98">
        <v>4.3099999999999996</v>
      </c>
      <c r="CB473" s="100">
        <v>100</v>
      </c>
      <c r="CC473" s="99"/>
      <c r="CD473" s="99"/>
      <c r="CE473" s="989">
        <v>100</v>
      </c>
      <c r="CF473" s="410"/>
      <c r="CG473" s="408"/>
      <c r="CH473" s="407"/>
      <c r="CI473" s="406"/>
      <c r="CJ473" s="406"/>
      <c r="CK473" s="406"/>
      <c r="CL473" s="406"/>
      <c r="CM473" s="406"/>
      <c r="CN473" s="406"/>
      <c r="CO473" s="473"/>
      <c r="CP473" s="467"/>
      <c r="CQ473" s="409"/>
      <c r="CR473" s="410"/>
      <c r="CS473" s="409"/>
      <c r="CT473" s="409"/>
      <c r="CU473" s="410"/>
      <c r="CV473" s="409"/>
      <c r="CW473" s="407"/>
      <c r="CX473" s="467"/>
      <c r="CY473" s="467"/>
      <c r="CZ473" s="406"/>
      <c r="DA473" s="407"/>
      <c r="DB473" s="467"/>
      <c r="DC473" s="467"/>
      <c r="DD473" s="467"/>
      <c r="DE473" s="467"/>
      <c r="DF473" s="407"/>
    </row>
    <row r="474" spans="1:110" ht="8.4499999999999993" customHeight="1" x14ac:dyDescent="0.2">
      <c r="A474" s="130" t="s">
        <v>584</v>
      </c>
      <c r="B474" s="96">
        <v>89</v>
      </c>
      <c r="C474" s="82" t="s">
        <v>2768</v>
      </c>
      <c r="D474" s="104">
        <v>511</v>
      </c>
      <c r="E474" s="82" t="s">
        <v>1557</v>
      </c>
      <c r="F474" s="82" t="s">
        <v>2024</v>
      </c>
      <c r="G474" s="101">
        <v>3000</v>
      </c>
      <c r="H474" s="98">
        <v>0.03</v>
      </c>
      <c r="I474" s="100">
        <v>135</v>
      </c>
      <c r="J474" s="98">
        <v>4.5</v>
      </c>
      <c r="K474" s="98">
        <v>4.5</v>
      </c>
      <c r="L474" s="100">
        <v>123.3</v>
      </c>
      <c r="M474" s="98">
        <v>4.1100000000000003</v>
      </c>
      <c r="N474" s="98">
        <v>8.61</v>
      </c>
      <c r="O474" s="100">
        <v>123.3</v>
      </c>
      <c r="P474" s="98">
        <v>4.1100000000000003</v>
      </c>
      <c r="Q474" s="102">
        <v>12.72</v>
      </c>
      <c r="R474" s="100">
        <v>123.3</v>
      </c>
      <c r="S474" s="98">
        <v>4.1100000000000003</v>
      </c>
      <c r="T474" s="102">
        <v>16.829999999999998</v>
      </c>
      <c r="U474" s="100">
        <v>117.3</v>
      </c>
      <c r="V474" s="98">
        <v>3.91</v>
      </c>
      <c r="W474" s="102">
        <v>20.74</v>
      </c>
      <c r="X474" s="100">
        <v>129.30000000000001</v>
      </c>
      <c r="Y474" s="98">
        <v>4.3099999999999996</v>
      </c>
      <c r="Z474" s="102">
        <v>25.05</v>
      </c>
      <c r="AA474" s="100">
        <v>117.3</v>
      </c>
      <c r="AB474" s="98">
        <v>3.91</v>
      </c>
      <c r="AC474" s="102">
        <v>28.96</v>
      </c>
      <c r="AD474" s="100">
        <v>117.3</v>
      </c>
      <c r="AE474" s="98">
        <v>3.91</v>
      </c>
      <c r="AF474" s="102">
        <v>32.869999999999997</v>
      </c>
      <c r="AG474" s="100">
        <v>135</v>
      </c>
      <c r="AH474" s="98">
        <v>4.5</v>
      </c>
      <c r="AI474" s="102">
        <v>37.369999999999997</v>
      </c>
      <c r="AJ474" s="100">
        <v>123.3</v>
      </c>
      <c r="AK474" s="98">
        <v>4.1100000000000003</v>
      </c>
      <c r="AL474" s="102">
        <v>41.48</v>
      </c>
      <c r="AM474" s="100">
        <v>123.3</v>
      </c>
      <c r="AN474" s="98">
        <v>4.1100000000000003</v>
      </c>
      <c r="AO474" s="102">
        <v>45.59</v>
      </c>
      <c r="AP474" s="100">
        <v>129.30000000000001</v>
      </c>
      <c r="AQ474" s="98">
        <v>4.3099999999999996</v>
      </c>
      <c r="AR474" s="102">
        <v>49.9</v>
      </c>
      <c r="AS474" s="100">
        <v>129.30000000000001</v>
      </c>
      <c r="AT474" s="98">
        <v>4.3099999999999996</v>
      </c>
      <c r="AU474" s="102">
        <v>54.21</v>
      </c>
      <c r="AV474" s="100">
        <v>129.30000000000001</v>
      </c>
      <c r="AW474" s="98">
        <v>4.3099999999999996</v>
      </c>
      <c r="AX474" s="102">
        <v>58.52</v>
      </c>
      <c r="AY474" s="100">
        <v>123.3</v>
      </c>
      <c r="AZ474" s="98">
        <v>4.1100000000000003</v>
      </c>
      <c r="BA474" s="102">
        <v>62.63</v>
      </c>
      <c r="BB474" s="100">
        <v>117.3</v>
      </c>
      <c r="BC474" s="98">
        <v>3.91</v>
      </c>
      <c r="BD474" s="102">
        <v>66.540000000000006</v>
      </c>
      <c r="BE474" s="100">
        <v>117.3</v>
      </c>
      <c r="BF474" s="98">
        <v>3.91</v>
      </c>
      <c r="BG474" s="102">
        <v>70.45</v>
      </c>
      <c r="BH474" s="100">
        <v>135</v>
      </c>
      <c r="BI474" s="98">
        <v>4.5</v>
      </c>
      <c r="BJ474" s="102">
        <v>74.95</v>
      </c>
      <c r="BK474" s="100">
        <v>123.3</v>
      </c>
      <c r="BL474" s="98">
        <v>4.1100000000000003</v>
      </c>
      <c r="BM474" s="102">
        <v>79.06</v>
      </c>
      <c r="BN474" s="100">
        <v>117.3</v>
      </c>
      <c r="BO474" s="98">
        <v>3.91</v>
      </c>
      <c r="BP474" s="102">
        <v>82.97</v>
      </c>
      <c r="BQ474" s="100">
        <v>135</v>
      </c>
      <c r="BR474" s="98">
        <v>4.5</v>
      </c>
      <c r="BS474" s="102">
        <v>87.47</v>
      </c>
      <c r="BT474" s="100">
        <v>117.3</v>
      </c>
      <c r="BU474" s="98">
        <v>3.91</v>
      </c>
      <c r="BV474" s="102">
        <v>91.38</v>
      </c>
      <c r="BW474" s="100">
        <v>129.30000000000001</v>
      </c>
      <c r="BX474" s="98">
        <v>4.3099999999999996</v>
      </c>
      <c r="BY474" s="102">
        <v>95.69</v>
      </c>
      <c r="BZ474" s="100">
        <v>129.30000000000001</v>
      </c>
      <c r="CA474" s="98">
        <v>4.3099999999999996</v>
      </c>
      <c r="CB474" s="100">
        <v>100</v>
      </c>
      <c r="CC474" s="99"/>
      <c r="CD474" s="99"/>
      <c r="CE474" s="989">
        <v>100</v>
      </c>
      <c r="CF474" s="407"/>
      <c r="CG474" s="408"/>
      <c r="CH474" s="407"/>
      <c r="CI474" s="406"/>
      <c r="CJ474" s="406"/>
      <c r="CK474" s="406"/>
      <c r="CL474" s="406"/>
      <c r="CM474" s="406"/>
      <c r="CN474" s="406"/>
      <c r="CO474" s="467"/>
      <c r="CP474" s="467"/>
      <c r="CQ474" s="406"/>
      <c r="CR474" s="406"/>
      <c r="CS474" s="406"/>
      <c r="CT474" s="406"/>
      <c r="CU474" s="407"/>
      <c r="CV474" s="407"/>
      <c r="CW474" s="407"/>
      <c r="CX474" s="467"/>
      <c r="CY474" s="467"/>
      <c r="CZ474" s="406"/>
      <c r="DA474" s="407"/>
      <c r="DB474" s="467"/>
      <c r="DC474" s="467"/>
      <c r="DD474" s="467"/>
      <c r="DE474" s="467"/>
      <c r="DF474" s="407"/>
    </row>
    <row r="475" spans="1:110" ht="8.4499999999999993" customHeight="1" x14ac:dyDescent="0.2">
      <c r="A475" s="130" t="s">
        <v>585</v>
      </c>
      <c r="B475" s="96">
        <v>90</v>
      </c>
      <c r="C475" s="82" t="s">
        <v>2769</v>
      </c>
      <c r="D475" s="104">
        <v>511</v>
      </c>
      <c r="E475" s="82" t="s">
        <v>1557</v>
      </c>
      <c r="F475" s="82" t="s">
        <v>2024</v>
      </c>
      <c r="G475" s="101">
        <v>8500</v>
      </c>
      <c r="H475" s="98">
        <v>0.1</v>
      </c>
      <c r="I475" s="100">
        <v>382.5</v>
      </c>
      <c r="J475" s="98">
        <v>4.5</v>
      </c>
      <c r="K475" s="98">
        <v>4.5</v>
      </c>
      <c r="L475" s="100">
        <v>349.35</v>
      </c>
      <c r="M475" s="98">
        <v>4.1100000000000003</v>
      </c>
      <c r="N475" s="98">
        <v>8.61</v>
      </c>
      <c r="O475" s="100">
        <v>349.35</v>
      </c>
      <c r="P475" s="98">
        <v>4.1100000000000003</v>
      </c>
      <c r="Q475" s="102">
        <v>12.72</v>
      </c>
      <c r="R475" s="100">
        <v>349.35</v>
      </c>
      <c r="S475" s="98">
        <v>4.1100000000000003</v>
      </c>
      <c r="T475" s="102">
        <v>16.829999999999998</v>
      </c>
      <c r="U475" s="100">
        <v>332.35</v>
      </c>
      <c r="V475" s="98">
        <v>3.91</v>
      </c>
      <c r="W475" s="102">
        <v>20.74</v>
      </c>
      <c r="X475" s="100">
        <v>366.35</v>
      </c>
      <c r="Y475" s="98">
        <v>4.3099999999999996</v>
      </c>
      <c r="Z475" s="102">
        <v>25.05</v>
      </c>
      <c r="AA475" s="100">
        <v>332.35</v>
      </c>
      <c r="AB475" s="98">
        <v>3.91</v>
      </c>
      <c r="AC475" s="102">
        <v>28.96</v>
      </c>
      <c r="AD475" s="100">
        <v>332.35</v>
      </c>
      <c r="AE475" s="98">
        <v>3.91</v>
      </c>
      <c r="AF475" s="102">
        <v>32.869999999999997</v>
      </c>
      <c r="AG475" s="100">
        <v>382.5</v>
      </c>
      <c r="AH475" s="98">
        <v>4.5</v>
      </c>
      <c r="AI475" s="102">
        <v>37.369999999999997</v>
      </c>
      <c r="AJ475" s="100">
        <v>349.35</v>
      </c>
      <c r="AK475" s="98">
        <v>4.1100000000000003</v>
      </c>
      <c r="AL475" s="102">
        <v>41.48</v>
      </c>
      <c r="AM475" s="100">
        <v>349.35</v>
      </c>
      <c r="AN475" s="98">
        <v>4.1100000000000003</v>
      </c>
      <c r="AO475" s="102">
        <v>45.59</v>
      </c>
      <c r="AP475" s="100">
        <v>366.35</v>
      </c>
      <c r="AQ475" s="98">
        <v>4.3099999999999996</v>
      </c>
      <c r="AR475" s="102">
        <v>49.9</v>
      </c>
      <c r="AS475" s="100">
        <v>366.35</v>
      </c>
      <c r="AT475" s="98">
        <v>4.3099999999999996</v>
      </c>
      <c r="AU475" s="102">
        <v>54.21</v>
      </c>
      <c r="AV475" s="100">
        <v>366.35</v>
      </c>
      <c r="AW475" s="98">
        <v>4.3099999999999996</v>
      </c>
      <c r="AX475" s="102">
        <v>58.52</v>
      </c>
      <c r="AY475" s="100">
        <v>349.35</v>
      </c>
      <c r="AZ475" s="98">
        <v>4.1100000000000003</v>
      </c>
      <c r="BA475" s="102">
        <v>62.63</v>
      </c>
      <c r="BB475" s="100">
        <v>332.35</v>
      </c>
      <c r="BC475" s="98">
        <v>3.91</v>
      </c>
      <c r="BD475" s="102">
        <v>66.540000000000006</v>
      </c>
      <c r="BE475" s="100">
        <v>332.35</v>
      </c>
      <c r="BF475" s="98">
        <v>3.91</v>
      </c>
      <c r="BG475" s="102">
        <v>70.45</v>
      </c>
      <c r="BH475" s="100">
        <v>382.5</v>
      </c>
      <c r="BI475" s="98">
        <v>4.5</v>
      </c>
      <c r="BJ475" s="102">
        <v>74.95</v>
      </c>
      <c r="BK475" s="100">
        <v>349.35</v>
      </c>
      <c r="BL475" s="98">
        <v>4.1100000000000003</v>
      </c>
      <c r="BM475" s="102">
        <v>79.06</v>
      </c>
      <c r="BN475" s="100">
        <v>332.35</v>
      </c>
      <c r="BO475" s="98">
        <v>3.91</v>
      </c>
      <c r="BP475" s="102">
        <v>82.97</v>
      </c>
      <c r="BQ475" s="100">
        <v>382.5</v>
      </c>
      <c r="BR475" s="98">
        <v>4.5</v>
      </c>
      <c r="BS475" s="102">
        <v>87.47</v>
      </c>
      <c r="BT475" s="100">
        <v>332.35</v>
      </c>
      <c r="BU475" s="98">
        <v>3.91</v>
      </c>
      <c r="BV475" s="102">
        <v>91.38</v>
      </c>
      <c r="BW475" s="100">
        <v>366.35</v>
      </c>
      <c r="BX475" s="98">
        <v>4.3099999999999996</v>
      </c>
      <c r="BY475" s="102">
        <v>95.69</v>
      </c>
      <c r="BZ475" s="100">
        <v>366.35</v>
      </c>
      <c r="CA475" s="98">
        <v>4.3099999999999996</v>
      </c>
      <c r="CB475" s="100">
        <v>100</v>
      </c>
      <c r="CC475" s="99"/>
      <c r="CD475" s="99"/>
      <c r="CE475" s="989">
        <v>100</v>
      </c>
      <c r="CF475" s="407"/>
      <c r="CG475" s="408"/>
      <c r="CH475" s="407"/>
      <c r="CI475" s="406"/>
      <c r="CJ475" s="406"/>
      <c r="CK475" s="406"/>
      <c r="CL475" s="406"/>
      <c r="CM475" s="406"/>
      <c r="CN475" s="406"/>
      <c r="CO475" s="466"/>
      <c r="CP475" s="464"/>
      <c r="CQ475" s="404"/>
      <c r="CR475" s="403"/>
      <c r="CS475" s="462"/>
      <c r="CT475" s="404"/>
      <c r="CU475" s="403"/>
      <c r="CV475" s="404"/>
      <c r="CW475" s="405"/>
      <c r="CX475" s="464"/>
      <c r="CY475" s="464"/>
      <c r="CZ475" s="460"/>
      <c r="DA475" s="405"/>
      <c r="DB475" s="464"/>
      <c r="DC475" s="464"/>
      <c r="DD475" s="464"/>
      <c r="DE475" s="464"/>
      <c r="DF475" s="405"/>
    </row>
    <row r="476" spans="1:110" ht="8.4499999999999993" customHeight="1" x14ac:dyDescent="0.2">
      <c r="A476" s="130" t="s">
        <v>586</v>
      </c>
      <c r="B476" s="96">
        <v>91</v>
      </c>
      <c r="C476" s="82" t="s">
        <v>2770</v>
      </c>
      <c r="D476" s="104">
        <v>511</v>
      </c>
      <c r="E476" s="82" t="s">
        <v>1557</v>
      </c>
      <c r="F476" s="82" t="s">
        <v>2024</v>
      </c>
      <c r="G476" s="101">
        <v>5500</v>
      </c>
      <c r="H476" s="98">
        <v>0.06</v>
      </c>
      <c r="I476" s="100">
        <v>247.5</v>
      </c>
      <c r="J476" s="98">
        <v>4.5</v>
      </c>
      <c r="K476" s="98">
        <v>4.5</v>
      </c>
      <c r="L476" s="100">
        <v>226.05</v>
      </c>
      <c r="M476" s="98">
        <v>4.1100000000000003</v>
      </c>
      <c r="N476" s="98">
        <v>8.61</v>
      </c>
      <c r="O476" s="100">
        <v>226.05</v>
      </c>
      <c r="P476" s="98">
        <v>4.1100000000000003</v>
      </c>
      <c r="Q476" s="102">
        <v>12.72</v>
      </c>
      <c r="R476" s="100">
        <v>226.05</v>
      </c>
      <c r="S476" s="98">
        <v>4.1100000000000003</v>
      </c>
      <c r="T476" s="102">
        <v>16.829999999999998</v>
      </c>
      <c r="U476" s="100">
        <v>215.05</v>
      </c>
      <c r="V476" s="98">
        <v>3.91</v>
      </c>
      <c r="W476" s="102">
        <v>20.74</v>
      </c>
      <c r="X476" s="100">
        <v>237.05</v>
      </c>
      <c r="Y476" s="98">
        <v>4.3099999999999996</v>
      </c>
      <c r="Z476" s="102">
        <v>25.05</v>
      </c>
      <c r="AA476" s="100">
        <v>215.05</v>
      </c>
      <c r="AB476" s="98">
        <v>3.91</v>
      </c>
      <c r="AC476" s="102">
        <v>28.96</v>
      </c>
      <c r="AD476" s="100">
        <v>215.05</v>
      </c>
      <c r="AE476" s="98">
        <v>3.91</v>
      </c>
      <c r="AF476" s="102">
        <v>32.869999999999997</v>
      </c>
      <c r="AG476" s="100">
        <v>247.5</v>
      </c>
      <c r="AH476" s="98">
        <v>4.5</v>
      </c>
      <c r="AI476" s="102">
        <v>37.369999999999997</v>
      </c>
      <c r="AJ476" s="100">
        <v>226.05</v>
      </c>
      <c r="AK476" s="98">
        <v>4.1100000000000003</v>
      </c>
      <c r="AL476" s="102">
        <v>41.48</v>
      </c>
      <c r="AM476" s="100">
        <v>226.05</v>
      </c>
      <c r="AN476" s="98">
        <v>4.1100000000000003</v>
      </c>
      <c r="AO476" s="102">
        <v>45.59</v>
      </c>
      <c r="AP476" s="100">
        <v>237.05</v>
      </c>
      <c r="AQ476" s="98">
        <v>4.3099999999999996</v>
      </c>
      <c r="AR476" s="102">
        <v>49.9</v>
      </c>
      <c r="AS476" s="100">
        <v>237.05</v>
      </c>
      <c r="AT476" s="98">
        <v>4.3099999999999996</v>
      </c>
      <c r="AU476" s="102">
        <v>54.21</v>
      </c>
      <c r="AV476" s="100">
        <v>237.05</v>
      </c>
      <c r="AW476" s="98">
        <v>4.3099999999999996</v>
      </c>
      <c r="AX476" s="102">
        <v>58.52</v>
      </c>
      <c r="AY476" s="100">
        <v>226.05</v>
      </c>
      <c r="AZ476" s="98">
        <v>4.1100000000000003</v>
      </c>
      <c r="BA476" s="102">
        <v>62.63</v>
      </c>
      <c r="BB476" s="100">
        <v>215.05</v>
      </c>
      <c r="BC476" s="98">
        <v>3.91</v>
      </c>
      <c r="BD476" s="102">
        <v>66.540000000000006</v>
      </c>
      <c r="BE476" s="100">
        <v>215.05</v>
      </c>
      <c r="BF476" s="98">
        <v>3.91</v>
      </c>
      <c r="BG476" s="102">
        <v>70.45</v>
      </c>
      <c r="BH476" s="100">
        <v>247.5</v>
      </c>
      <c r="BI476" s="98">
        <v>4.5</v>
      </c>
      <c r="BJ476" s="102">
        <v>74.95</v>
      </c>
      <c r="BK476" s="100">
        <v>226.05</v>
      </c>
      <c r="BL476" s="98">
        <v>4.1100000000000003</v>
      </c>
      <c r="BM476" s="102">
        <v>79.06</v>
      </c>
      <c r="BN476" s="100">
        <v>215.05</v>
      </c>
      <c r="BO476" s="98">
        <v>3.91</v>
      </c>
      <c r="BP476" s="102">
        <v>82.97</v>
      </c>
      <c r="BQ476" s="100">
        <v>247.5</v>
      </c>
      <c r="BR476" s="98">
        <v>4.5</v>
      </c>
      <c r="BS476" s="102">
        <v>87.47</v>
      </c>
      <c r="BT476" s="100">
        <v>215.05</v>
      </c>
      <c r="BU476" s="98">
        <v>3.91</v>
      </c>
      <c r="BV476" s="102">
        <v>91.38</v>
      </c>
      <c r="BW476" s="100">
        <v>237.05</v>
      </c>
      <c r="BX476" s="98">
        <v>4.3099999999999996</v>
      </c>
      <c r="BY476" s="102">
        <v>95.69</v>
      </c>
      <c r="BZ476" s="100">
        <v>237.05</v>
      </c>
      <c r="CA476" s="98">
        <v>4.3099999999999996</v>
      </c>
      <c r="CB476" s="100">
        <v>100</v>
      </c>
      <c r="CC476" s="99"/>
      <c r="CD476" s="99"/>
      <c r="CE476" s="989">
        <v>100</v>
      </c>
      <c r="CF476" s="406"/>
      <c r="CG476" s="406"/>
      <c r="CH476" s="407"/>
      <c r="CI476" s="406"/>
      <c r="CJ476" s="406"/>
      <c r="CK476" s="406"/>
      <c r="CL476" s="406"/>
      <c r="CM476" s="406"/>
      <c r="CN476" s="406"/>
      <c r="CO476" s="467"/>
      <c r="CP476" s="467"/>
      <c r="CQ476" s="409"/>
      <c r="CR476" s="410"/>
      <c r="CS476" s="409"/>
      <c r="CT476" s="407"/>
      <c r="CU476" s="406"/>
      <c r="CV476" s="406"/>
      <c r="CW476" s="407"/>
      <c r="CX476" s="467"/>
      <c r="CY476" s="467"/>
      <c r="CZ476" s="406"/>
      <c r="DA476" s="407"/>
      <c r="DB476" s="467"/>
      <c r="DC476" s="467"/>
      <c r="DD476" s="467"/>
      <c r="DE476" s="467"/>
      <c r="DF476" s="407"/>
    </row>
    <row r="477" spans="1:110" ht="8.4499999999999993" customHeight="1" x14ac:dyDescent="0.2">
      <c r="A477" s="130" t="s">
        <v>587</v>
      </c>
      <c r="B477" s="96">
        <v>92</v>
      </c>
      <c r="C477" s="82" t="s">
        <v>2771</v>
      </c>
      <c r="D477" s="104">
        <v>511</v>
      </c>
      <c r="E477" s="82" t="s">
        <v>1557</v>
      </c>
      <c r="F477" s="82" t="s">
        <v>2024</v>
      </c>
      <c r="G477" s="101">
        <v>5458.22</v>
      </c>
      <c r="H477" s="98">
        <v>0.06</v>
      </c>
      <c r="I477" s="100">
        <v>245.62</v>
      </c>
      <c r="J477" s="98">
        <v>4.5</v>
      </c>
      <c r="K477" s="98">
        <v>4.5</v>
      </c>
      <c r="L477" s="100">
        <v>224.33</v>
      </c>
      <c r="M477" s="98">
        <v>4.1100000000000003</v>
      </c>
      <c r="N477" s="98">
        <v>8.61</v>
      </c>
      <c r="O477" s="100">
        <v>224.33</v>
      </c>
      <c r="P477" s="98">
        <v>4.1100000000000003</v>
      </c>
      <c r="Q477" s="102">
        <v>12.72</v>
      </c>
      <c r="R477" s="100">
        <v>224.33</v>
      </c>
      <c r="S477" s="98">
        <v>4.1100000000000003</v>
      </c>
      <c r="T477" s="102">
        <v>16.829999999999998</v>
      </c>
      <c r="U477" s="100">
        <v>213.42</v>
      </c>
      <c r="V477" s="98">
        <v>3.91</v>
      </c>
      <c r="W477" s="102">
        <v>20.74</v>
      </c>
      <c r="X477" s="100">
        <v>235.25</v>
      </c>
      <c r="Y477" s="98">
        <v>4.3099999999999996</v>
      </c>
      <c r="Z477" s="102">
        <v>25.05</v>
      </c>
      <c r="AA477" s="100">
        <v>213.42</v>
      </c>
      <c r="AB477" s="98">
        <v>3.91</v>
      </c>
      <c r="AC477" s="102">
        <v>28.96</v>
      </c>
      <c r="AD477" s="100">
        <v>213.42</v>
      </c>
      <c r="AE477" s="98">
        <v>3.91</v>
      </c>
      <c r="AF477" s="102">
        <v>32.869999999999997</v>
      </c>
      <c r="AG477" s="100">
        <v>245.62</v>
      </c>
      <c r="AH477" s="98">
        <v>4.5</v>
      </c>
      <c r="AI477" s="102">
        <v>37.369999999999997</v>
      </c>
      <c r="AJ477" s="100">
        <v>224.33</v>
      </c>
      <c r="AK477" s="98">
        <v>4.1100000000000003</v>
      </c>
      <c r="AL477" s="102">
        <v>41.48</v>
      </c>
      <c r="AM477" s="100">
        <v>224.33</v>
      </c>
      <c r="AN477" s="98">
        <v>4.1100000000000003</v>
      </c>
      <c r="AO477" s="102">
        <v>45.59</v>
      </c>
      <c r="AP477" s="100">
        <v>235.25</v>
      </c>
      <c r="AQ477" s="98">
        <v>4.3099999999999996</v>
      </c>
      <c r="AR477" s="102">
        <v>49.9</v>
      </c>
      <c r="AS477" s="100">
        <v>235.25</v>
      </c>
      <c r="AT477" s="98">
        <v>4.3099999999999996</v>
      </c>
      <c r="AU477" s="102">
        <v>54.21</v>
      </c>
      <c r="AV477" s="100">
        <v>235.25</v>
      </c>
      <c r="AW477" s="98">
        <v>4.3099999999999996</v>
      </c>
      <c r="AX477" s="102">
        <v>58.52</v>
      </c>
      <c r="AY477" s="100">
        <v>224.33</v>
      </c>
      <c r="AZ477" s="98">
        <v>4.1100000000000003</v>
      </c>
      <c r="BA477" s="102">
        <v>62.63</v>
      </c>
      <c r="BB477" s="100">
        <v>213.42</v>
      </c>
      <c r="BC477" s="98">
        <v>3.91</v>
      </c>
      <c r="BD477" s="102">
        <v>66.540000000000006</v>
      </c>
      <c r="BE477" s="100">
        <v>213.42</v>
      </c>
      <c r="BF477" s="98">
        <v>3.91</v>
      </c>
      <c r="BG477" s="102">
        <v>70.45</v>
      </c>
      <c r="BH477" s="100">
        <v>245.62</v>
      </c>
      <c r="BI477" s="98">
        <v>4.5</v>
      </c>
      <c r="BJ477" s="102">
        <v>74.95</v>
      </c>
      <c r="BK477" s="100">
        <v>224.33</v>
      </c>
      <c r="BL477" s="98">
        <v>4.1100000000000003</v>
      </c>
      <c r="BM477" s="102">
        <v>79.06</v>
      </c>
      <c r="BN477" s="100">
        <v>213.42</v>
      </c>
      <c r="BO477" s="98">
        <v>3.91</v>
      </c>
      <c r="BP477" s="102">
        <v>82.97</v>
      </c>
      <c r="BQ477" s="100">
        <v>245.62</v>
      </c>
      <c r="BR477" s="98">
        <v>4.5</v>
      </c>
      <c r="BS477" s="102">
        <v>87.47</v>
      </c>
      <c r="BT477" s="100">
        <v>213.42</v>
      </c>
      <c r="BU477" s="98">
        <v>3.91</v>
      </c>
      <c r="BV477" s="102">
        <v>91.38</v>
      </c>
      <c r="BW477" s="100">
        <v>235.25</v>
      </c>
      <c r="BX477" s="98">
        <v>4.3099999999999996</v>
      </c>
      <c r="BY477" s="102">
        <v>95.69</v>
      </c>
      <c r="BZ477" s="100">
        <v>235.25</v>
      </c>
      <c r="CA477" s="98">
        <v>4.3099999999999996</v>
      </c>
      <c r="CB477" s="100">
        <v>100</v>
      </c>
      <c r="CC477" s="99"/>
      <c r="CD477" s="99"/>
      <c r="CE477" s="989">
        <v>100</v>
      </c>
      <c r="CF477" s="407"/>
      <c r="CG477" s="408"/>
      <c r="CH477" s="407"/>
      <c r="CI477" s="406"/>
      <c r="CJ477" s="406"/>
      <c r="CK477" s="406"/>
      <c r="CL477" s="406"/>
      <c r="CM477" s="406"/>
      <c r="CN477" s="406"/>
      <c r="CO477" s="469"/>
      <c r="CP477" s="467"/>
      <c r="CQ477" s="409"/>
      <c r="CR477" s="406"/>
      <c r="CS477" s="406"/>
      <c r="CT477" s="409"/>
      <c r="CU477" s="410"/>
      <c r="CV477" s="409"/>
      <c r="CW477" s="407"/>
      <c r="CX477" s="467"/>
      <c r="CY477" s="467"/>
      <c r="CZ477" s="406"/>
      <c r="DA477" s="407"/>
      <c r="DB477" s="467"/>
      <c r="DC477" s="467"/>
      <c r="DD477" s="467"/>
      <c r="DE477" s="467"/>
      <c r="DF477" s="407"/>
    </row>
    <row r="478" spans="1:110" ht="8.4499999999999993" customHeight="1" x14ac:dyDescent="0.2">
      <c r="A478" s="130" t="s">
        <v>588</v>
      </c>
      <c r="B478" s="96">
        <v>93</v>
      </c>
      <c r="C478" s="82" t="s">
        <v>2772</v>
      </c>
      <c r="D478" s="104">
        <v>511</v>
      </c>
      <c r="E478" s="82" t="s">
        <v>1557</v>
      </c>
      <c r="F478" s="82" t="s">
        <v>2024</v>
      </c>
      <c r="G478" s="101">
        <v>1000</v>
      </c>
      <c r="H478" s="98">
        <v>0.01</v>
      </c>
      <c r="I478" s="102">
        <v>45</v>
      </c>
      <c r="J478" s="98">
        <v>4.5</v>
      </c>
      <c r="K478" s="98">
        <v>4.5</v>
      </c>
      <c r="L478" s="102">
        <v>41.1</v>
      </c>
      <c r="M478" s="98">
        <v>4.1100000000000003</v>
      </c>
      <c r="N478" s="98">
        <v>8.61</v>
      </c>
      <c r="O478" s="102">
        <v>41.1</v>
      </c>
      <c r="P478" s="98">
        <v>4.1100000000000003</v>
      </c>
      <c r="Q478" s="102">
        <v>12.72</v>
      </c>
      <c r="R478" s="102">
        <v>41.1</v>
      </c>
      <c r="S478" s="98">
        <v>4.1100000000000003</v>
      </c>
      <c r="T478" s="102">
        <v>16.829999999999998</v>
      </c>
      <c r="U478" s="102">
        <v>39.1</v>
      </c>
      <c r="V478" s="98">
        <v>3.91</v>
      </c>
      <c r="W478" s="102">
        <v>20.74</v>
      </c>
      <c r="X478" s="102">
        <v>43.1</v>
      </c>
      <c r="Y478" s="98">
        <v>4.3099999999999996</v>
      </c>
      <c r="Z478" s="102">
        <v>25.05</v>
      </c>
      <c r="AA478" s="102">
        <v>39.1</v>
      </c>
      <c r="AB478" s="98">
        <v>3.91</v>
      </c>
      <c r="AC478" s="102">
        <v>28.96</v>
      </c>
      <c r="AD478" s="102">
        <v>39.1</v>
      </c>
      <c r="AE478" s="98">
        <v>3.91</v>
      </c>
      <c r="AF478" s="102">
        <v>32.869999999999997</v>
      </c>
      <c r="AG478" s="102">
        <v>45</v>
      </c>
      <c r="AH478" s="98">
        <v>4.5</v>
      </c>
      <c r="AI478" s="102">
        <v>37.369999999999997</v>
      </c>
      <c r="AJ478" s="102">
        <v>41.1</v>
      </c>
      <c r="AK478" s="98">
        <v>4.1100000000000003</v>
      </c>
      <c r="AL478" s="102">
        <v>41.48</v>
      </c>
      <c r="AM478" s="102">
        <v>41.1</v>
      </c>
      <c r="AN478" s="98">
        <v>4.1100000000000003</v>
      </c>
      <c r="AO478" s="102">
        <v>45.59</v>
      </c>
      <c r="AP478" s="102">
        <v>43.1</v>
      </c>
      <c r="AQ478" s="98">
        <v>4.3099999999999996</v>
      </c>
      <c r="AR478" s="102">
        <v>49.9</v>
      </c>
      <c r="AS478" s="102">
        <v>43.1</v>
      </c>
      <c r="AT478" s="98">
        <v>4.3099999999999996</v>
      </c>
      <c r="AU478" s="102">
        <v>54.21</v>
      </c>
      <c r="AV478" s="102">
        <v>43.1</v>
      </c>
      <c r="AW478" s="98">
        <v>4.3099999999999996</v>
      </c>
      <c r="AX478" s="102">
        <v>58.52</v>
      </c>
      <c r="AY478" s="102">
        <v>41.1</v>
      </c>
      <c r="AZ478" s="98">
        <v>4.1100000000000003</v>
      </c>
      <c r="BA478" s="102">
        <v>62.63</v>
      </c>
      <c r="BB478" s="102">
        <v>39.1</v>
      </c>
      <c r="BC478" s="98">
        <v>3.91</v>
      </c>
      <c r="BD478" s="102">
        <v>66.540000000000006</v>
      </c>
      <c r="BE478" s="102">
        <v>39.1</v>
      </c>
      <c r="BF478" s="98">
        <v>3.91</v>
      </c>
      <c r="BG478" s="102">
        <v>70.45</v>
      </c>
      <c r="BH478" s="102">
        <v>45</v>
      </c>
      <c r="BI478" s="98">
        <v>4.5</v>
      </c>
      <c r="BJ478" s="102">
        <v>74.95</v>
      </c>
      <c r="BK478" s="102">
        <v>41.1</v>
      </c>
      <c r="BL478" s="98">
        <v>4.1100000000000003</v>
      </c>
      <c r="BM478" s="102">
        <v>79.06</v>
      </c>
      <c r="BN478" s="102">
        <v>39.1</v>
      </c>
      <c r="BO478" s="98">
        <v>3.91</v>
      </c>
      <c r="BP478" s="102">
        <v>82.97</v>
      </c>
      <c r="BQ478" s="102">
        <v>45</v>
      </c>
      <c r="BR478" s="98">
        <v>4.5</v>
      </c>
      <c r="BS478" s="102">
        <v>87.47</v>
      </c>
      <c r="BT478" s="102">
        <v>39.1</v>
      </c>
      <c r="BU478" s="98">
        <v>3.91</v>
      </c>
      <c r="BV478" s="102">
        <v>91.38</v>
      </c>
      <c r="BW478" s="102">
        <v>43.1</v>
      </c>
      <c r="BX478" s="98">
        <v>4.3099999999999996</v>
      </c>
      <c r="BY478" s="102">
        <v>95.69</v>
      </c>
      <c r="BZ478" s="102">
        <v>43.1</v>
      </c>
      <c r="CA478" s="98">
        <v>4.3099999999999996</v>
      </c>
      <c r="CB478" s="100">
        <v>100</v>
      </c>
      <c r="CC478" s="99"/>
      <c r="CD478" s="99"/>
      <c r="CE478" s="989">
        <v>100</v>
      </c>
      <c r="CF478" s="412"/>
      <c r="CG478" s="409"/>
      <c r="CH478" s="407"/>
      <c r="CI478" s="406"/>
      <c r="CJ478" s="406"/>
      <c r="CK478" s="406"/>
      <c r="CL478" s="406"/>
      <c r="CM478" s="406"/>
      <c r="CN478" s="406"/>
      <c r="CO478" s="469"/>
      <c r="CP478" s="467"/>
      <c r="CQ478" s="409"/>
      <c r="CR478" s="406"/>
      <c r="CS478" s="406"/>
      <c r="CT478" s="409"/>
      <c r="CU478" s="407"/>
      <c r="CV478" s="409"/>
      <c r="CW478" s="407"/>
      <c r="CX478" s="467"/>
      <c r="CY478" s="467"/>
      <c r="CZ478" s="406"/>
      <c r="DA478" s="407"/>
      <c r="DB478" s="467"/>
      <c r="DC478" s="467"/>
      <c r="DD478" s="467"/>
      <c r="DE478" s="467"/>
      <c r="DF478" s="407"/>
    </row>
    <row r="479" spans="1:110" ht="8.4499999999999993" customHeight="1" x14ac:dyDescent="0.2">
      <c r="A479" s="130" t="s">
        <v>589</v>
      </c>
      <c r="B479" s="96">
        <v>94</v>
      </c>
      <c r="C479" s="82" t="s">
        <v>2773</v>
      </c>
      <c r="D479" s="104">
        <v>511</v>
      </c>
      <c r="E479" s="82" t="s">
        <v>1557</v>
      </c>
      <c r="F479" s="82" t="s">
        <v>2024</v>
      </c>
      <c r="G479" s="101">
        <v>1315</v>
      </c>
      <c r="H479" s="98">
        <v>0.01</v>
      </c>
      <c r="I479" s="102">
        <v>59.18</v>
      </c>
      <c r="J479" s="98">
        <v>4.5</v>
      </c>
      <c r="K479" s="98">
        <v>4.5</v>
      </c>
      <c r="L479" s="102">
        <v>54.05</v>
      </c>
      <c r="M479" s="98">
        <v>4.1100000000000003</v>
      </c>
      <c r="N479" s="98">
        <v>8.61</v>
      </c>
      <c r="O479" s="102">
        <v>54.05</v>
      </c>
      <c r="P479" s="98">
        <v>4.1100000000000003</v>
      </c>
      <c r="Q479" s="102">
        <v>12.72</v>
      </c>
      <c r="R479" s="102">
        <v>54.05</v>
      </c>
      <c r="S479" s="98">
        <v>4.1100000000000003</v>
      </c>
      <c r="T479" s="102">
        <v>16.829999999999998</v>
      </c>
      <c r="U479" s="102">
        <v>51.42</v>
      </c>
      <c r="V479" s="98">
        <v>3.91</v>
      </c>
      <c r="W479" s="102">
        <v>20.74</v>
      </c>
      <c r="X479" s="102">
        <v>56.68</v>
      </c>
      <c r="Y479" s="98">
        <v>4.3099999999999996</v>
      </c>
      <c r="Z479" s="102">
        <v>25.05</v>
      </c>
      <c r="AA479" s="102">
        <v>51.42</v>
      </c>
      <c r="AB479" s="98">
        <v>3.91</v>
      </c>
      <c r="AC479" s="102">
        <v>28.96</v>
      </c>
      <c r="AD479" s="102">
        <v>51.42</v>
      </c>
      <c r="AE479" s="98">
        <v>3.91</v>
      </c>
      <c r="AF479" s="102">
        <v>32.869999999999997</v>
      </c>
      <c r="AG479" s="102">
        <v>59.18</v>
      </c>
      <c r="AH479" s="98">
        <v>4.5</v>
      </c>
      <c r="AI479" s="102">
        <v>37.369999999999997</v>
      </c>
      <c r="AJ479" s="102">
        <v>54.05</v>
      </c>
      <c r="AK479" s="98">
        <v>4.1100000000000003</v>
      </c>
      <c r="AL479" s="102">
        <v>41.48</v>
      </c>
      <c r="AM479" s="102">
        <v>54.05</v>
      </c>
      <c r="AN479" s="98">
        <v>4.1100000000000003</v>
      </c>
      <c r="AO479" s="102">
        <v>45.59</v>
      </c>
      <c r="AP479" s="102">
        <v>56.68</v>
      </c>
      <c r="AQ479" s="98">
        <v>4.3099999999999996</v>
      </c>
      <c r="AR479" s="102">
        <v>49.9</v>
      </c>
      <c r="AS479" s="102">
        <v>56.68</v>
      </c>
      <c r="AT479" s="98">
        <v>4.3099999999999996</v>
      </c>
      <c r="AU479" s="102">
        <v>54.21</v>
      </c>
      <c r="AV479" s="102">
        <v>56.68</v>
      </c>
      <c r="AW479" s="98">
        <v>4.3099999999999996</v>
      </c>
      <c r="AX479" s="102">
        <v>58.52</v>
      </c>
      <c r="AY479" s="102">
        <v>54.05</v>
      </c>
      <c r="AZ479" s="98">
        <v>4.1100000000000003</v>
      </c>
      <c r="BA479" s="102">
        <v>62.63</v>
      </c>
      <c r="BB479" s="102">
        <v>51.42</v>
      </c>
      <c r="BC479" s="98">
        <v>3.91</v>
      </c>
      <c r="BD479" s="102">
        <v>66.540000000000006</v>
      </c>
      <c r="BE479" s="102">
        <v>51.42</v>
      </c>
      <c r="BF479" s="98">
        <v>3.91</v>
      </c>
      <c r="BG479" s="102">
        <v>70.45</v>
      </c>
      <c r="BH479" s="102">
        <v>59.18</v>
      </c>
      <c r="BI479" s="98">
        <v>4.5</v>
      </c>
      <c r="BJ479" s="102">
        <v>74.95</v>
      </c>
      <c r="BK479" s="102">
        <v>54.05</v>
      </c>
      <c r="BL479" s="98">
        <v>4.1100000000000003</v>
      </c>
      <c r="BM479" s="102">
        <v>79.06</v>
      </c>
      <c r="BN479" s="102">
        <v>51.42</v>
      </c>
      <c r="BO479" s="98">
        <v>3.91</v>
      </c>
      <c r="BP479" s="102">
        <v>82.97</v>
      </c>
      <c r="BQ479" s="102">
        <v>59.18</v>
      </c>
      <c r="BR479" s="98">
        <v>4.5</v>
      </c>
      <c r="BS479" s="102">
        <v>87.47</v>
      </c>
      <c r="BT479" s="102">
        <v>51.42</v>
      </c>
      <c r="BU479" s="98">
        <v>3.91</v>
      </c>
      <c r="BV479" s="102">
        <v>91.38</v>
      </c>
      <c r="BW479" s="102">
        <v>56.68</v>
      </c>
      <c r="BX479" s="98">
        <v>4.3099999999999996</v>
      </c>
      <c r="BY479" s="102">
        <v>95.69</v>
      </c>
      <c r="BZ479" s="102">
        <v>56.68</v>
      </c>
      <c r="CA479" s="98">
        <v>4.3099999999999996</v>
      </c>
      <c r="CB479" s="100">
        <v>100</v>
      </c>
      <c r="CC479" s="99"/>
      <c r="CD479" s="99"/>
      <c r="CE479" s="989">
        <v>100</v>
      </c>
      <c r="CF479" s="408"/>
      <c r="CG479" s="408"/>
      <c r="CH479" s="407"/>
      <c r="CI479" s="406"/>
      <c r="CJ479" s="406"/>
      <c r="CK479" s="406"/>
      <c r="CL479" s="406"/>
      <c r="CM479" s="406"/>
      <c r="CN479" s="406"/>
      <c r="CO479" s="474"/>
      <c r="CP479" s="464"/>
      <c r="CQ479" s="404"/>
      <c r="CR479" s="403"/>
      <c r="CS479" s="404"/>
      <c r="CT479" s="404"/>
      <c r="CU479" s="403"/>
      <c r="CV479" s="404"/>
      <c r="CW479" s="405"/>
      <c r="CX479" s="464"/>
      <c r="CY479" s="464"/>
      <c r="CZ479" s="460"/>
      <c r="DA479" s="405"/>
      <c r="DB479" s="464"/>
      <c r="DC479" s="464"/>
      <c r="DD479" s="464"/>
      <c r="DE479" s="464"/>
      <c r="DF479" s="405"/>
    </row>
    <row r="480" spans="1:110" ht="8.4499999999999993" customHeight="1" x14ac:dyDescent="0.2">
      <c r="A480" s="130" t="s">
        <v>2161</v>
      </c>
      <c r="B480" s="96">
        <v>95</v>
      </c>
      <c r="C480" s="82" t="s">
        <v>2774</v>
      </c>
      <c r="D480" s="104">
        <v>511</v>
      </c>
      <c r="E480" s="82" t="s">
        <v>1557</v>
      </c>
      <c r="F480" s="82" t="s">
        <v>2024</v>
      </c>
      <c r="G480" s="100">
        <v>200</v>
      </c>
      <c r="H480" s="98">
        <v>0</v>
      </c>
      <c r="I480" s="98">
        <v>9</v>
      </c>
      <c r="J480" s="98">
        <v>4.5</v>
      </c>
      <c r="K480" s="98">
        <v>4.5</v>
      </c>
      <c r="L480" s="98">
        <v>8.2200000000000006</v>
      </c>
      <c r="M480" s="98">
        <v>4.1100000000000003</v>
      </c>
      <c r="N480" s="98">
        <v>8.61</v>
      </c>
      <c r="O480" s="98">
        <v>8.2200000000000006</v>
      </c>
      <c r="P480" s="98">
        <v>4.1100000000000003</v>
      </c>
      <c r="Q480" s="102">
        <v>12.72</v>
      </c>
      <c r="R480" s="98">
        <v>8.2200000000000006</v>
      </c>
      <c r="S480" s="98">
        <v>4.1100000000000003</v>
      </c>
      <c r="T480" s="102">
        <v>16.829999999999998</v>
      </c>
      <c r="U480" s="98">
        <v>7.82</v>
      </c>
      <c r="V480" s="98">
        <v>3.91</v>
      </c>
      <c r="W480" s="102">
        <v>20.74</v>
      </c>
      <c r="X480" s="98">
        <v>8.6199999999999992</v>
      </c>
      <c r="Y480" s="98">
        <v>4.3099999999999996</v>
      </c>
      <c r="Z480" s="102">
        <v>25.05</v>
      </c>
      <c r="AA480" s="98">
        <v>7.82</v>
      </c>
      <c r="AB480" s="98">
        <v>3.91</v>
      </c>
      <c r="AC480" s="102">
        <v>28.96</v>
      </c>
      <c r="AD480" s="98">
        <v>7.82</v>
      </c>
      <c r="AE480" s="98">
        <v>3.91</v>
      </c>
      <c r="AF480" s="102">
        <v>32.869999999999997</v>
      </c>
      <c r="AG480" s="98">
        <v>9</v>
      </c>
      <c r="AH480" s="98">
        <v>4.5</v>
      </c>
      <c r="AI480" s="102">
        <v>37.369999999999997</v>
      </c>
      <c r="AJ480" s="98">
        <v>8.2200000000000006</v>
      </c>
      <c r="AK480" s="98">
        <v>4.1100000000000003</v>
      </c>
      <c r="AL480" s="102">
        <v>41.48</v>
      </c>
      <c r="AM480" s="98">
        <v>8.2200000000000006</v>
      </c>
      <c r="AN480" s="98">
        <v>4.1100000000000003</v>
      </c>
      <c r="AO480" s="102">
        <v>45.59</v>
      </c>
      <c r="AP480" s="98">
        <v>8.6199999999999992</v>
      </c>
      <c r="AQ480" s="98">
        <v>4.3099999999999996</v>
      </c>
      <c r="AR480" s="102">
        <v>49.9</v>
      </c>
      <c r="AS480" s="98">
        <v>8.6199999999999992</v>
      </c>
      <c r="AT480" s="98">
        <v>4.3099999999999996</v>
      </c>
      <c r="AU480" s="102">
        <v>54.21</v>
      </c>
      <c r="AV480" s="98">
        <v>8.6199999999999992</v>
      </c>
      <c r="AW480" s="98">
        <v>4.3099999999999996</v>
      </c>
      <c r="AX480" s="102">
        <v>58.52</v>
      </c>
      <c r="AY480" s="98">
        <v>8.2200000000000006</v>
      </c>
      <c r="AZ480" s="98">
        <v>4.1100000000000003</v>
      </c>
      <c r="BA480" s="102">
        <v>62.63</v>
      </c>
      <c r="BB480" s="98">
        <v>7.82</v>
      </c>
      <c r="BC480" s="98">
        <v>3.91</v>
      </c>
      <c r="BD480" s="102">
        <v>66.540000000000006</v>
      </c>
      <c r="BE480" s="98">
        <v>7.82</v>
      </c>
      <c r="BF480" s="98">
        <v>3.91</v>
      </c>
      <c r="BG480" s="102">
        <v>70.45</v>
      </c>
      <c r="BH480" s="98">
        <v>9</v>
      </c>
      <c r="BI480" s="98">
        <v>4.5</v>
      </c>
      <c r="BJ480" s="102">
        <v>74.95</v>
      </c>
      <c r="BK480" s="98">
        <v>8.2200000000000006</v>
      </c>
      <c r="BL480" s="98">
        <v>4.1100000000000003</v>
      </c>
      <c r="BM480" s="102">
        <v>79.06</v>
      </c>
      <c r="BN480" s="98">
        <v>7.82</v>
      </c>
      <c r="BO480" s="98">
        <v>3.91</v>
      </c>
      <c r="BP480" s="102">
        <v>82.97</v>
      </c>
      <c r="BQ480" s="98">
        <v>9</v>
      </c>
      <c r="BR480" s="98">
        <v>4.5</v>
      </c>
      <c r="BS480" s="102">
        <v>87.47</v>
      </c>
      <c r="BT480" s="98">
        <v>7.82</v>
      </c>
      <c r="BU480" s="98">
        <v>3.91</v>
      </c>
      <c r="BV480" s="102">
        <v>91.38</v>
      </c>
      <c r="BW480" s="98">
        <v>8.6199999999999992</v>
      </c>
      <c r="BX480" s="98">
        <v>4.3099999999999996</v>
      </c>
      <c r="BY480" s="102">
        <v>95.69</v>
      </c>
      <c r="BZ480" s="98">
        <v>8.6199999999999992</v>
      </c>
      <c r="CA480" s="98">
        <v>4.3099999999999996</v>
      </c>
      <c r="CB480" s="100">
        <v>100</v>
      </c>
      <c r="CC480" s="99"/>
      <c r="CD480" s="99"/>
      <c r="CE480" s="989">
        <v>100</v>
      </c>
      <c r="CF480" s="407"/>
      <c r="CG480" s="408"/>
      <c r="CH480" s="407"/>
      <c r="CI480" s="406"/>
      <c r="CJ480" s="406"/>
      <c r="CK480" s="406"/>
      <c r="CL480" s="406"/>
      <c r="CM480" s="406"/>
      <c r="CN480" s="406"/>
      <c r="CO480" s="473"/>
      <c r="CP480" s="467"/>
      <c r="CQ480" s="409"/>
      <c r="CR480" s="410"/>
      <c r="CS480" s="409"/>
      <c r="CT480" s="409"/>
      <c r="CU480" s="410"/>
      <c r="CV480" s="409"/>
      <c r="CW480" s="407"/>
      <c r="CX480" s="467"/>
      <c r="CY480" s="467"/>
      <c r="CZ480" s="406"/>
      <c r="DA480" s="407"/>
      <c r="DB480" s="467"/>
      <c r="DC480" s="467"/>
      <c r="DD480" s="467"/>
      <c r="DE480" s="467"/>
      <c r="DF480" s="407"/>
    </row>
    <row r="481" spans="1:110" ht="8.4499999999999993" customHeight="1" x14ac:dyDescent="0.2">
      <c r="A481" s="130" t="s">
        <v>2162</v>
      </c>
      <c r="B481" s="96">
        <v>96</v>
      </c>
      <c r="C481" s="82" t="s">
        <v>2775</v>
      </c>
      <c r="D481" s="104">
        <v>511</v>
      </c>
      <c r="E481" s="82" t="s">
        <v>1557</v>
      </c>
      <c r="F481" s="82" t="s">
        <v>2024</v>
      </c>
      <c r="G481" s="101">
        <v>5800</v>
      </c>
      <c r="H481" s="98">
        <v>7.0000000000000007E-2</v>
      </c>
      <c r="I481" s="100">
        <v>261</v>
      </c>
      <c r="J481" s="98">
        <v>4.5</v>
      </c>
      <c r="K481" s="98">
        <v>4.5</v>
      </c>
      <c r="L481" s="100">
        <v>238.38</v>
      </c>
      <c r="M481" s="98">
        <v>4.1100000000000003</v>
      </c>
      <c r="N481" s="98">
        <v>8.61</v>
      </c>
      <c r="O481" s="100">
        <v>238.38</v>
      </c>
      <c r="P481" s="98">
        <v>4.1100000000000003</v>
      </c>
      <c r="Q481" s="102">
        <v>12.72</v>
      </c>
      <c r="R481" s="100">
        <v>238.38</v>
      </c>
      <c r="S481" s="98">
        <v>4.1100000000000003</v>
      </c>
      <c r="T481" s="102">
        <v>16.829999999999998</v>
      </c>
      <c r="U481" s="100">
        <v>226.78</v>
      </c>
      <c r="V481" s="98">
        <v>3.91</v>
      </c>
      <c r="W481" s="102">
        <v>20.74</v>
      </c>
      <c r="X481" s="100">
        <v>249.98</v>
      </c>
      <c r="Y481" s="98">
        <v>4.3099999999999996</v>
      </c>
      <c r="Z481" s="102">
        <v>25.05</v>
      </c>
      <c r="AA481" s="100">
        <v>226.78</v>
      </c>
      <c r="AB481" s="98">
        <v>3.91</v>
      </c>
      <c r="AC481" s="102">
        <v>28.96</v>
      </c>
      <c r="AD481" s="100">
        <v>226.78</v>
      </c>
      <c r="AE481" s="98">
        <v>3.91</v>
      </c>
      <c r="AF481" s="102">
        <v>32.869999999999997</v>
      </c>
      <c r="AG481" s="100">
        <v>261</v>
      </c>
      <c r="AH481" s="98">
        <v>4.5</v>
      </c>
      <c r="AI481" s="102">
        <v>37.369999999999997</v>
      </c>
      <c r="AJ481" s="100">
        <v>238.38</v>
      </c>
      <c r="AK481" s="98">
        <v>4.1100000000000003</v>
      </c>
      <c r="AL481" s="102">
        <v>41.48</v>
      </c>
      <c r="AM481" s="100">
        <v>238.38</v>
      </c>
      <c r="AN481" s="98">
        <v>4.1100000000000003</v>
      </c>
      <c r="AO481" s="102">
        <v>45.59</v>
      </c>
      <c r="AP481" s="100">
        <v>249.98</v>
      </c>
      <c r="AQ481" s="98">
        <v>4.3099999999999996</v>
      </c>
      <c r="AR481" s="102">
        <v>49.9</v>
      </c>
      <c r="AS481" s="100">
        <v>249.98</v>
      </c>
      <c r="AT481" s="98">
        <v>4.3099999999999996</v>
      </c>
      <c r="AU481" s="102">
        <v>54.21</v>
      </c>
      <c r="AV481" s="100">
        <v>249.98</v>
      </c>
      <c r="AW481" s="98">
        <v>4.3099999999999996</v>
      </c>
      <c r="AX481" s="102">
        <v>58.52</v>
      </c>
      <c r="AY481" s="100">
        <v>238.38</v>
      </c>
      <c r="AZ481" s="98">
        <v>4.1100000000000003</v>
      </c>
      <c r="BA481" s="102">
        <v>62.63</v>
      </c>
      <c r="BB481" s="100">
        <v>226.78</v>
      </c>
      <c r="BC481" s="98">
        <v>3.91</v>
      </c>
      <c r="BD481" s="102">
        <v>66.540000000000006</v>
      </c>
      <c r="BE481" s="100">
        <v>226.78</v>
      </c>
      <c r="BF481" s="98">
        <v>3.91</v>
      </c>
      <c r="BG481" s="102">
        <v>70.45</v>
      </c>
      <c r="BH481" s="100">
        <v>261</v>
      </c>
      <c r="BI481" s="98">
        <v>4.5</v>
      </c>
      <c r="BJ481" s="102">
        <v>74.95</v>
      </c>
      <c r="BK481" s="100">
        <v>238.38</v>
      </c>
      <c r="BL481" s="98">
        <v>4.1100000000000003</v>
      </c>
      <c r="BM481" s="102">
        <v>79.06</v>
      </c>
      <c r="BN481" s="100">
        <v>226.78</v>
      </c>
      <c r="BO481" s="98">
        <v>3.91</v>
      </c>
      <c r="BP481" s="102">
        <v>82.97</v>
      </c>
      <c r="BQ481" s="100">
        <v>261</v>
      </c>
      <c r="BR481" s="98">
        <v>4.5</v>
      </c>
      <c r="BS481" s="102">
        <v>87.47</v>
      </c>
      <c r="BT481" s="100">
        <v>226.78</v>
      </c>
      <c r="BU481" s="98">
        <v>3.91</v>
      </c>
      <c r="BV481" s="102">
        <v>91.38</v>
      </c>
      <c r="BW481" s="100">
        <v>249.98</v>
      </c>
      <c r="BX481" s="98">
        <v>4.3099999999999996</v>
      </c>
      <c r="BY481" s="102">
        <v>95.69</v>
      </c>
      <c r="BZ481" s="100">
        <v>249.98</v>
      </c>
      <c r="CA481" s="98">
        <v>4.3099999999999996</v>
      </c>
      <c r="CB481" s="100">
        <v>100</v>
      </c>
      <c r="CC481" s="99"/>
      <c r="CD481" s="99"/>
      <c r="CE481" s="989">
        <v>100</v>
      </c>
      <c r="CF481" s="409"/>
      <c r="CG481" s="408"/>
      <c r="CH481" s="407"/>
      <c r="CI481" s="406"/>
      <c r="CJ481" s="406"/>
      <c r="CK481" s="406"/>
      <c r="CL481" s="406"/>
      <c r="CM481" s="406"/>
      <c r="CN481" s="406"/>
      <c r="CO481" s="464"/>
      <c r="CP481" s="464"/>
      <c r="CQ481" s="460"/>
      <c r="CR481" s="460"/>
      <c r="CS481" s="460"/>
      <c r="CT481" s="460"/>
      <c r="CU481" s="405"/>
      <c r="CV481" s="405"/>
      <c r="CW481" s="405"/>
      <c r="CX481" s="464"/>
      <c r="CY481" s="464"/>
      <c r="CZ481" s="460"/>
      <c r="DA481" s="405"/>
      <c r="DB481" s="464"/>
      <c r="DC481" s="464"/>
      <c r="DD481" s="464"/>
      <c r="DE481" s="464"/>
      <c r="DF481" s="405"/>
    </row>
    <row r="482" spans="1:110" ht="8.4499999999999993" customHeight="1" x14ac:dyDescent="0.2">
      <c r="A482" s="130" t="s">
        <v>105</v>
      </c>
      <c r="B482" s="88">
        <v>97</v>
      </c>
      <c r="C482" s="87" t="s">
        <v>329</v>
      </c>
      <c r="D482" s="103">
        <v>511</v>
      </c>
      <c r="E482" s="87" t="s">
        <v>1557</v>
      </c>
      <c r="F482" s="87" t="s">
        <v>2024</v>
      </c>
      <c r="G482" s="360">
        <v>1147539.96</v>
      </c>
      <c r="H482" s="91">
        <v>13.04</v>
      </c>
      <c r="I482" s="89">
        <v>51639.3</v>
      </c>
      <c r="J482" s="90">
        <v>4.5</v>
      </c>
      <c r="K482" s="90">
        <v>4.5</v>
      </c>
      <c r="L482" s="89">
        <v>47163.89</v>
      </c>
      <c r="M482" s="90">
        <v>4.1100000000000003</v>
      </c>
      <c r="N482" s="90">
        <v>8.61</v>
      </c>
      <c r="O482" s="89">
        <v>47163.89</v>
      </c>
      <c r="P482" s="90">
        <v>4.1100000000000003</v>
      </c>
      <c r="Q482" s="91">
        <v>12.72</v>
      </c>
      <c r="R482" s="89">
        <v>47163.89</v>
      </c>
      <c r="S482" s="90">
        <v>4.1100000000000003</v>
      </c>
      <c r="T482" s="91">
        <v>16.829999999999998</v>
      </c>
      <c r="U482" s="89">
        <v>44868.81</v>
      </c>
      <c r="V482" s="90">
        <v>3.91</v>
      </c>
      <c r="W482" s="91">
        <v>20.74</v>
      </c>
      <c r="X482" s="89">
        <v>49458.97</v>
      </c>
      <c r="Y482" s="90">
        <v>4.3099999999999996</v>
      </c>
      <c r="Z482" s="91">
        <v>25.05</v>
      </c>
      <c r="AA482" s="89">
        <v>44868.81</v>
      </c>
      <c r="AB482" s="90">
        <v>3.91</v>
      </c>
      <c r="AC482" s="91">
        <v>28.96</v>
      </c>
      <c r="AD482" s="89">
        <v>44868.81</v>
      </c>
      <c r="AE482" s="90">
        <v>3.91</v>
      </c>
      <c r="AF482" s="91">
        <v>32.869999999999997</v>
      </c>
      <c r="AG482" s="89">
        <v>51639.3</v>
      </c>
      <c r="AH482" s="90">
        <v>4.5</v>
      </c>
      <c r="AI482" s="91">
        <v>37.369999999999997</v>
      </c>
      <c r="AJ482" s="89">
        <v>47163.89</v>
      </c>
      <c r="AK482" s="90">
        <v>4.1100000000000003</v>
      </c>
      <c r="AL482" s="91">
        <v>41.48</v>
      </c>
      <c r="AM482" s="89">
        <v>47163.89</v>
      </c>
      <c r="AN482" s="90">
        <v>4.1100000000000003</v>
      </c>
      <c r="AO482" s="91">
        <v>45.59</v>
      </c>
      <c r="AP482" s="89">
        <v>49458.97</v>
      </c>
      <c r="AQ482" s="90">
        <v>4.3099999999999996</v>
      </c>
      <c r="AR482" s="91">
        <v>49.9</v>
      </c>
      <c r="AS482" s="89">
        <v>49458.97</v>
      </c>
      <c r="AT482" s="90">
        <v>4.3099999999999996</v>
      </c>
      <c r="AU482" s="91">
        <v>54.21</v>
      </c>
      <c r="AV482" s="89">
        <v>49458.97</v>
      </c>
      <c r="AW482" s="90">
        <v>4.3099999999999996</v>
      </c>
      <c r="AX482" s="91">
        <v>58.52</v>
      </c>
      <c r="AY482" s="89">
        <v>47163.89</v>
      </c>
      <c r="AZ482" s="90">
        <v>4.1100000000000003</v>
      </c>
      <c r="BA482" s="91">
        <v>62.63</v>
      </c>
      <c r="BB482" s="89">
        <v>44868.81</v>
      </c>
      <c r="BC482" s="90">
        <v>3.91</v>
      </c>
      <c r="BD482" s="91">
        <v>66.540000000000006</v>
      </c>
      <c r="BE482" s="89">
        <v>44868.81</v>
      </c>
      <c r="BF482" s="90">
        <v>3.91</v>
      </c>
      <c r="BG482" s="91">
        <v>70.45</v>
      </c>
      <c r="BH482" s="89">
        <v>51639.3</v>
      </c>
      <c r="BI482" s="90">
        <v>4.5</v>
      </c>
      <c r="BJ482" s="91">
        <v>74.95</v>
      </c>
      <c r="BK482" s="89">
        <v>47163.89</v>
      </c>
      <c r="BL482" s="90">
        <v>4.1100000000000003</v>
      </c>
      <c r="BM482" s="91">
        <v>79.06</v>
      </c>
      <c r="BN482" s="89">
        <v>44868.81</v>
      </c>
      <c r="BO482" s="90">
        <v>3.91</v>
      </c>
      <c r="BP482" s="91">
        <v>82.97</v>
      </c>
      <c r="BQ482" s="89">
        <v>51639.3</v>
      </c>
      <c r="BR482" s="90">
        <v>4.5</v>
      </c>
      <c r="BS482" s="91">
        <v>87.47</v>
      </c>
      <c r="BT482" s="89">
        <v>44868.81</v>
      </c>
      <c r="BU482" s="90">
        <v>3.91</v>
      </c>
      <c r="BV482" s="91">
        <v>91.38</v>
      </c>
      <c r="BW482" s="89">
        <v>49458.97</v>
      </c>
      <c r="BX482" s="90">
        <v>4.3099999999999996</v>
      </c>
      <c r="BY482" s="91">
        <v>95.69</v>
      </c>
      <c r="BZ482" s="89">
        <v>49458.97</v>
      </c>
      <c r="CA482" s="90">
        <v>4.3099999999999996</v>
      </c>
      <c r="CB482" s="93">
        <v>100</v>
      </c>
      <c r="CC482" s="94"/>
      <c r="CD482" s="94"/>
      <c r="CE482" s="988">
        <v>100</v>
      </c>
      <c r="CF482" s="407"/>
      <c r="CG482" s="408"/>
      <c r="CH482" s="407"/>
      <c r="CI482" s="406"/>
      <c r="CJ482" s="406"/>
      <c r="CK482" s="406"/>
      <c r="CL482" s="406"/>
      <c r="CM482" s="406"/>
      <c r="CN482" s="406"/>
      <c r="CO482" s="467"/>
      <c r="CP482" s="467"/>
      <c r="CQ482" s="406"/>
      <c r="CR482" s="406"/>
      <c r="CS482" s="406"/>
      <c r="CT482" s="406"/>
      <c r="CU482" s="407"/>
      <c r="CV482" s="407"/>
      <c r="CW482" s="407"/>
      <c r="CX482" s="467"/>
      <c r="CY482" s="467"/>
      <c r="CZ482" s="406"/>
      <c r="DA482" s="407"/>
      <c r="DB482" s="467"/>
      <c r="DC482" s="467"/>
      <c r="DD482" s="467"/>
      <c r="DE482" s="467"/>
      <c r="DF482" s="407"/>
    </row>
    <row r="483" spans="1:110" ht="8.4499999999999993" customHeight="1" x14ac:dyDescent="0.2">
      <c r="A483" s="130" t="s">
        <v>106</v>
      </c>
      <c r="B483" s="96">
        <v>98</v>
      </c>
      <c r="C483" s="82" t="s">
        <v>2776</v>
      </c>
      <c r="D483" s="104">
        <v>511</v>
      </c>
      <c r="E483" s="82" t="s">
        <v>1557</v>
      </c>
      <c r="F483" s="82" t="s">
        <v>2024</v>
      </c>
      <c r="G483" s="361">
        <v>1147539.96</v>
      </c>
      <c r="H483" s="102">
        <v>13.04</v>
      </c>
      <c r="I483" s="97">
        <v>51639.3</v>
      </c>
      <c r="J483" s="98">
        <v>4.5</v>
      </c>
      <c r="K483" s="98">
        <v>4.5</v>
      </c>
      <c r="L483" s="97">
        <v>47163.89</v>
      </c>
      <c r="M483" s="98">
        <v>4.1100000000000003</v>
      </c>
      <c r="N483" s="98">
        <v>8.61</v>
      </c>
      <c r="O483" s="97">
        <v>47163.89</v>
      </c>
      <c r="P483" s="98">
        <v>4.1100000000000003</v>
      </c>
      <c r="Q483" s="102">
        <v>12.72</v>
      </c>
      <c r="R483" s="97">
        <v>47163.89</v>
      </c>
      <c r="S483" s="98">
        <v>4.1100000000000003</v>
      </c>
      <c r="T483" s="102">
        <v>16.829999999999998</v>
      </c>
      <c r="U483" s="97">
        <v>44868.81</v>
      </c>
      <c r="V483" s="98">
        <v>3.91</v>
      </c>
      <c r="W483" s="102">
        <v>20.74</v>
      </c>
      <c r="X483" s="97">
        <v>49458.97</v>
      </c>
      <c r="Y483" s="98">
        <v>4.3099999999999996</v>
      </c>
      <c r="Z483" s="102">
        <v>25.05</v>
      </c>
      <c r="AA483" s="97">
        <v>44868.81</v>
      </c>
      <c r="AB483" s="98">
        <v>3.91</v>
      </c>
      <c r="AC483" s="102">
        <v>28.96</v>
      </c>
      <c r="AD483" s="97">
        <v>44868.81</v>
      </c>
      <c r="AE483" s="98">
        <v>3.91</v>
      </c>
      <c r="AF483" s="102">
        <v>32.869999999999997</v>
      </c>
      <c r="AG483" s="97">
        <v>51639.3</v>
      </c>
      <c r="AH483" s="98">
        <v>4.5</v>
      </c>
      <c r="AI483" s="102">
        <v>37.369999999999997</v>
      </c>
      <c r="AJ483" s="97">
        <v>47163.89</v>
      </c>
      <c r="AK483" s="98">
        <v>4.1100000000000003</v>
      </c>
      <c r="AL483" s="102">
        <v>41.48</v>
      </c>
      <c r="AM483" s="97">
        <v>47163.89</v>
      </c>
      <c r="AN483" s="98">
        <v>4.1100000000000003</v>
      </c>
      <c r="AO483" s="102">
        <v>45.59</v>
      </c>
      <c r="AP483" s="97">
        <v>49458.97</v>
      </c>
      <c r="AQ483" s="98">
        <v>4.3099999999999996</v>
      </c>
      <c r="AR483" s="102">
        <v>49.9</v>
      </c>
      <c r="AS483" s="97">
        <v>49458.97</v>
      </c>
      <c r="AT483" s="98">
        <v>4.3099999999999996</v>
      </c>
      <c r="AU483" s="102">
        <v>54.21</v>
      </c>
      <c r="AV483" s="97">
        <v>49458.97</v>
      </c>
      <c r="AW483" s="98">
        <v>4.3099999999999996</v>
      </c>
      <c r="AX483" s="102">
        <v>58.52</v>
      </c>
      <c r="AY483" s="97">
        <v>47163.89</v>
      </c>
      <c r="AZ483" s="98">
        <v>4.1100000000000003</v>
      </c>
      <c r="BA483" s="102">
        <v>62.63</v>
      </c>
      <c r="BB483" s="97">
        <v>44868.81</v>
      </c>
      <c r="BC483" s="98">
        <v>3.91</v>
      </c>
      <c r="BD483" s="102">
        <v>66.540000000000006</v>
      </c>
      <c r="BE483" s="97">
        <v>44868.81</v>
      </c>
      <c r="BF483" s="98">
        <v>3.91</v>
      </c>
      <c r="BG483" s="102">
        <v>70.45</v>
      </c>
      <c r="BH483" s="97">
        <v>51639.3</v>
      </c>
      <c r="BI483" s="98">
        <v>4.5</v>
      </c>
      <c r="BJ483" s="102">
        <v>74.95</v>
      </c>
      <c r="BK483" s="97">
        <v>47163.89</v>
      </c>
      <c r="BL483" s="98">
        <v>4.1100000000000003</v>
      </c>
      <c r="BM483" s="102">
        <v>79.06</v>
      </c>
      <c r="BN483" s="97">
        <v>44868.81</v>
      </c>
      <c r="BO483" s="98">
        <v>3.91</v>
      </c>
      <c r="BP483" s="102">
        <v>82.97</v>
      </c>
      <c r="BQ483" s="97">
        <v>51639.3</v>
      </c>
      <c r="BR483" s="98">
        <v>4.5</v>
      </c>
      <c r="BS483" s="102">
        <v>87.47</v>
      </c>
      <c r="BT483" s="97">
        <v>44868.81</v>
      </c>
      <c r="BU483" s="98">
        <v>3.91</v>
      </c>
      <c r="BV483" s="102">
        <v>91.38</v>
      </c>
      <c r="BW483" s="97">
        <v>49458.97</v>
      </c>
      <c r="BX483" s="98">
        <v>4.3099999999999996</v>
      </c>
      <c r="BY483" s="102">
        <v>95.69</v>
      </c>
      <c r="BZ483" s="97">
        <v>49458.97</v>
      </c>
      <c r="CA483" s="98">
        <v>4.3099999999999996</v>
      </c>
      <c r="CB483" s="100">
        <v>100</v>
      </c>
      <c r="CC483" s="99"/>
      <c r="CD483" s="99"/>
      <c r="CE483" s="989">
        <v>100</v>
      </c>
      <c r="CF483" s="411"/>
      <c r="CG483" s="462"/>
      <c r="CH483" s="405"/>
      <c r="CI483" s="460"/>
      <c r="CJ483" s="460"/>
      <c r="CK483" s="460"/>
      <c r="CL483" s="460"/>
      <c r="CM483" s="460"/>
      <c r="CN483" s="460"/>
      <c r="CO483" s="467"/>
      <c r="CP483" s="467"/>
      <c r="CQ483" s="406"/>
      <c r="CR483" s="406"/>
      <c r="CS483" s="406"/>
      <c r="CT483" s="406"/>
      <c r="CU483" s="407"/>
      <c r="CV483" s="407"/>
      <c r="CW483" s="407"/>
      <c r="CX483" s="467"/>
      <c r="CY483" s="467"/>
      <c r="CZ483" s="406"/>
      <c r="DA483" s="407"/>
      <c r="DB483" s="467"/>
      <c r="DC483" s="467"/>
      <c r="DD483" s="467"/>
      <c r="DE483" s="467"/>
      <c r="DF483" s="407"/>
    </row>
    <row r="484" spans="1:110" ht="8.4499999999999993" customHeight="1" x14ac:dyDescent="0.2">
      <c r="B484" s="480"/>
      <c r="C484" s="480" t="s">
        <v>62</v>
      </c>
      <c r="D484" s="480"/>
      <c r="E484" s="480"/>
      <c r="F484" s="480"/>
      <c r="G484" s="107">
        <v>3339583.99</v>
      </c>
      <c r="H484" s="793"/>
      <c r="I484" s="109">
        <v>246151.38</v>
      </c>
      <c r="J484" s="108">
        <v>7.37</v>
      </c>
      <c r="K484" s="793"/>
      <c r="L484" s="109">
        <v>122833.28</v>
      </c>
      <c r="M484" s="108">
        <v>3.68</v>
      </c>
      <c r="N484" s="793"/>
      <c r="O484" s="109">
        <v>127195.04</v>
      </c>
      <c r="P484" s="108">
        <v>3.81</v>
      </c>
      <c r="Q484" s="793"/>
      <c r="R484" s="109">
        <v>127194.86</v>
      </c>
      <c r="S484" s="108">
        <v>3.81</v>
      </c>
      <c r="T484" s="793"/>
      <c r="U484" s="109">
        <v>121011.46</v>
      </c>
      <c r="V484" s="108">
        <v>3.62</v>
      </c>
      <c r="W484" s="793"/>
      <c r="X484" s="109">
        <v>134411.26999999999</v>
      </c>
      <c r="Y484" s="108">
        <v>4.0199999999999996</v>
      </c>
      <c r="Z484" s="793"/>
      <c r="AA484" s="109">
        <v>140498.29999999999</v>
      </c>
      <c r="AB484" s="108">
        <v>4.21</v>
      </c>
      <c r="AC484" s="793"/>
      <c r="AD484" s="109">
        <v>121699.78</v>
      </c>
      <c r="AE484" s="108">
        <v>3.64</v>
      </c>
      <c r="AF484" s="793"/>
      <c r="AG484" s="109">
        <v>155770.73000000001</v>
      </c>
      <c r="AH484" s="108">
        <v>4.66</v>
      </c>
      <c r="AI484" s="793"/>
      <c r="AJ484" s="109">
        <v>128618.68</v>
      </c>
      <c r="AK484" s="108">
        <v>3.85</v>
      </c>
      <c r="AL484" s="793"/>
      <c r="AM484" s="109">
        <v>194590.88</v>
      </c>
      <c r="AN484" s="108">
        <v>5.83</v>
      </c>
      <c r="AO484" s="793"/>
      <c r="AP484" s="109">
        <v>157857.29</v>
      </c>
      <c r="AQ484" s="108">
        <v>4.7300000000000004</v>
      </c>
      <c r="AR484" s="793"/>
      <c r="AS484" s="109">
        <v>130550.62</v>
      </c>
      <c r="AT484" s="108">
        <v>3.91</v>
      </c>
      <c r="AU484" s="793"/>
      <c r="AV484" s="109">
        <v>150350.09</v>
      </c>
      <c r="AW484" s="108">
        <v>4.5</v>
      </c>
      <c r="AX484" s="793"/>
      <c r="AY484" s="109">
        <v>125200.08</v>
      </c>
      <c r="AZ484" s="108">
        <v>3.75</v>
      </c>
      <c r="BA484" s="793"/>
      <c r="BB484" s="109">
        <v>119110.39999999999</v>
      </c>
      <c r="BC484" s="108">
        <v>3.57</v>
      </c>
      <c r="BD484" s="793"/>
      <c r="BE484" s="109">
        <v>118941.77</v>
      </c>
      <c r="BF484" s="108">
        <v>3.56</v>
      </c>
      <c r="BG484" s="793"/>
      <c r="BH484" s="109">
        <v>136568.99</v>
      </c>
      <c r="BI484" s="108">
        <v>4.09</v>
      </c>
      <c r="BJ484" s="793"/>
      <c r="BK484" s="109">
        <v>145358.88</v>
      </c>
      <c r="BL484" s="108">
        <v>4.3499999999999996</v>
      </c>
      <c r="BM484" s="793"/>
      <c r="BN484" s="109">
        <v>118020.63</v>
      </c>
      <c r="BO484" s="108">
        <v>3.53</v>
      </c>
      <c r="BP484" s="793"/>
      <c r="BQ484" s="109">
        <v>138317.66</v>
      </c>
      <c r="BR484" s="108">
        <v>4.1399999999999997</v>
      </c>
      <c r="BS484" s="793"/>
      <c r="BT484" s="109">
        <v>117316.23</v>
      </c>
      <c r="BU484" s="108">
        <v>3.51</v>
      </c>
      <c r="BV484" s="793"/>
      <c r="BW484" s="109">
        <v>130271.9</v>
      </c>
      <c r="BX484" s="108">
        <v>3.9</v>
      </c>
      <c r="BY484" s="793"/>
      <c r="BZ484" s="109">
        <v>131743.76999999999</v>
      </c>
      <c r="CA484" s="108">
        <v>3.94</v>
      </c>
      <c r="CB484" s="793"/>
      <c r="CC484" s="108">
        <v>0</v>
      </c>
      <c r="CD484" s="108">
        <v>0</v>
      </c>
      <c r="CE484" s="987"/>
      <c r="CF484" s="461"/>
      <c r="CG484" s="462"/>
      <c r="CH484" s="460"/>
      <c r="CI484" s="460"/>
      <c r="CJ484" s="460"/>
      <c r="CK484" s="460"/>
      <c r="CL484" s="460"/>
      <c r="CM484" s="460"/>
      <c r="CN484" s="460"/>
      <c r="CO484" s="467"/>
      <c r="CP484" s="467"/>
      <c r="CQ484" s="406"/>
      <c r="CR484" s="406"/>
      <c r="CS484" s="406"/>
      <c r="CT484" s="406"/>
      <c r="CU484" s="406"/>
      <c r="CV484" s="406"/>
      <c r="CW484" s="406"/>
      <c r="CX484" s="470"/>
      <c r="CY484" s="467"/>
      <c r="CZ484" s="407"/>
      <c r="DA484" s="407"/>
      <c r="DB484" s="467"/>
      <c r="DC484" s="467"/>
      <c r="DD484" s="467"/>
      <c r="DE484" s="467"/>
      <c r="DF484" s="407"/>
    </row>
    <row r="485" spans="1:110" ht="8.4499999999999993" customHeight="1" x14ac:dyDescent="0.2">
      <c r="B485" s="480"/>
      <c r="C485" s="480" t="s">
        <v>63</v>
      </c>
      <c r="D485" s="480"/>
      <c r="E485" s="480"/>
      <c r="F485" s="480"/>
      <c r="G485" s="480"/>
      <c r="H485" s="480"/>
      <c r="I485" s="109">
        <v>246151.38</v>
      </c>
      <c r="J485" s="793"/>
      <c r="K485" s="108">
        <v>7.37</v>
      </c>
      <c r="L485" s="109">
        <v>368984.66</v>
      </c>
      <c r="M485" s="793"/>
      <c r="N485" s="110">
        <v>11.05</v>
      </c>
      <c r="O485" s="109">
        <v>496179.7</v>
      </c>
      <c r="P485" s="793"/>
      <c r="Q485" s="110">
        <v>14.86</v>
      </c>
      <c r="R485" s="109">
        <v>623374.56000000006</v>
      </c>
      <c r="S485" s="793"/>
      <c r="T485" s="110">
        <v>18.670000000000002</v>
      </c>
      <c r="U485" s="109">
        <v>744386.02</v>
      </c>
      <c r="V485" s="793"/>
      <c r="W485" s="110">
        <v>22.29</v>
      </c>
      <c r="X485" s="109">
        <v>878797.29</v>
      </c>
      <c r="Y485" s="793"/>
      <c r="Z485" s="110">
        <v>26.31</v>
      </c>
      <c r="AA485" s="107">
        <v>1019295.59</v>
      </c>
      <c r="AB485" s="793"/>
      <c r="AC485" s="110">
        <v>30.52</v>
      </c>
      <c r="AD485" s="107">
        <v>1140995.3700000001</v>
      </c>
      <c r="AE485" s="793"/>
      <c r="AF485" s="110">
        <v>34.17</v>
      </c>
      <c r="AG485" s="107">
        <v>1296766.1000000001</v>
      </c>
      <c r="AH485" s="793"/>
      <c r="AI485" s="110">
        <v>38.83</v>
      </c>
      <c r="AJ485" s="107">
        <v>1425384.78</v>
      </c>
      <c r="AK485" s="793"/>
      <c r="AL485" s="110">
        <v>42.68</v>
      </c>
      <c r="AM485" s="107">
        <v>1619975.66</v>
      </c>
      <c r="AN485" s="793"/>
      <c r="AO485" s="110">
        <v>48.51</v>
      </c>
      <c r="AP485" s="107">
        <v>1777832.95</v>
      </c>
      <c r="AQ485" s="793"/>
      <c r="AR485" s="110">
        <v>53.24</v>
      </c>
      <c r="AS485" s="107">
        <v>1908383.57</v>
      </c>
      <c r="AT485" s="793"/>
      <c r="AU485" s="110">
        <v>57.14</v>
      </c>
      <c r="AV485" s="107">
        <v>2058733.66</v>
      </c>
      <c r="AW485" s="793"/>
      <c r="AX485" s="110">
        <v>61.65</v>
      </c>
      <c r="AY485" s="107">
        <v>2183933.7400000002</v>
      </c>
      <c r="AZ485" s="793"/>
      <c r="BA485" s="110">
        <v>65.400000000000006</v>
      </c>
      <c r="BB485" s="107">
        <v>2303044.15</v>
      </c>
      <c r="BC485" s="793"/>
      <c r="BD485" s="110">
        <v>68.959999999999994</v>
      </c>
      <c r="BE485" s="107">
        <v>2421985.92</v>
      </c>
      <c r="BF485" s="793"/>
      <c r="BG485" s="110">
        <v>72.52</v>
      </c>
      <c r="BH485" s="107">
        <v>2558554.91</v>
      </c>
      <c r="BI485" s="793"/>
      <c r="BJ485" s="110">
        <v>76.61</v>
      </c>
      <c r="BK485" s="107">
        <v>2703913.79</v>
      </c>
      <c r="BL485" s="793"/>
      <c r="BM485" s="110">
        <v>80.97</v>
      </c>
      <c r="BN485" s="107">
        <v>2821934.43</v>
      </c>
      <c r="BO485" s="793"/>
      <c r="BP485" s="110">
        <v>84.5</v>
      </c>
      <c r="BQ485" s="107">
        <v>2960252.09</v>
      </c>
      <c r="BR485" s="793"/>
      <c r="BS485" s="110">
        <v>88.64</v>
      </c>
      <c r="BT485" s="107">
        <v>3077568.32</v>
      </c>
      <c r="BU485" s="793"/>
      <c r="BV485" s="110">
        <v>92.15</v>
      </c>
      <c r="BW485" s="107">
        <v>3207840.22</v>
      </c>
      <c r="BX485" s="793"/>
      <c r="BY485" s="110">
        <v>96.06</v>
      </c>
      <c r="BZ485" s="107">
        <v>3339583.99</v>
      </c>
      <c r="CA485" s="793"/>
      <c r="CB485" s="702">
        <v>100</v>
      </c>
      <c r="CC485" s="107">
        <v>3339583.99</v>
      </c>
      <c r="CD485" s="793"/>
      <c r="CE485" s="993">
        <v>100</v>
      </c>
      <c r="CF485" s="459"/>
      <c r="CG485" s="460"/>
      <c r="CH485" s="405"/>
      <c r="CI485" s="460"/>
      <c r="CJ485" s="460"/>
      <c r="CK485" s="460"/>
      <c r="CL485" s="460"/>
      <c r="CM485" s="460"/>
      <c r="CN485" s="460"/>
      <c r="CO485" s="467"/>
      <c r="CP485" s="467"/>
      <c r="CQ485" s="406"/>
      <c r="CR485" s="406"/>
      <c r="CS485" s="406"/>
      <c r="CT485" s="406"/>
      <c r="CU485" s="406"/>
      <c r="CV485" s="406"/>
      <c r="CW485" s="406"/>
      <c r="CX485" s="468"/>
      <c r="CY485" s="467"/>
      <c r="CZ485" s="407"/>
      <c r="DA485" s="407"/>
      <c r="DB485" s="467"/>
      <c r="DC485" s="467"/>
      <c r="DD485" s="467"/>
      <c r="DE485" s="467"/>
      <c r="DF485" s="407"/>
    </row>
    <row r="486" spans="1:110" ht="8.4499999999999993" customHeight="1" x14ac:dyDescent="0.2">
      <c r="B486" s="480" t="s">
        <v>207</v>
      </c>
      <c r="C486" s="480" t="s">
        <v>67</v>
      </c>
      <c r="D486" s="480"/>
      <c r="E486" s="480"/>
      <c r="F486" s="480"/>
      <c r="G486" s="107">
        <v>8797806.3599999994</v>
      </c>
      <c r="H486" s="793"/>
      <c r="I486" s="109">
        <v>325562.53000000003</v>
      </c>
      <c r="J486" s="108">
        <v>3.7</v>
      </c>
      <c r="K486" s="793"/>
      <c r="L486" s="109">
        <v>168969.89</v>
      </c>
      <c r="M486" s="108">
        <v>1.92</v>
      </c>
      <c r="N486" s="793"/>
      <c r="O486" s="109">
        <v>280346.40000000002</v>
      </c>
      <c r="P486" s="108">
        <v>3.19</v>
      </c>
      <c r="Q486" s="793"/>
      <c r="R486" s="109">
        <v>351214.54</v>
      </c>
      <c r="S486" s="108">
        <v>3.99</v>
      </c>
      <c r="T486" s="793"/>
      <c r="U486" s="109">
        <v>279035.52000000002</v>
      </c>
      <c r="V486" s="108">
        <v>3.17</v>
      </c>
      <c r="W486" s="793"/>
      <c r="X486" s="109">
        <v>367474.2</v>
      </c>
      <c r="Y486" s="108">
        <v>4.18</v>
      </c>
      <c r="Z486" s="793"/>
      <c r="AA486" s="109">
        <v>331043.46999999997</v>
      </c>
      <c r="AB486" s="108">
        <v>3.76</v>
      </c>
      <c r="AC486" s="793"/>
      <c r="AD486" s="109">
        <v>311411.06</v>
      </c>
      <c r="AE486" s="108">
        <v>3.54</v>
      </c>
      <c r="AF486" s="793"/>
      <c r="AG486" s="109">
        <v>289978.33</v>
      </c>
      <c r="AH486" s="108">
        <v>3.3</v>
      </c>
      <c r="AI486" s="793"/>
      <c r="AJ486" s="109">
        <v>349167.99</v>
      </c>
      <c r="AK486" s="108">
        <v>3.97</v>
      </c>
      <c r="AL486" s="793"/>
      <c r="AM486" s="109">
        <v>492750.91</v>
      </c>
      <c r="AN486" s="108">
        <v>5.6</v>
      </c>
      <c r="AO486" s="793"/>
      <c r="AP486" s="109">
        <v>364685.42</v>
      </c>
      <c r="AQ486" s="108">
        <v>4.1500000000000004</v>
      </c>
      <c r="AR486" s="793"/>
      <c r="AS486" s="109">
        <v>244953.4</v>
      </c>
      <c r="AT486" s="108">
        <v>2.78</v>
      </c>
      <c r="AU486" s="793"/>
      <c r="AV486" s="109">
        <v>324744.25</v>
      </c>
      <c r="AW486" s="108">
        <v>3.69</v>
      </c>
      <c r="AX486" s="793"/>
      <c r="AY486" s="109">
        <v>319017.06</v>
      </c>
      <c r="AZ486" s="108">
        <v>3.63</v>
      </c>
      <c r="BA486" s="793"/>
      <c r="BB486" s="109">
        <v>361005.36</v>
      </c>
      <c r="BC486" s="108">
        <v>4.0999999999999996</v>
      </c>
      <c r="BD486" s="793"/>
      <c r="BE486" s="109">
        <v>396413.25</v>
      </c>
      <c r="BF486" s="108">
        <v>4.51</v>
      </c>
      <c r="BG486" s="793"/>
      <c r="BH486" s="109">
        <v>394998.48</v>
      </c>
      <c r="BI486" s="108">
        <v>4.49</v>
      </c>
      <c r="BJ486" s="793"/>
      <c r="BK486" s="109">
        <v>318931.34000000003</v>
      </c>
      <c r="BL486" s="108">
        <v>3.63</v>
      </c>
      <c r="BM486" s="793"/>
      <c r="BN486" s="109">
        <v>447342.67</v>
      </c>
      <c r="BO486" s="108">
        <v>5.08</v>
      </c>
      <c r="BP486" s="793"/>
      <c r="BQ486" s="109">
        <v>552409.29</v>
      </c>
      <c r="BR486" s="108">
        <v>6.28</v>
      </c>
      <c r="BS486" s="793"/>
      <c r="BT486" s="109">
        <v>494451.06</v>
      </c>
      <c r="BU486" s="108">
        <v>5.62</v>
      </c>
      <c r="BV486" s="793"/>
      <c r="BW486" s="109">
        <v>446238.32</v>
      </c>
      <c r="BX486" s="108">
        <v>5.07</v>
      </c>
      <c r="BY486" s="793"/>
      <c r="BZ486" s="109">
        <v>385479.94</v>
      </c>
      <c r="CA486" s="108">
        <v>4.38</v>
      </c>
      <c r="CB486" s="793"/>
      <c r="CC486" s="935">
        <v>15332.34</v>
      </c>
      <c r="CD486" s="108">
        <v>0.17</v>
      </c>
      <c r="CE486" s="987"/>
      <c r="CF486" s="461"/>
      <c r="CG486" s="462"/>
      <c r="CH486" s="460"/>
      <c r="CI486" s="460"/>
      <c r="CJ486" s="460"/>
      <c r="CK486" s="460"/>
      <c r="CL486" s="460"/>
      <c r="CM486" s="460"/>
      <c r="CN486" s="460"/>
      <c r="CO486" s="467"/>
      <c r="CP486" s="467"/>
      <c r="CQ486" s="406"/>
      <c r="CR486" s="406"/>
      <c r="CS486" s="406"/>
      <c r="CT486" s="406"/>
      <c r="CU486" s="406"/>
      <c r="CV486" s="406"/>
      <c r="CW486" s="406"/>
      <c r="CX486" s="475"/>
      <c r="CY486" s="467"/>
      <c r="CZ486" s="407"/>
      <c r="DA486" s="407"/>
      <c r="DB486" s="467"/>
      <c r="DC486" s="467"/>
      <c r="DD486" s="467"/>
      <c r="DE486" s="467"/>
      <c r="DF486" s="407"/>
    </row>
    <row r="487" spans="1:110" ht="8.4499999999999993" customHeight="1" x14ac:dyDescent="0.2">
      <c r="B487" s="480" t="s">
        <v>208</v>
      </c>
      <c r="C487" s="480" t="s">
        <v>68</v>
      </c>
      <c r="D487" s="480"/>
      <c r="E487" s="480"/>
      <c r="F487" s="480"/>
      <c r="G487" s="480"/>
      <c r="H487" s="480"/>
      <c r="I487" s="109">
        <v>325562.53000000003</v>
      </c>
      <c r="J487" s="793"/>
      <c r="K487" s="108">
        <v>3.7</v>
      </c>
      <c r="L487" s="109">
        <v>494532.42</v>
      </c>
      <c r="M487" s="793"/>
      <c r="N487" s="108">
        <v>5.62</v>
      </c>
      <c r="O487" s="109">
        <v>774878.81</v>
      </c>
      <c r="P487" s="793"/>
      <c r="Q487" s="108">
        <v>8.81</v>
      </c>
      <c r="R487" s="107">
        <v>1126093.3600000001</v>
      </c>
      <c r="S487" s="793"/>
      <c r="T487" s="110">
        <v>12.8</v>
      </c>
      <c r="U487" s="107">
        <v>1405128.88</v>
      </c>
      <c r="V487" s="793"/>
      <c r="W487" s="110">
        <v>15.97</v>
      </c>
      <c r="X487" s="107">
        <v>1772603.08</v>
      </c>
      <c r="Y487" s="793"/>
      <c r="Z487" s="110">
        <v>20.149999999999999</v>
      </c>
      <c r="AA487" s="107">
        <v>2103646.5499999998</v>
      </c>
      <c r="AB487" s="793"/>
      <c r="AC487" s="110">
        <v>23.91</v>
      </c>
      <c r="AD487" s="107">
        <v>2415057.62</v>
      </c>
      <c r="AE487" s="793"/>
      <c r="AF487" s="110">
        <v>27.45</v>
      </c>
      <c r="AG487" s="107">
        <v>2705035.95</v>
      </c>
      <c r="AH487" s="793"/>
      <c r="AI487" s="110">
        <v>30.75</v>
      </c>
      <c r="AJ487" s="107">
        <v>3054203.94</v>
      </c>
      <c r="AK487" s="793"/>
      <c r="AL487" s="110">
        <v>34.72</v>
      </c>
      <c r="AM487" s="107">
        <v>3546954.85</v>
      </c>
      <c r="AN487" s="793"/>
      <c r="AO487" s="110">
        <v>40.32</v>
      </c>
      <c r="AP487" s="107">
        <v>3911640.27</v>
      </c>
      <c r="AQ487" s="793"/>
      <c r="AR487" s="110">
        <v>44.46</v>
      </c>
      <c r="AS487" s="107">
        <v>4156593.67</v>
      </c>
      <c r="AT487" s="793"/>
      <c r="AU487" s="110">
        <v>47.25</v>
      </c>
      <c r="AV487" s="107">
        <v>4481337.92</v>
      </c>
      <c r="AW487" s="793"/>
      <c r="AX487" s="110">
        <v>50.94</v>
      </c>
      <c r="AY487" s="107">
        <v>4800354.9800000004</v>
      </c>
      <c r="AZ487" s="793"/>
      <c r="BA487" s="110">
        <v>54.56</v>
      </c>
      <c r="BB487" s="107">
        <v>5161360.34</v>
      </c>
      <c r="BC487" s="793"/>
      <c r="BD487" s="110">
        <v>58.67</v>
      </c>
      <c r="BE487" s="107">
        <v>5557773.5899999999</v>
      </c>
      <c r="BF487" s="793"/>
      <c r="BG487" s="110">
        <v>63.17</v>
      </c>
      <c r="BH487" s="107">
        <v>5952772.0700000003</v>
      </c>
      <c r="BI487" s="793"/>
      <c r="BJ487" s="110">
        <v>67.66</v>
      </c>
      <c r="BK487" s="107">
        <v>6271703.4100000001</v>
      </c>
      <c r="BL487" s="793"/>
      <c r="BM487" s="110">
        <v>71.290000000000006</v>
      </c>
      <c r="BN487" s="107">
        <v>6719046.0800000001</v>
      </c>
      <c r="BO487" s="793"/>
      <c r="BP487" s="110">
        <v>76.37</v>
      </c>
      <c r="BQ487" s="107">
        <v>7271455.3700000001</v>
      </c>
      <c r="BR487" s="793"/>
      <c r="BS487" s="110">
        <v>82.65</v>
      </c>
      <c r="BT487" s="107">
        <v>7765906.4299999997</v>
      </c>
      <c r="BU487" s="793"/>
      <c r="BV487" s="110">
        <v>88.27</v>
      </c>
      <c r="BW487" s="107">
        <v>8212144.75</v>
      </c>
      <c r="BX487" s="793"/>
      <c r="BY487" s="110">
        <v>93.34</v>
      </c>
      <c r="BZ487" s="107">
        <v>8597624.6899999995</v>
      </c>
      <c r="CA487" s="793"/>
      <c r="CB487" s="110">
        <v>97.72</v>
      </c>
      <c r="CC487" s="107">
        <v>8612957.0299999993</v>
      </c>
      <c r="CD487" s="793"/>
      <c r="CE487" s="992">
        <v>97.9</v>
      </c>
      <c r="CF487" s="997"/>
      <c r="CG487" s="460"/>
      <c r="CH487" s="405"/>
      <c r="CI487" s="460"/>
      <c r="CJ487" s="460"/>
      <c r="CK487" s="460"/>
      <c r="CL487" s="460"/>
      <c r="CM487" s="460"/>
      <c r="CN487" s="460"/>
      <c r="CO487" s="467"/>
      <c r="CP487" s="467"/>
      <c r="CQ487" s="406"/>
      <c r="CR487" s="406"/>
      <c r="CS487" s="406"/>
      <c r="CT487" s="406"/>
      <c r="CU487" s="406"/>
      <c r="CV487" s="406"/>
      <c r="CW487" s="406"/>
      <c r="CX487" s="468"/>
      <c r="CY487" s="467"/>
      <c r="CZ487" s="407"/>
      <c r="DA487" s="407"/>
      <c r="DB487" s="467"/>
      <c r="DC487" s="467"/>
      <c r="DD487" s="467"/>
      <c r="DE487" s="467"/>
      <c r="DF487" s="407"/>
    </row>
    <row r="488" spans="1:110" s="117" customFormat="1" ht="11.25" customHeight="1" x14ac:dyDescent="0.2">
      <c r="A488" s="131"/>
      <c r="B488" s="131" t="s">
        <v>202</v>
      </c>
    </row>
    <row r="489" spans="1:110" s="120" customFormat="1" ht="13.5" customHeight="1" x14ac:dyDescent="0.2">
      <c r="A489" s="365"/>
      <c r="I489" s="1005">
        <v>43831</v>
      </c>
      <c r="J489" s="1005"/>
      <c r="K489" s="1005"/>
      <c r="L489" s="1005"/>
      <c r="M489" s="1005"/>
      <c r="N489" s="1005"/>
      <c r="O489" s="1005"/>
      <c r="P489" s="1005"/>
      <c r="Q489" s="374"/>
      <c r="R489" s="374"/>
      <c r="S489" s="374"/>
      <c r="T489" s="374"/>
      <c r="U489" s="374"/>
      <c r="V489" s="374"/>
      <c r="W489" s="374"/>
      <c r="X489" s="374"/>
      <c r="Y489" s="374"/>
      <c r="Z489" s="374"/>
      <c r="AA489" s="374"/>
      <c r="AB489" s="374"/>
      <c r="AC489" s="374"/>
      <c r="AD489" s="374"/>
      <c r="AE489" s="374"/>
      <c r="AF489" s="374"/>
    </row>
    <row r="490" spans="1:110" ht="8.4499999999999993" customHeight="1" x14ac:dyDescent="0.2">
      <c r="B490" s="111"/>
      <c r="C490" s="111"/>
      <c r="D490" s="111"/>
      <c r="E490" s="111"/>
      <c r="F490" s="111"/>
      <c r="G490" s="111"/>
      <c r="H490" s="174"/>
      <c r="I490" s="1004" t="s">
        <v>179</v>
      </c>
      <c r="J490" s="1004"/>
      <c r="K490" s="1004"/>
      <c r="L490" s="1004" t="s">
        <v>56</v>
      </c>
      <c r="M490" s="1004"/>
      <c r="N490" s="1004" t="s">
        <v>181</v>
      </c>
      <c r="O490" s="1004"/>
      <c r="P490" s="174" t="s">
        <v>270</v>
      </c>
      <c r="Q490" s="388"/>
      <c r="R490" s="388"/>
      <c r="S490" s="388"/>
      <c r="T490" s="388"/>
      <c r="U490" s="388"/>
      <c r="V490" s="388"/>
      <c r="W490" s="388"/>
      <c r="X490" s="375"/>
      <c r="Y490" s="388"/>
      <c r="Z490" s="388"/>
      <c r="AA490" s="388"/>
      <c r="AB490" s="388"/>
      <c r="AC490" s="388"/>
      <c r="AD490" s="388"/>
      <c r="AE490" s="388"/>
      <c r="AF490" s="375"/>
    </row>
    <row r="491" spans="1:110" ht="8.4499999999999993" customHeight="1" x14ac:dyDescent="0.2">
      <c r="B491" s="112" t="s">
        <v>52</v>
      </c>
      <c r="C491" s="112" t="s">
        <v>39</v>
      </c>
      <c r="D491" s="112" t="s">
        <v>182</v>
      </c>
      <c r="E491" s="112" t="s">
        <v>183</v>
      </c>
      <c r="F491" s="112" t="s">
        <v>54</v>
      </c>
      <c r="G491" s="112" t="s">
        <v>55</v>
      </c>
      <c r="H491" s="113" t="s">
        <v>184</v>
      </c>
      <c r="I491" s="847" t="s">
        <v>185</v>
      </c>
      <c r="J491" s="847" t="s">
        <v>186</v>
      </c>
      <c r="K491" s="847" t="s">
        <v>187</v>
      </c>
      <c r="L491" s="847" t="s">
        <v>186</v>
      </c>
      <c r="M491" s="847" t="s">
        <v>187</v>
      </c>
      <c r="N491" s="847" t="s">
        <v>186</v>
      </c>
      <c r="O491" s="847" t="s">
        <v>187</v>
      </c>
      <c r="P491" s="113" t="s">
        <v>271</v>
      </c>
      <c r="Q491" s="375"/>
      <c r="R491" s="375"/>
      <c r="S491" s="375"/>
      <c r="T491" s="375"/>
      <c r="U491" s="375"/>
      <c r="V491" s="375"/>
      <c r="W491" s="375"/>
      <c r="X491" s="375"/>
      <c r="Y491" s="375"/>
      <c r="Z491" s="375"/>
      <c r="AA491" s="375"/>
      <c r="AB491" s="375"/>
      <c r="AC491" s="375"/>
      <c r="AD491" s="375"/>
      <c r="AE491" s="375"/>
      <c r="AF491" s="375"/>
    </row>
    <row r="492" spans="1:110" ht="8.4499999999999993" customHeight="1" x14ac:dyDescent="0.2">
      <c r="A492" s="252" t="str">
        <f t="shared" ref="A492:A555" si="0">VLOOKUP($C492&amp;$B492,$A$2008:$G$2532,2,0)</f>
        <v xml:space="preserve">01 </v>
      </c>
      <c r="B492" s="114">
        <v>1</v>
      </c>
      <c r="C492" s="137" t="s">
        <v>330</v>
      </c>
      <c r="D492" s="137"/>
      <c r="E492" s="116">
        <v>446</v>
      </c>
      <c r="F492" s="137" t="s">
        <v>1557</v>
      </c>
      <c r="G492" s="137" t="s">
        <v>2013</v>
      </c>
      <c r="H492" s="138"/>
      <c r="I492" s="138"/>
      <c r="J492" s="138"/>
      <c r="K492" s="138"/>
      <c r="L492" s="138"/>
      <c r="M492" s="138"/>
      <c r="N492" s="138"/>
      <c r="O492" s="138"/>
      <c r="P492" s="138"/>
      <c r="Q492" s="375"/>
      <c r="R492" s="375"/>
      <c r="S492" s="375"/>
      <c r="T492" s="375"/>
      <c r="U492" s="375"/>
      <c r="V492" s="375"/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</row>
    <row r="493" spans="1:110" ht="8.4499999999999993" customHeight="1" x14ac:dyDescent="0.2">
      <c r="A493" s="252" t="str">
        <f t="shared" si="0"/>
        <v xml:space="preserve">01.000.000.001 </v>
      </c>
      <c r="B493" s="706">
        <v>2</v>
      </c>
      <c r="C493" s="957" t="s">
        <v>2363</v>
      </c>
      <c r="D493" s="957" t="s">
        <v>7</v>
      </c>
      <c r="E493" s="219">
        <v>43</v>
      </c>
      <c r="F493" s="957" t="s">
        <v>2364</v>
      </c>
      <c r="G493" s="957" t="s">
        <v>2365</v>
      </c>
      <c r="H493" s="148">
        <v>0.66</v>
      </c>
      <c r="I493" s="139">
        <v>1</v>
      </c>
      <c r="J493" s="139">
        <v>0.27910000000000001</v>
      </c>
      <c r="K493" s="139">
        <v>0.27910000000000001</v>
      </c>
      <c r="L493" s="148">
        <v>27.91</v>
      </c>
      <c r="M493" s="148">
        <v>27.91</v>
      </c>
      <c r="N493" s="148">
        <v>0.18</v>
      </c>
      <c r="O493" s="148">
        <v>0.18</v>
      </c>
      <c r="P493" s="118"/>
      <c r="Q493" s="375"/>
      <c r="R493" s="375"/>
      <c r="S493" s="375"/>
      <c r="T493" s="375"/>
      <c r="U493" s="375"/>
      <c r="V493" s="375"/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</row>
    <row r="494" spans="1:110" ht="8.4499999999999993" customHeight="1" x14ac:dyDescent="0.2">
      <c r="A494" s="252" t="str">
        <f t="shared" si="0"/>
        <v xml:space="preserve">01.000.000.002 </v>
      </c>
      <c r="B494" s="706">
        <v>3</v>
      </c>
      <c r="C494" s="957" t="s">
        <v>2366</v>
      </c>
      <c r="D494" s="957" t="s">
        <v>7</v>
      </c>
      <c r="E494" s="219">
        <v>19</v>
      </c>
      <c r="F494" s="957" t="s">
        <v>2367</v>
      </c>
      <c r="G494" s="957" t="s">
        <v>2368</v>
      </c>
      <c r="H494" s="148">
        <v>0.12</v>
      </c>
      <c r="I494" s="139">
        <v>1</v>
      </c>
      <c r="J494" s="139">
        <v>1</v>
      </c>
      <c r="K494" s="139">
        <v>1</v>
      </c>
      <c r="L494" s="147">
        <v>100</v>
      </c>
      <c r="M494" s="145">
        <v>100</v>
      </c>
      <c r="N494" s="148">
        <v>0.11</v>
      </c>
      <c r="O494" s="148">
        <v>0.11</v>
      </c>
      <c r="P494" s="936"/>
      <c r="Q494" s="376"/>
      <c r="R494" s="377"/>
      <c r="S494" s="377"/>
      <c r="T494" s="378"/>
      <c r="U494" s="379"/>
      <c r="V494" s="379"/>
      <c r="W494" s="379"/>
      <c r="X494" s="380"/>
      <c r="Y494" s="376"/>
      <c r="Z494" s="376"/>
      <c r="AA494" s="377"/>
      <c r="AB494" s="378"/>
      <c r="AC494" s="378"/>
      <c r="AD494" s="379"/>
      <c r="AE494" s="379"/>
      <c r="AF494" s="380"/>
    </row>
    <row r="495" spans="1:110" ht="8.4499999999999993" customHeight="1" x14ac:dyDescent="0.2">
      <c r="A495" s="252" t="str">
        <f t="shared" si="0"/>
        <v xml:space="preserve">01.000.000.003 </v>
      </c>
      <c r="B495" s="706">
        <v>4</v>
      </c>
      <c r="C495" s="957" t="s">
        <v>2369</v>
      </c>
      <c r="D495" s="957" t="s">
        <v>7</v>
      </c>
      <c r="E495" s="219">
        <v>19</v>
      </c>
      <c r="F495" s="957" t="s">
        <v>2367</v>
      </c>
      <c r="G495" s="957" t="s">
        <v>2368</v>
      </c>
      <c r="H495" s="148">
        <v>0.06</v>
      </c>
      <c r="I495" s="139">
        <v>1</v>
      </c>
      <c r="J495" s="139">
        <v>1</v>
      </c>
      <c r="K495" s="139">
        <v>1</v>
      </c>
      <c r="L495" s="147">
        <v>100</v>
      </c>
      <c r="M495" s="145">
        <v>100</v>
      </c>
      <c r="N495" s="148">
        <v>0.06</v>
      </c>
      <c r="O495" s="148">
        <v>0.06</v>
      </c>
      <c r="P495" s="936"/>
      <c r="Q495" s="376"/>
      <c r="R495" s="377"/>
      <c r="S495" s="381"/>
      <c r="T495" s="378"/>
      <c r="U495" s="379"/>
      <c r="V495" s="379"/>
      <c r="W495" s="379"/>
      <c r="X495" s="380"/>
      <c r="Y495" s="376"/>
      <c r="Z495" s="377"/>
      <c r="AA495" s="377"/>
      <c r="AB495" s="378"/>
      <c r="AC495" s="378"/>
      <c r="AD495" s="379"/>
      <c r="AE495" s="379"/>
      <c r="AF495" s="380"/>
    </row>
    <row r="496" spans="1:110" ht="8.4499999999999993" customHeight="1" x14ac:dyDescent="0.2">
      <c r="A496" s="252" t="str">
        <f t="shared" si="0"/>
        <v xml:space="preserve">01.000.000.004 </v>
      </c>
      <c r="B496" s="706">
        <v>5</v>
      </c>
      <c r="C496" s="957" t="s">
        <v>2370</v>
      </c>
      <c r="D496" s="957" t="s">
        <v>7</v>
      </c>
      <c r="E496" s="219">
        <v>22</v>
      </c>
      <c r="F496" s="957" t="s">
        <v>1951</v>
      </c>
      <c r="G496" s="957" t="s">
        <v>1954</v>
      </c>
      <c r="H496" s="148">
        <v>0.03</v>
      </c>
      <c r="I496" s="139">
        <v>1</v>
      </c>
      <c r="J496" s="139">
        <v>0</v>
      </c>
      <c r="K496" s="139">
        <v>0</v>
      </c>
      <c r="L496" s="148">
        <v>0</v>
      </c>
      <c r="M496" s="148">
        <v>0</v>
      </c>
      <c r="N496" s="148">
        <v>0</v>
      </c>
      <c r="O496" s="148">
        <v>0</v>
      </c>
      <c r="P496" s="118"/>
      <c r="Q496" s="376"/>
      <c r="R496" s="377"/>
      <c r="S496" s="381"/>
      <c r="T496" s="378"/>
      <c r="U496" s="379"/>
      <c r="V496" s="379"/>
      <c r="W496" s="379"/>
      <c r="X496" s="380"/>
      <c r="Y496" s="376"/>
      <c r="Z496" s="377"/>
      <c r="AA496" s="377"/>
      <c r="AB496" s="378"/>
      <c r="AC496" s="378"/>
      <c r="AD496" s="379"/>
      <c r="AE496" s="379"/>
      <c r="AF496" s="380"/>
    </row>
    <row r="497" spans="1:32" ht="8.4499999999999993" customHeight="1" x14ac:dyDescent="0.2">
      <c r="A497" s="252" t="str">
        <f t="shared" si="0"/>
        <v xml:space="preserve">01.000.000.005 </v>
      </c>
      <c r="B497" s="706">
        <v>6</v>
      </c>
      <c r="C497" s="957" t="s">
        <v>2371</v>
      </c>
      <c r="D497" s="957" t="s">
        <v>7</v>
      </c>
      <c r="E497" s="219">
        <v>22</v>
      </c>
      <c r="F497" s="957" t="s">
        <v>2031</v>
      </c>
      <c r="G497" s="957" t="s">
        <v>2027</v>
      </c>
      <c r="H497" s="148">
        <v>0.59</v>
      </c>
      <c r="I497" s="139">
        <v>1</v>
      </c>
      <c r="J497" s="139">
        <v>0</v>
      </c>
      <c r="K497" s="139">
        <v>0</v>
      </c>
      <c r="L497" s="148">
        <v>0</v>
      </c>
      <c r="M497" s="148">
        <v>0</v>
      </c>
      <c r="N497" s="148">
        <v>0</v>
      </c>
      <c r="O497" s="148">
        <v>0</v>
      </c>
      <c r="P497" s="118"/>
      <c r="Q497" s="376"/>
      <c r="R497" s="377"/>
      <c r="S497" s="381"/>
      <c r="T497" s="378"/>
      <c r="U497" s="379"/>
      <c r="V497" s="379"/>
      <c r="W497" s="379"/>
      <c r="X497" s="380"/>
      <c r="Y497" s="376"/>
      <c r="Z497" s="377"/>
      <c r="AA497" s="377"/>
      <c r="AB497" s="378"/>
      <c r="AC497" s="378"/>
      <c r="AD497" s="379"/>
      <c r="AE497" s="379"/>
      <c r="AF497" s="380"/>
    </row>
    <row r="498" spans="1:32" ht="8.4499999999999993" customHeight="1" x14ac:dyDescent="0.2">
      <c r="A498" s="252" t="str">
        <f t="shared" si="0"/>
        <v xml:space="preserve">01.000.000.006 </v>
      </c>
      <c r="B498" s="706">
        <v>7</v>
      </c>
      <c r="C498" s="957" t="s">
        <v>2372</v>
      </c>
      <c r="D498" s="957" t="s">
        <v>7</v>
      </c>
      <c r="E498" s="219">
        <v>74</v>
      </c>
      <c r="F498" s="957" t="s">
        <v>2364</v>
      </c>
      <c r="G498" s="957" t="s">
        <v>1952</v>
      </c>
      <c r="H498" s="148">
        <v>0.26</v>
      </c>
      <c r="I498" s="139">
        <v>1</v>
      </c>
      <c r="J498" s="139">
        <v>0.16220000000000001</v>
      </c>
      <c r="K498" s="139">
        <v>0.16220000000000001</v>
      </c>
      <c r="L498" s="148">
        <v>16.22</v>
      </c>
      <c r="M498" s="148">
        <v>16.22</v>
      </c>
      <c r="N498" s="148">
        <v>0.04</v>
      </c>
      <c r="O498" s="148">
        <v>0.04</v>
      </c>
      <c r="P498" s="118"/>
      <c r="Q498" s="377"/>
      <c r="R498" s="377"/>
      <c r="S498" s="381"/>
      <c r="T498" s="378"/>
      <c r="U498" s="379"/>
      <c r="V498" s="379"/>
      <c r="W498" s="379"/>
      <c r="X498" s="380"/>
      <c r="Y498" s="377"/>
      <c r="Z498" s="377"/>
      <c r="AA498" s="377"/>
      <c r="AB498" s="378"/>
      <c r="AC498" s="378"/>
      <c r="AD498" s="379"/>
      <c r="AE498" s="379"/>
      <c r="AF498" s="380"/>
    </row>
    <row r="499" spans="1:32" ht="8.4499999999999993" customHeight="1" x14ac:dyDescent="0.2">
      <c r="A499" s="252" t="str">
        <f t="shared" si="0"/>
        <v xml:space="preserve">01.000.000.007 </v>
      </c>
      <c r="B499" s="706">
        <v>8</v>
      </c>
      <c r="C499" s="957" t="s">
        <v>2373</v>
      </c>
      <c r="D499" s="957" t="s">
        <v>7</v>
      </c>
      <c r="E499" s="219">
        <v>20</v>
      </c>
      <c r="F499" s="957" t="s">
        <v>2180</v>
      </c>
      <c r="G499" s="957" t="s">
        <v>2374</v>
      </c>
      <c r="H499" s="148">
        <v>0.04</v>
      </c>
      <c r="I499" s="139">
        <v>1</v>
      </c>
      <c r="J499" s="139">
        <v>0</v>
      </c>
      <c r="K499" s="139">
        <v>0</v>
      </c>
      <c r="L499" s="148">
        <v>0</v>
      </c>
      <c r="M499" s="148">
        <v>0</v>
      </c>
      <c r="N499" s="148">
        <v>0</v>
      </c>
      <c r="O499" s="148">
        <v>0</v>
      </c>
      <c r="P499" s="118"/>
      <c r="Q499" s="376"/>
      <c r="R499" s="377"/>
      <c r="S499" s="377"/>
      <c r="T499" s="378"/>
      <c r="U499" s="379"/>
      <c r="V499" s="379"/>
      <c r="W499" s="379"/>
      <c r="X499" s="380"/>
      <c r="Y499" s="376"/>
      <c r="Z499" s="376"/>
      <c r="AA499" s="377"/>
      <c r="AB499" s="378"/>
      <c r="AC499" s="378"/>
      <c r="AD499" s="379"/>
      <c r="AE499" s="379"/>
      <c r="AF499" s="380"/>
    </row>
    <row r="500" spans="1:32" ht="8.4499999999999993" customHeight="1" x14ac:dyDescent="0.2">
      <c r="A500" s="252" t="str">
        <f t="shared" si="0"/>
        <v xml:space="preserve">01.000.000.008 </v>
      </c>
      <c r="B500" s="706">
        <v>9</v>
      </c>
      <c r="C500" s="957" t="s">
        <v>2375</v>
      </c>
      <c r="D500" s="957" t="s">
        <v>7</v>
      </c>
      <c r="E500" s="219">
        <v>22</v>
      </c>
      <c r="F500" s="957" t="s">
        <v>1557</v>
      </c>
      <c r="G500" s="957" t="s">
        <v>2376</v>
      </c>
      <c r="H500" s="148">
        <v>0.04</v>
      </c>
      <c r="I500" s="139">
        <v>1</v>
      </c>
      <c r="J500" s="139">
        <v>1</v>
      </c>
      <c r="K500" s="139">
        <v>1</v>
      </c>
      <c r="L500" s="145">
        <v>100</v>
      </c>
      <c r="M500" s="145">
        <v>100</v>
      </c>
      <c r="N500" s="148">
        <v>0.04</v>
      </c>
      <c r="O500" s="148">
        <v>0.04</v>
      </c>
      <c r="P500" s="118"/>
      <c r="Q500" s="375"/>
      <c r="R500" s="375"/>
      <c r="S500" s="375"/>
      <c r="T500" s="375"/>
      <c r="U500" s="375"/>
      <c r="V500" s="375"/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</row>
    <row r="501" spans="1:32" ht="8.4499999999999993" customHeight="1" x14ac:dyDescent="0.2">
      <c r="A501" s="252" t="str">
        <f t="shared" si="0"/>
        <v xml:space="preserve">01.000.000.009 </v>
      </c>
      <c r="B501" s="219">
        <v>10</v>
      </c>
      <c r="C501" s="957" t="s">
        <v>2377</v>
      </c>
      <c r="D501" s="957" t="s">
        <v>7</v>
      </c>
      <c r="E501" s="219">
        <v>22</v>
      </c>
      <c r="F501" s="957" t="s">
        <v>2173</v>
      </c>
      <c r="G501" s="957" t="s">
        <v>2167</v>
      </c>
      <c r="H501" s="148">
        <v>0.03</v>
      </c>
      <c r="I501" s="139">
        <v>1</v>
      </c>
      <c r="J501" s="139">
        <v>0</v>
      </c>
      <c r="K501" s="139">
        <v>0</v>
      </c>
      <c r="L501" s="148">
        <v>0</v>
      </c>
      <c r="M501" s="148">
        <v>0</v>
      </c>
      <c r="N501" s="148">
        <v>0</v>
      </c>
      <c r="O501" s="148">
        <v>0</v>
      </c>
      <c r="P501" s="118"/>
      <c r="Q501" s="381"/>
      <c r="R501" s="381"/>
      <c r="S501" s="381"/>
      <c r="T501" s="378"/>
      <c r="U501" s="379"/>
      <c r="V501" s="379"/>
      <c r="W501" s="379"/>
      <c r="X501" s="380"/>
      <c r="Y501" s="381"/>
      <c r="Z501" s="381"/>
      <c r="AA501" s="381"/>
      <c r="AB501" s="382"/>
      <c r="AC501" s="379"/>
      <c r="AD501" s="379"/>
      <c r="AE501" s="379"/>
      <c r="AF501" s="380"/>
    </row>
    <row r="502" spans="1:32" ht="8.4499999999999993" customHeight="1" x14ac:dyDescent="0.2">
      <c r="A502" s="252" t="str">
        <f t="shared" si="0"/>
        <v xml:space="preserve">01.000.000.010 </v>
      </c>
      <c r="B502" s="219">
        <v>11</v>
      </c>
      <c r="C502" s="957" t="s">
        <v>2378</v>
      </c>
      <c r="D502" s="957" t="s">
        <v>7</v>
      </c>
      <c r="E502" s="219">
        <v>20</v>
      </c>
      <c r="F502" s="957" t="s">
        <v>2032</v>
      </c>
      <c r="G502" s="957" t="s">
        <v>2030</v>
      </c>
      <c r="H502" s="148">
        <v>0.18</v>
      </c>
      <c r="I502" s="139">
        <v>1</v>
      </c>
      <c r="J502" s="139">
        <v>0</v>
      </c>
      <c r="K502" s="139">
        <v>0</v>
      </c>
      <c r="L502" s="148">
        <v>0</v>
      </c>
      <c r="M502" s="148">
        <v>0</v>
      </c>
      <c r="N502" s="148">
        <v>0</v>
      </c>
      <c r="O502" s="148">
        <v>0</v>
      </c>
      <c r="P502" s="118"/>
      <c r="Q502" s="381"/>
      <c r="R502" s="381"/>
      <c r="S502" s="381"/>
      <c r="T502" s="378"/>
      <c r="U502" s="378"/>
      <c r="V502" s="379"/>
      <c r="W502" s="379"/>
      <c r="X502" s="383"/>
      <c r="Y502" s="381"/>
      <c r="Z502" s="381"/>
      <c r="AA502" s="381"/>
      <c r="AB502" s="378"/>
      <c r="AC502" s="378"/>
      <c r="AD502" s="379"/>
      <c r="AE502" s="379"/>
      <c r="AF502" s="384"/>
    </row>
    <row r="503" spans="1:32" ht="8.4499999999999993" customHeight="1" x14ac:dyDescent="0.2">
      <c r="A503" s="252" t="str">
        <f t="shared" si="0"/>
        <v xml:space="preserve">01.000.000.011 </v>
      </c>
      <c r="B503" s="219">
        <v>12</v>
      </c>
      <c r="C503" s="957" t="s">
        <v>2379</v>
      </c>
      <c r="D503" s="957" t="s">
        <v>7</v>
      </c>
      <c r="E503" s="219">
        <v>22</v>
      </c>
      <c r="F503" s="957" t="s">
        <v>2012</v>
      </c>
      <c r="G503" s="957" t="s">
        <v>2013</v>
      </c>
      <c r="H503" s="148">
        <v>0.02</v>
      </c>
      <c r="I503" s="139">
        <v>1</v>
      </c>
      <c r="J503" s="139">
        <v>0</v>
      </c>
      <c r="K503" s="139">
        <v>0</v>
      </c>
      <c r="L503" s="148">
        <v>0</v>
      </c>
      <c r="M503" s="148">
        <v>0</v>
      </c>
      <c r="N503" s="148">
        <v>0</v>
      </c>
      <c r="O503" s="148">
        <v>0</v>
      </c>
      <c r="P503" s="118"/>
      <c r="Q503" s="375"/>
      <c r="R503" s="375"/>
      <c r="S503" s="375"/>
      <c r="T503" s="375"/>
      <c r="U503" s="375"/>
      <c r="V503" s="375"/>
      <c r="W503" s="375"/>
      <c r="X503" s="375"/>
      <c r="Y503" s="375"/>
      <c r="Z503" s="375"/>
      <c r="AA503" s="375"/>
      <c r="AB503" s="375"/>
      <c r="AC503" s="375"/>
      <c r="AD503" s="375"/>
      <c r="AE503" s="375"/>
      <c r="AF503" s="375"/>
    </row>
    <row r="504" spans="1:32" ht="8.4499999999999993" customHeight="1" x14ac:dyDescent="0.2">
      <c r="A504" s="252" t="str">
        <f t="shared" si="0"/>
        <v xml:space="preserve">02 </v>
      </c>
      <c r="B504" s="115">
        <v>13</v>
      </c>
      <c r="C504" s="137" t="s">
        <v>331</v>
      </c>
      <c r="D504" s="137"/>
      <c r="E504" s="116">
        <v>532</v>
      </c>
      <c r="F504" s="137" t="s">
        <v>1557</v>
      </c>
      <c r="G504" s="137" t="s">
        <v>2380</v>
      </c>
      <c r="H504" s="138"/>
      <c r="I504" s="138"/>
      <c r="J504" s="138"/>
      <c r="K504" s="138"/>
      <c r="L504" s="138"/>
      <c r="M504" s="138"/>
      <c r="N504" s="138"/>
      <c r="O504" s="138"/>
      <c r="P504" s="138"/>
      <c r="Q504" s="375"/>
      <c r="R504" s="375"/>
      <c r="S504" s="375"/>
      <c r="T504" s="375"/>
      <c r="U504" s="375"/>
      <c r="V504" s="375"/>
      <c r="W504" s="375"/>
      <c r="X504" s="375"/>
      <c r="Y504" s="375"/>
      <c r="Z504" s="375"/>
      <c r="AA504" s="375"/>
      <c r="AB504" s="375"/>
      <c r="AC504" s="375"/>
      <c r="AD504" s="375"/>
      <c r="AE504" s="375"/>
      <c r="AF504" s="375"/>
    </row>
    <row r="505" spans="1:32" ht="8.4499999999999993" customHeight="1" x14ac:dyDescent="0.2">
      <c r="A505" s="252" t="str">
        <f t="shared" si="0"/>
        <v xml:space="preserve">02.000.000.001 </v>
      </c>
      <c r="B505" s="219">
        <v>14</v>
      </c>
      <c r="C505" s="957" t="s">
        <v>2381</v>
      </c>
      <c r="D505" s="957" t="s">
        <v>7</v>
      </c>
      <c r="E505" s="219">
        <v>22</v>
      </c>
      <c r="F505" s="957" t="s">
        <v>1557</v>
      </c>
      <c r="G505" s="957" t="s">
        <v>2376</v>
      </c>
      <c r="H505" s="148">
        <v>0.14000000000000001</v>
      </c>
      <c r="I505" s="139">
        <v>1</v>
      </c>
      <c r="J505" s="139">
        <v>1</v>
      </c>
      <c r="K505" s="139">
        <v>1</v>
      </c>
      <c r="L505" s="145">
        <v>100</v>
      </c>
      <c r="M505" s="145">
        <v>100</v>
      </c>
      <c r="N505" s="148">
        <v>0.14000000000000001</v>
      </c>
      <c r="O505" s="148">
        <v>0.14000000000000001</v>
      </c>
      <c r="P505" s="118"/>
      <c r="Q505" s="385"/>
      <c r="R505" s="381"/>
      <c r="S505" s="381"/>
      <c r="T505" s="379"/>
      <c r="U505" s="379"/>
      <c r="V505" s="379"/>
      <c r="W505" s="379"/>
      <c r="X505" s="380"/>
      <c r="Y505" s="385"/>
      <c r="Z505" s="377"/>
      <c r="AA505" s="381"/>
      <c r="AB505" s="379"/>
      <c r="AC505" s="379"/>
      <c r="AD505" s="379"/>
      <c r="AE505" s="379"/>
      <c r="AF505" s="380"/>
    </row>
    <row r="506" spans="1:32" ht="8.4499999999999993" customHeight="1" x14ac:dyDescent="0.2">
      <c r="A506" s="252" t="str">
        <f t="shared" si="0"/>
        <v xml:space="preserve">02.000.000.002 </v>
      </c>
      <c r="B506" s="219">
        <v>15</v>
      </c>
      <c r="C506" s="957" t="s">
        <v>2382</v>
      </c>
      <c r="D506" s="957" t="s">
        <v>7</v>
      </c>
      <c r="E506" s="219">
        <v>22</v>
      </c>
      <c r="F506" s="957" t="s">
        <v>1557</v>
      </c>
      <c r="G506" s="957" t="s">
        <v>2376</v>
      </c>
      <c r="H506" s="148">
        <v>0.02</v>
      </c>
      <c r="I506" s="139">
        <v>1</v>
      </c>
      <c r="J506" s="139">
        <v>1</v>
      </c>
      <c r="K506" s="139">
        <v>1</v>
      </c>
      <c r="L506" s="145">
        <v>100</v>
      </c>
      <c r="M506" s="145">
        <v>100</v>
      </c>
      <c r="N506" s="148">
        <v>0.02</v>
      </c>
      <c r="O506" s="148">
        <v>0.02</v>
      </c>
      <c r="P506" s="118"/>
      <c r="Q506" s="376"/>
      <c r="R506" s="381"/>
      <c r="S506" s="381"/>
      <c r="T506" s="379"/>
      <c r="U506" s="379"/>
      <c r="V506" s="379"/>
      <c r="W506" s="379"/>
      <c r="X506" s="380"/>
      <c r="Y506" s="376"/>
      <c r="Z506" s="381"/>
      <c r="AA506" s="381"/>
      <c r="AB506" s="379"/>
      <c r="AC506" s="379"/>
      <c r="AD506" s="379"/>
      <c r="AE506" s="379"/>
      <c r="AF506" s="380"/>
    </row>
    <row r="507" spans="1:32" ht="8.4499999999999993" customHeight="1" x14ac:dyDescent="0.2">
      <c r="A507" s="252" t="str">
        <f t="shared" si="0"/>
        <v xml:space="preserve">02.000.000.003 </v>
      </c>
      <c r="B507" s="219">
        <v>16</v>
      </c>
      <c r="C507" s="957" t="s">
        <v>2383</v>
      </c>
      <c r="D507" s="957" t="s">
        <v>7</v>
      </c>
      <c r="E507" s="219">
        <v>22</v>
      </c>
      <c r="F507" s="957" t="s">
        <v>1557</v>
      </c>
      <c r="G507" s="957" t="s">
        <v>2376</v>
      </c>
      <c r="H507" s="148">
        <v>0.04</v>
      </c>
      <c r="I507" s="139">
        <v>1</v>
      </c>
      <c r="J507" s="139">
        <v>1</v>
      </c>
      <c r="K507" s="139">
        <v>1</v>
      </c>
      <c r="L507" s="145">
        <v>100</v>
      </c>
      <c r="M507" s="145">
        <v>100</v>
      </c>
      <c r="N507" s="148">
        <v>0.04</v>
      </c>
      <c r="O507" s="148">
        <v>0.04</v>
      </c>
      <c r="P507" s="118"/>
      <c r="Q507" s="377"/>
      <c r="R507" s="381"/>
      <c r="S507" s="381"/>
      <c r="T507" s="379"/>
      <c r="U507" s="379"/>
      <c r="V507" s="379"/>
      <c r="W507" s="379"/>
      <c r="X507" s="380"/>
      <c r="Y507" s="377"/>
      <c r="Z507" s="381"/>
      <c r="AA507" s="381"/>
      <c r="AB507" s="379"/>
      <c r="AC507" s="379"/>
      <c r="AD507" s="379"/>
      <c r="AE507" s="379"/>
      <c r="AF507" s="380"/>
    </row>
    <row r="508" spans="1:32" ht="8.4499999999999993" customHeight="1" x14ac:dyDescent="0.2">
      <c r="A508" s="252" t="str">
        <f t="shared" si="0"/>
        <v xml:space="preserve">02.000.000.004 </v>
      </c>
      <c r="B508" s="219">
        <v>17</v>
      </c>
      <c r="C508" s="957" t="s">
        <v>2384</v>
      </c>
      <c r="D508" s="957" t="s">
        <v>7</v>
      </c>
      <c r="E508" s="707">
        <v>137</v>
      </c>
      <c r="F508" s="957" t="s">
        <v>1948</v>
      </c>
      <c r="G508" s="957" t="s">
        <v>1959</v>
      </c>
      <c r="H508" s="148">
        <v>0.14000000000000001</v>
      </c>
      <c r="I508" s="139">
        <v>1</v>
      </c>
      <c r="J508" s="139">
        <v>0.18540000000000001</v>
      </c>
      <c r="K508" s="139">
        <v>0.18329999999999999</v>
      </c>
      <c r="L508" s="148">
        <v>18.54</v>
      </c>
      <c r="M508" s="148">
        <v>18.329999999999998</v>
      </c>
      <c r="N508" s="148">
        <v>0.03</v>
      </c>
      <c r="O508" s="148">
        <v>0.03</v>
      </c>
      <c r="P508" s="118" t="s">
        <v>2790</v>
      </c>
      <c r="Q508" s="385"/>
      <c r="R508" s="381"/>
      <c r="S508" s="381"/>
      <c r="T508" s="379"/>
      <c r="U508" s="379"/>
      <c r="V508" s="379"/>
      <c r="W508" s="379"/>
      <c r="X508" s="380"/>
      <c r="Y508" s="385"/>
      <c r="Z508" s="376"/>
      <c r="AA508" s="381"/>
      <c r="AB508" s="378"/>
      <c r="AC508" s="379"/>
      <c r="AD508" s="379"/>
      <c r="AE508" s="379"/>
      <c r="AF508" s="380"/>
    </row>
    <row r="509" spans="1:32" ht="8.4499999999999993" customHeight="1" x14ac:dyDescent="0.2">
      <c r="A509" s="252" t="str">
        <f t="shared" si="0"/>
        <v xml:space="preserve">02.000.000.005 </v>
      </c>
      <c r="B509" s="219">
        <v>18</v>
      </c>
      <c r="C509" s="957" t="s">
        <v>2385</v>
      </c>
      <c r="D509" s="957" t="s">
        <v>7</v>
      </c>
      <c r="E509" s="219">
        <v>22</v>
      </c>
      <c r="F509" s="957" t="s">
        <v>1557</v>
      </c>
      <c r="G509" s="957" t="s">
        <v>2376</v>
      </c>
      <c r="H509" s="148">
        <v>0.05</v>
      </c>
      <c r="I509" s="139">
        <v>1</v>
      </c>
      <c r="J509" s="139">
        <v>1</v>
      </c>
      <c r="K509" s="139">
        <v>1</v>
      </c>
      <c r="L509" s="145">
        <v>100</v>
      </c>
      <c r="M509" s="145">
        <v>100</v>
      </c>
      <c r="N509" s="148">
        <v>0.05</v>
      </c>
      <c r="O509" s="148">
        <v>0.05</v>
      </c>
      <c r="P509" s="118"/>
      <c r="Q509" s="376"/>
      <c r="R509" s="381"/>
      <c r="S509" s="381"/>
      <c r="T509" s="379"/>
      <c r="U509" s="379"/>
      <c r="V509" s="379"/>
      <c r="W509" s="379"/>
      <c r="X509" s="380"/>
      <c r="Y509" s="376"/>
      <c r="Z509" s="377"/>
      <c r="AA509" s="381"/>
      <c r="AB509" s="378"/>
      <c r="AC509" s="379"/>
      <c r="AD509" s="379"/>
      <c r="AE509" s="379"/>
      <c r="AF509" s="380"/>
    </row>
    <row r="510" spans="1:32" ht="8.4499999999999993" customHeight="1" x14ac:dyDescent="0.2">
      <c r="A510" s="252" t="str">
        <f t="shared" si="0"/>
        <v xml:space="preserve">02.000.000.006 </v>
      </c>
      <c r="B510" s="219">
        <v>19</v>
      </c>
      <c r="C510" s="957" t="s">
        <v>2386</v>
      </c>
      <c r="D510" s="957" t="s">
        <v>7</v>
      </c>
      <c r="E510" s="219">
        <v>22</v>
      </c>
      <c r="F510" s="957" t="s">
        <v>1557</v>
      </c>
      <c r="G510" s="957" t="s">
        <v>2376</v>
      </c>
      <c r="H510" s="148">
        <v>0.04</v>
      </c>
      <c r="I510" s="139">
        <v>1</v>
      </c>
      <c r="J510" s="139">
        <v>1</v>
      </c>
      <c r="K510" s="139">
        <v>1</v>
      </c>
      <c r="L510" s="145">
        <v>100</v>
      </c>
      <c r="M510" s="145">
        <v>100</v>
      </c>
      <c r="N510" s="148">
        <v>0.04</v>
      </c>
      <c r="O510" s="148">
        <v>0.04</v>
      </c>
      <c r="P510" s="118"/>
      <c r="Q510" s="376"/>
      <c r="R510" s="381"/>
      <c r="S510" s="381"/>
      <c r="T510" s="379"/>
      <c r="U510" s="379"/>
      <c r="V510" s="379"/>
      <c r="W510" s="379"/>
      <c r="X510" s="380"/>
      <c r="Y510" s="376"/>
      <c r="Z510" s="381"/>
      <c r="AA510" s="381"/>
      <c r="AB510" s="379"/>
      <c r="AC510" s="379"/>
      <c r="AD510" s="379"/>
      <c r="AE510" s="379"/>
      <c r="AF510" s="380"/>
    </row>
    <row r="511" spans="1:32" ht="8.4499999999999993" customHeight="1" x14ac:dyDescent="0.2">
      <c r="A511" s="252" t="str">
        <f t="shared" si="0"/>
        <v xml:space="preserve">02.000.000.007 </v>
      </c>
      <c r="B511" s="219">
        <v>20</v>
      </c>
      <c r="C511" s="957" t="s">
        <v>2387</v>
      </c>
      <c r="D511" s="957" t="s">
        <v>7</v>
      </c>
      <c r="E511" s="219">
        <v>21</v>
      </c>
      <c r="F511" s="957" t="s">
        <v>2388</v>
      </c>
      <c r="G511" s="957" t="s">
        <v>2380</v>
      </c>
      <c r="H511" s="148">
        <v>0.12</v>
      </c>
      <c r="I511" s="139">
        <v>1</v>
      </c>
      <c r="J511" s="139">
        <v>0</v>
      </c>
      <c r="K511" s="139">
        <v>0</v>
      </c>
      <c r="L511" s="148">
        <v>0</v>
      </c>
      <c r="M511" s="148">
        <v>0</v>
      </c>
      <c r="N511" s="148">
        <v>0</v>
      </c>
      <c r="O511" s="148">
        <v>0</v>
      </c>
      <c r="P511" s="118"/>
      <c r="Q511" s="376"/>
      <c r="R511" s="381"/>
      <c r="S511" s="381"/>
      <c r="T511" s="379"/>
      <c r="U511" s="379"/>
      <c r="V511" s="379"/>
      <c r="W511" s="379"/>
      <c r="X511" s="380"/>
      <c r="Y511" s="376"/>
      <c r="Z511" s="381"/>
      <c r="AA511" s="381"/>
      <c r="AB511" s="379"/>
      <c r="AC511" s="379"/>
      <c r="AD511" s="379"/>
      <c r="AE511" s="379"/>
      <c r="AF511" s="380"/>
    </row>
    <row r="512" spans="1:32" ht="8.4499999999999993" customHeight="1" x14ac:dyDescent="0.2">
      <c r="A512" s="252" t="str">
        <f t="shared" si="0"/>
        <v xml:space="preserve">03 </v>
      </c>
      <c r="B512" s="115">
        <v>21</v>
      </c>
      <c r="C512" s="137" t="s">
        <v>332</v>
      </c>
      <c r="D512" s="137"/>
      <c r="E512" s="116">
        <v>212</v>
      </c>
      <c r="F512" s="137" t="s">
        <v>1557</v>
      </c>
      <c r="G512" s="137" t="s">
        <v>1554</v>
      </c>
      <c r="H512" s="138"/>
      <c r="I512" s="138"/>
      <c r="J512" s="138"/>
      <c r="K512" s="138"/>
      <c r="L512" s="138"/>
      <c r="M512" s="138"/>
      <c r="N512" s="138"/>
      <c r="O512" s="138"/>
      <c r="P512" s="138"/>
      <c r="Q512" s="377"/>
      <c r="R512" s="381"/>
      <c r="S512" s="381"/>
      <c r="T512" s="379"/>
      <c r="U512" s="379"/>
      <c r="V512" s="379"/>
      <c r="W512" s="379"/>
      <c r="X512" s="380"/>
      <c r="Y512" s="377"/>
      <c r="Z512" s="381"/>
      <c r="AA512" s="381"/>
      <c r="AB512" s="379"/>
      <c r="AC512" s="379"/>
      <c r="AD512" s="379"/>
      <c r="AE512" s="379"/>
      <c r="AF512" s="380"/>
    </row>
    <row r="513" spans="1:32" ht="8.4499999999999993" customHeight="1" x14ac:dyDescent="0.2">
      <c r="A513" s="252" t="str">
        <f t="shared" si="0"/>
        <v xml:space="preserve">03.000.000.001 </v>
      </c>
      <c r="B513" s="219">
        <v>22</v>
      </c>
      <c r="C513" s="957" t="s">
        <v>2389</v>
      </c>
      <c r="D513" s="957" t="s">
        <v>7</v>
      </c>
      <c r="E513" s="219">
        <v>22</v>
      </c>
      <c r="F513" s="957" t="s">
        <v>1557</v>
      </c>
      <c r="G513" s="957" t="s">
        <v>2376</v>
      </c>
      <c r="H513" s="148">
        <v>0.03</v>
      </c>
      <c r="I513" s="139">
        <v>1</v>
      </c>
      <c r="J513" s="139">
        <v>1</v>
      </c>
      <c r="K513" s="139">
        <v>1</v>
      </c>
      <c r="L513" s="145">
        <v>100</v>
      </c>
      <c r="M513" s="145">
        <v>100</v>
      </c>
      <c r="N513" s="148">
        <v>0.03</v>
      </c>
      <c r="O513" s="148">
        <v>0.03</v>
      </c>
      <c r="P513" s="118"/>
      <c r="Q513" s="376"/>
      <c r="R513" s="381"/>
      <c r="S513" s="377"/>
      <c r="T513" s="379"/>
      <c r="U513" s="378"/>
      <c r="V513" s="379"/>
      <c r="W513" s="379"/>
      <c r="X513" s="384"/>
      <c r="Y513" s="376"/>
      <c r="Z513" s="381"/>
      <c r="AA513" s="377"/>
      <c r="AB513" s="379"/>
      <c r="AC513" s="378"/>
      <c r="AD513" s="379"/>
      <c r="AE513" s="379"/>
      <c r="AF513" s="384"/>
    </row>
    <row r="514" spans="1:32" ht="8.4499999999999993" customHeight="1" x14ac:dyDescent="0.2">
      <c r="A514" s="252" t="str">
        <f t="shared" si="0"/>
        <v xml:space="preserve">03.000.000.002 </v>
      </c>
      <c r="B514" s="219">
        <v>23</v>
      </c>
      <c r="C514" s="957" t="s">
        <v>2390</v>
      </c>
      <c r="D514" s="957" t="s">
        <v>7</v>
      </c>
      <c r="E514" s="707">
        <v>212</v>
      </c>
      <c r="F514" s="957" t="s">
        <v>1557</v>
      </c>
      <c r="G514" s="957" t="s">
        <v>1554</v>
      </c>
      <c r="H514" s="148">
        <v>0.05</v>
      </c>
      <c r="I514" s="139">
        <v>1</v>
      </c>
      <c r="J514" s="139">
        <v>0.5</v>
      </c>
      <c r="K514" s="139">
        <v>1</v>
      </c>
      <c r="L514" s="147">
        <v>50</v>
      </c>
      <c r="M514" s="145">
        <v>100</v>
      </c>
      <c r="N514" s="148">
        <v>0.02</v>
      </c>
      <c r="O514" s="148">
        <v>0.05</v>
      </c>
      <c r="P514" s="952">
        <v>-106</v>
      </c>
      <c r="Q514" s="375"/>
      <c r="R514" s="375"/>
      <c r="S514" s="375"/>
      <c r="T514" s="375"/>
      <c r="U514" s="375"/>
      <c r="V514" s="375"/>
      <c r="W514" s="375"/>
      <c r="X514" s="375"/>
      <c r="Y514" s="375"/>
      <c r="Z514" s="375"/>
      <c r="AA514" s="375"/>
      <c r="AB514" s="375"/>
      <c r="AC514" s="375"/>
      <c r="AD514" s="375"/>
      <c r="AE514" s="375"/>
      <c r="AF514" s="375"/>
    </row>
    <row r="515" spans="1:32" ht="8.4499999999999993" customHeight="1" x14ac:dyDescent="0.2">
      <c r="A515" s="252" t="str">
        <f t="shared" si="0"/>
        <v xml:space="preserve">03.000.000.003 </v>
      </c>
      <c r="B515" s="219">
        <v>24</v>
      </c>
      <c r="C515" s="957" t="s">
        <v>2391</v>
      </c>
      <c r="D515" s="957" t="s">
        <v>7</v>
      </c>
      <c r="E515" s="219">
        <v>20</v>
      </c>
      <c r="F515" s="957" t="s">
        <v>1958</v>
      </c>
      <c r="G515" s="957" t="s">
        <v>1949</v>
      </c>
      <c r="H515" s="148">
        <v>0.01</v>
      </c>
      <c r="I515" s="139">
        <v>1</v>
      </c>
      <c r="J515" s="139">
        <v>0</v>
      </c>
      <c r="K515" s="139">
        <v>1</v>
      </c>
      <c r="L515" s="148">
        <v>0</v>
      </c>
      <c r="M515" s="145">
        <v>100</v>
      </c>
      <c r="N515" s="148">
        <v>0</v>
      </c>
      <c r="O515" s="148">
        <v>0.01</v>
      </c>
      <c r="P515" s="936">
        <v>-20</v>
      </c>
      <c r="Q515" s="376"/>
      <c r="R515" s="381"/>
      <c r="S515" s="381"/>
      <c r="T515" s="379"/>
      <c r="U515" s="379"/>
      <c r="V515" s="379"/>
      <c r="W515" s="379"/>
      <c r="X515" s="380"/>
      <c r="Y515" s="376"/>
      <c r="Z515" s="381"/>
      <c r="AA515" s="381"/>
      <c r="AB515" s="379"/>
      <c r="AC515" s="379"/>
      <c r="AD515" s="379"/>
      <c r="AE515" s="379"/>
      <c r="AF515" s="380"/>
    </row>
    <row r="516" spans="1:32" ht="8.4499999999999993" customHeight="1" x14ac:dyDescent="0.2">
      <c r="A516" s="252" t="str">
        <f t="shared" si="0"/>
        <v xml:space="preserve">03.000.000.004 </v>
      </c>
      <c r="B516" s="219">
        <v>25</v>
      </c>
      <c r="C516" s="957" t="s">
        <v>2392</v>
      </c>
      <c r="D516" s="957" t="s">
        <v>10</v>
      </c>
      <c r="E516" s="219">
        <v>20</v>
      </c>
      <c r="F516" s="957" t="s">
        <v>2183</v>
      </c>
      <c r="G516" s="957" t="s">
        <v>2015</v>
      </c>
      <c r="H516" s="148">
        <v>0.1</v>
      </c>
      <c r="I516" s="139">
        <v>7</v>
      </c>
      <c r="J516" s="139">
        <v>7</v>
      </c>
      <c r="K516" s="139">
        <v>7</v>
      </c>
      <c r="L516" s="145">
        <v>100</v>
      </c>
      <c r="M516" s="145">
        <v>100</v>
      </c>
      <c r="N516" s="148">
        <v>0.1</v>
      </c>
      <c r="O516" s="148">
        <v>0.1</v>
      </c>
      <c r="P516" s="118"/>
      <c r="Q516" s="375"/>
      <c r="R516" s="375"/>
      <c r="S516" s="375"/>
      <c r="T516" s="375"/>
      <c r="U516" s="375"/>
      <c r="V516" s="375"/>
      <c r="W516" s="375"/>
      <c r="X516" s="375"/>
      <c r="Y516" s="375"/>
      <c r="Z516" s="375"/>
      <c r="AA516" s="375"/>
      <c r="AB516" s="375"/>
      <c r="AC516" s="375"/>
      <c r="AD516" s="375"/>
      <c r="AE516" s="375"/>
      <c r="AF516" s="375"/>
    </row>
    <row r="517" spans="1:32" ht="8.4499999999999993" customHeight="1" x14ac:dyDescent="0.2">
      <c r="A517" s="252" t="str">
        <f t="shared" si="0"/>
        <v xml:space="preserve">03.000.000.005 </v>
      </c>
      <c r="B517" s="219">
        <v>26</v>
      </c>
      <c r="C517" s="957" t="s">
        <v>2393</v>
      </c>
      <c r="D517" s="957" t="s">
        <v>7</v>
      </c>
      <c r="E517" s="707">
        <v>189</v>
      </c>
      <c r="F517" s="957" t="s">
        <v>2183</v>
      </c>
      <c r="G517" s="957" t="s">
        <v>1554</v>
      </c>
      <c r="H517" s="148">
        <v>0.02</v>
      </c>
      <c r="I517" s="139">
        <v>1</v>
      </c>
      <c r="J517" s="139">
        <v>0.5</v>
      </c>
      <c r="K517" s="139">
        <v>0.5</v>
      </c>
      <c r="L517" s="147">
        <v>50</v>
      </c>
      <c r="M517" s="147">
        <v>50</v>
      </c>
      <c r="N517" s="148">
        <v>0.01</v>
      </c>
      <c r="O517" s="148">
        <v>0.01</v>
      </c>
      <c r="P517" s="118"/>
      <c r="Q517" s="385"/>
      <c r="R517" s="385"/>
      <c r="S517" s="376"/>
      <c r="T517" s="378"/>
      <c r="U517" s="378"/>
      <c r="V517" s="379"/>
      <c r="W517" s="379"/>
      <c r="X517" s="380"/>
      <c r="Y517" s="385"/>
      <c r="Z517" s="385"/>
      <c r="AA517" s="385"/>
      <c r="AB517" s="378"/>
      <c r="AC517" s="378"/>
      <c r="AD517" s="379"/>
      <c r="AE517" s="379"/>
      <c r="AF517" s="384"/>
    </row>
    <row r="518" spans="1:32" ht="8.4499999999999993" customHeight="1" x14ac:dyDescent="0.2">
      <c r="A518" s="252" t="str">
        <f t="shared" si="0"/>
        <v xml:space="preserve">03.001 </v>
      </c>
      <c r="B518" s="115">
        <v>27</v>
      </c>
      <c r="C518" s="137" t="s">
        <v>333</v>
      </c>
      <c r="D518" s="137"/>
      <c r="E518" s="115">
        <v>14</v>
      </c>
      <c r="F518" s="137" t="s">
        <v>2394</v>
      </c>
      <c r="G518" s="137" t="s">
        <v>1554</v>
      </c>
      <c r="H518" s="138"/>
      <c r="I518" s="138"/>
      <c r="J518" s="138"/>
      <c r="K518" s="138"/>
      <c r="L518" s="138"/>
      <c r="M518" s="138"/>
      <c r="N518" s="138"/>
      <c r="O518" s="138"/>
      <c r="P518" s="138"/>
      <c r="Q518" s="386"/>
      <c r="R518" s="385"/>
      <c r="S518" s="385"/>
      <c r="T518" s="378"/>
      <c r="U518" s="378"/>
      <c r="V518" s="379"/>
      <c r="W518" s="379"/>
      <c r="X518" s="380"/>
      <c r="Y518" s="386"/>
      <c r="Z518" s="385"/>
      <c r="AA518" s="385"/>
      <c r="AB518" s="378"/>
      <c r="AC518" s="378"/>
      <c r="AD518" s="379"/>
      <c r="AE518" s="379"/>
      <c r="AF518" s="380"/>
    </row>
    <row r="519" spans="1:32" ht="8.4499999999999993" customHeight="1" x14ac:dyDescent="0.2">
      <c r="A519" s="252" t="str">
        <f t="shared" si="0"/>
        <v xml:space="preserve">03.001.000.001 </v>
      </c>
      <c r="B519" s="219">
        <v>28</v>
      </c>
      <c r="C519" s="957" t="s">
        <v>2395</v>
      </c>
      <c r="D519" s="957" t="s">
        <v>90</v>
      </c>
      <c r="E519" s="219">
        <v>14</v>
      </c>
      <c r="F519" s="957" t="s">
        <v>2394</v>
      </c>
      <c r="G519" s="957" t="s">
        <v>1554</v>
      </c>
      <c r="H519" s="148">
        <v>0.05</v>
      </c>
      <c r="I519" s="146">
        <v>30</v>
      </c>
      <c r="J519" s="139">
        <v>0</v>
      </c>
      <c r="K519" s="139">
        <v>0</v>
      </c>
      <c r="L519" s="148">
        <v>0</v>
      </c>
      <c r="M519" s="148">
        <v>0</v>
      </c>
      <c r="N519" s="148">
        <v>0</v>
      </c>
      <c r="O519" s="148">
        <v>0</v>
      </c>
      <c r="P519" s="118"/>
      <c r="Q519" s="385"/>
      <c r="R519" s="376"/>
      <c r="S519" s="376"/>
      <c r="T519" s="378"/>
      <c r="U519" s="378"/>
      <c r="V519" s="379"/>
      <c r="W519" s="379"/>
      <c r="X519" s="380"/>
      <c r="Y519" s="385"/>
      <c r="Z519" s="385"/>
      <c r="AA519" s="385"/>
      <c r="AB519" s="378"/>
      <c r="AC519" s="378"/>
      <c r="AD519" s="379"/>
      <c r="AE519" s="379"/>
      <c r="AF519" s="380"/>
    </row>
    <row r="520" spans="1:32" ht="8.4499999999999993" customHeight="1" x14ac:dyDescent="0.2">
      <c r="A520" s="252" t="str">
        <f t="shared" si="0"/>
        <v xml:space="preserve">03.001.000.002 </v>
      </c>
      <c r="B520" s="219">
        <v>29</v>
      </c>
      <c r="C520" s="957" t="s">
        <v>2396</v>
      </c>
      <c r="D520" s="957" t="s">
        <v>90</v>
      </c>
      <c r="E520" s="219">
        <v>14</v>
      </c>
      <c r="F520" s="957" t="s">
        <v>2394</v>
      </c>
      <c r="G520" s="957" t="s">
        <v>1554</v>
      </c>
      <c r="H520" s="148">
        <v>0.02</v>
      </c>
      <c r="I520" s="139">
        <v>9</v>
      </c>
      <c r="J520" s="139">
        <v>0</v>
      </c>
      <c r="K520" s="139">
        <v>0</v>
      </c>
      <c r="L520" s="148">
        <v>0</v>
      </c>
      <c r="M520" s="148">
        <v>0</v>
      </c>
      <c r="N520" s="148">
        <v>0</v>
      </c>
      <c r="O520" s="148">
        <v>0</v>
      </c>
      <c r="P520" s="118"/>
      <c r="Q520" s="376"/>
      <c r="R520" s="381"/>
      <c r="S520" s="381"/>
      <c r="T520" s="379"/>
      <c r="U520" s="379"/>
      <c r="V520" s="379"/>
      <c r="W520" s="379"/>
      <c r="X520" s="380"/>
      <c r="Y520" s="376"/>
      <c r="Z520" s="381"/>
      <c r="AA520" s="381"/>
      <c r="AB520" s="379"/>
      <c r="AC520" s="379"/>
      <c r="AD520" s="379"/>
      <c r="AE520" s="379"/>
      <c r="AF520" s="380"/>
    </row>
    <row r="521" spans="1:32" ht="8.4499999999999993" customHeight="1" x14ac:dyDescent="0.2">
      <c r="A521" s="252" t="str">
        <f t="shared" si="0"/>
        <v xml:space="preserve">03.001.000.003 </v>
      </c>
      <c r="B521" s="219">
        <v>30</v>
      </c>
      <c r="C521" s="957" t="s">
        <v>2397</v>
      </c>
      <c r="D521" s="957" t="s">
        <v>90</v>
      </c>
      <c r="E521" s="219">
        <v>14</v>
      </c>
      <c r="F521" s="957" t="s">
        <v>2394</v>
      </c>
      <c r="G521" s="957" t="s">
        <v>1554</v>
      </c>
      <c r="H521" s="148">
        <v>0.02</v>
      </c>
      <c r="I521" s="139">
        <v>9</v>
      </c>
      <c r="J521" s="139">
        <v>0</v>
      </c>
      <c r="K521" s="139">
        <v>0</v>
      </c>
      <c r="L521" s="148">
        <v>0</v>
      </c>
      <c r="M521" s="148">
        <v>0</v>
      </c>
      <c r="N521" s="148">
        <v>0</v>
      </c>
      <c r="O521" s="148">
        <v>0</v>
      </c>
      <c r="P521" s="118"/>
      <c r="Q521" s="385"/>
      <c r="R521" s="381"/>
      <c r="S521" s="381"/>
      <c r="T521" s="379"/>
      <c r="U521" s="379"/>
      <c r="V521" s="379"/>
      <c r="W521" s="379"/>
      <c r="X521" s="380"/>
      <c r="Y521" s="385"/>
      <c r="Z521" s="381"/>
      <c r="AA521" s="381"/>
      <c r="AB521" s="379"/>
      <c r="AC521" s="379"/>
      <c r="AD521" s="379"/>
      <c r="AE521" s="379"/>
      <c r="AF521" s="380"/>
    </row>
    <row r="522" spans="1:32" ht="8.4499999999999993" customHeight="1" x14ac:dyDescent="0.2">
      <c r="A522" s="252" t="str">
        <f t="shared" si="0"/>
        <v xml:space="preserve">03.001.000.004 </v>
      </c>
      <c r="B522" s="219">
        <v>31</v>
      </c>
      <c r="C522" s="957" t="s">
        <v>2398</v>
      </c>
      <c r="D522" s="957" t="s">
        <v>90</v>
      </c>
      <c r="E522" s="219">
        <v>14</v>
      </c>
      <c r="F522" s="957" t="s">
        <v>2394</v>
      </c>
      <c r="G522" s="957" t="s">
        <v>1554</v>
      </c>
      <c r="H522" s="148">
        <v>0.01</v>
      </c>
      <c r="I522" s="146">
        <v>18</v>
      </c>
      <c r="J522" s="139">
        <v>0</v>
      </c>
      <c r="K522" s="139">
        <v>0</v>
      </c>
      <c r="L522" s="148">
        <v>0</v>
      </c>
      <c r="M522" s="148">
        <v>0</v>
      </c>
      <c r="N522" s="148">
        <v>0</v>
      </c>
      <c r="O522" s="148">
        <v>0</v>
      </c>
      <c r="P522" s="118"/>
      <c r="Q522" s="377"/>
      <c r="R522" s="381"/>
      <c r="S522" s="381"/>
      <c r="T522" s="379"/>
      <c r="U522" s="379"/>
      <c r="V522" s="379"/>
      <c r="W522" s="379"/>
      <c r="X522" s="380"/>
      <c r="Y522" s="377"/>
      <c r="Z522" s="381"/>
      <c r="AA522" s="381"/>
      <c r="AB522" s="379"/>
      <c r="AC522" s="379"/>
      <c r="AD522" s="379"/>
      <c r="AE522" s="379"/>
      <c r="AF522" s="380"/>
    </row>
    <row r="523" spans="1:32" ht="8.4499999999999993" customHeight="1" x14ac:dyDescent="0.2">
      <c r="A523" s="252" t="str">
        <f t="shared" si="0"/>
        <v xml:space="preserve">03.001.000.005 </v>
      </c>
      <c r="B523" s="219">
        <v>32</v>
      </c>
      <c r="C523" s="957" t="s">
        <v>2399</v>
      </c>
      <c r="D523" s="957" t="s">
        <v>90</v>
      </c>
      <c r="E523" s="219">
        <v>14</v>
      </c>
      <c r="F523" s="957" t="s">
        <v>2394</v>
      </c>
      <c r="G523" s="957" t="s">
        <v>1554</v>
      </c>
      <c r="H523" s="148">
        <v>0.03</v>
      </c>
      <c r="I523" s="146">
        <v>15</v>
      </c>
      <c r="J523" s="139">
        <v>0</v>
      </c>
      <c r="K523" s="139">
        <v>0</v>
      </c>
      <c r="L523" s="148">
        <v>0</v>
      </c>
      <c r="M523" s="148">
        <v>0</v>
      </c>
      <c r="N523" s="148">
        <v>0</v>
      </c>
      <c r="O523" s="148">
        <v>0</v>
      </c>
      <c r="P523" s="118"/>
      <c r="Q523" s="375"/>
      <c r="R523" s="375"/>
      <c r="S523" s="375"/>
      <c r="T523" s="375"/>
      <c r="U523" s="375"/>
      <c r="V523" s="375"/>
      <c r="W523" s="375"/>
      <c r="X523" s="375"/>
      <c r="Y523" s="375"/>
      <c r="Z523" s="375"/>
      <c r="AA523" s="375"/>
      <c r="AB523" s="375"/>
      <c r="AC523" s="375"/>
      <c r="AD523" s="375"/>
      <c r="AE523" s="375"/>
      <c r="AF523" s="375"/>
    </row>
    <row r="524" spans="1:32" ht="8.4499999999999993" customHeight="1" x14ac:dyDescent="0.2">
      <c r="A524" s="252" t="str">
        <f t="shared" si="0"/>
        <v xml:space="preserve">03.001.000.006 </v>
      </c>
      <c r="B524" s="219">
        <v>33</v>
      </c>
      <c r="C524" s="957" t="s">
        <v>2400</v>
      </c>
      <c r="D524" s="957" t="s">
        <v>90</v>
      </c>
      <c r="E524" s="219">
        <v>14</v>
      </c>
      <c r="F524" s="957" t="s">
        <v>2394</v>
      </c>
      <c r="G524" s="957" t="s">
        <v>1554</v>
      </c>
      <c r="H524" s="148">
        <v>0.01</v>
      </c>
      <c r="I524" s="139">
        <v>6</v>
      </c>
      <c r="J524" s="139">
        <v>0</v>
      </c>
      <c r="K524" s="139">
        <v>0</v>
      </c>
      <c r="L524" s="148">
        <v>0</v>
      </c>
      <c r="M524" s="148">
        <v>0</v>
      </c>
      <c r="N524" s="148">
        <v>0</v>
      </c>
      <c r="O524" s="148">
        <v>0</v>
      </c>
      <c r="P524" s="118"/>
      <c r="Q524" s="385"/>
      <c r="R524" s="376"/>
      <c r="S524" s="376"/>
      <c r="T524" s="378"/>
      <c r="U524" s="378"/>
      <c r="V524" s="379"/>
      <c r="W524" s="379"/>
      <c r="X524" s="380"/>
      <c r="Y524" s="385"/>
      <c r="Z524" s="376"/>
      <c r="AA524" s="385"/>
      <c r="AB524" s="378"/>
      <c r="AC524" s="378"/>
      <c r="AD524" s="379"/>
      <c r="AE524" s="379"/>
      <c r="AF524" s="383"/>
    </row>
    <row r="525" spans="1:32" ht="8.4499999999999993" customHeight="1" x14ac:dyDescent="0.2">
      <c r="A525" s="252" t="str">
        <f t="shared" si="0"/>
        <v xml:space="preserve">03.001.000.007 </v>
      </c>
      <c r="B525" s="219">
        <v>34</v>
      </c>
      <c r="C525" s="957" t="s">
        <v>2401</v>
      </c>
      <c r="D525" s="957" t="s">
        <v>7</v>
      </c>
      <c r="E525" s="219">
        <v>14</v>
      </c>
      <c r="F525" s="957" t="s">
        <v>2394</v>
      </c>
      <c r="G525" s="957" t="s">
        <v>1554</v>
      </c>
      <c r="H525" s="148">
        <v>0.03</v>
      </c>
      <c r="I525" s="139">
        <v>1</v>
      </c>
      <c r="J525" s="139">
        <v>0</v>
      </c>
      <c r="K525" s="139">
        <v>0</v>
      </c>
      <c r="L525" s="148">
        <v>0</v>
      </c>
      <c r="M525" s="148">
        <v>0</v>
      </c>
      <c r="N525" s="148">
        <v>0</v>
      </c>
      <c r="O525" s="148">
        <v>0</v>
      </c>
      <c r="P525" s="118"/>
      <c r="Q525" s="385"/>
      <c r="R525" s="376"/>
      <c r="S525" s="377"/>
      <c r="T525" s="378"/>
      <c r="U525" s="379"/>
      <c r="V525" s="379"/>
      <c r="W525" s="379"/>
      <c r="X525" s="380"/>
      <c r="Y525" s="385"/>
      <c r="Z525" s="376"/>
      <c r="AA525" s="376"/>
      <c r="AB525" s="378"/>
      <c r="AC525" s="378"/>
      <c r="AD525" s="379"/>
      <c r="AE525" s="379"/>
      <c r="AF525" s="384"/>
    </row>
    <row r="526" spans="1:32" ht="8.4499999999999993" customHeight="1" x14ac:dyDescent="0.2">
      <c r="A526" s="252" t="str">
        <f t="shared" si="0"/>
        <v xml:space="preserve">03.002 </v>
      </c>
      <c r="B526" s="115">
        <v>35</v>
      </c>
      <c r="C526" s="137" t="s">
        <v>60</v>
      </c>
      <c r="D526" s="137"/>
      <c r="E526" s="116">
        <v>212</v>
      </c>
      <c r="F526" s="137" t="s">
        <v>1557</v>
      </c>
      <c r="G526" s="137" t="s">
        <v>1554</v>
      </c>
      <c r="H526" s="138"/>
      <c r="I526" s="138"/>
      <c r="J526" s="138"/>
      <c r="K526" s="138"/>
      <c r="L526" s="138"/>
      <c r="M526" s="138"/>
      <c r="N526" s="138"/>
      <c r="O526" s="138"/>
      <c r="P526" s="138"/>
      <c r="Q526" s="385"/>
      <c r="R526" s="381"/>
      <c r="S526" s="381"/>
      <c r="T526" s="379"/>
      <c r="U526" s="379"/>
      <c r="V526" s="379"/>
      <c r="W526" s="379"/>
      <c r="X526" s="380"/>
      <c r="Y526" s="385"/>
      <c r="Z526" s="381"/>
      <c r="AA526" s="381"/>
      <c r="AB526" s="379"/>
      <c r="AC526" s="379"/>
      <c r="AD526" s="379"/>
      <c r="AE526" s="379"/>
      <c r="AF526" s="380"/>
    </row>
    <row r="527" spans="1:32" ht="8.4499999999999993" customHeight="1" x14ac:dyDescent="0.2">
      <c r="A527" s="252" t="str">
        <f t="shared" si="0"/>
        <v xml:space="preserve">03.002.000.001 </v>
      </c>
      <c r="B527" s="219">
        <v>36</v>
      </c>
      <c r="C527" s="957" t="s">
        <v>2402</v>
      </c>
      <c r="D527" s="957" t="s">
        <v>7</v>
      </c>
      <c r="E527" s="219">
        <v>22</v>
      </c>
      <c r="F527" s="957" t="s">
        <v>1557</v>
      </c>
      <c r="G527" s="957" t="s">
        <v>2376</v>
      </c>
      <c r="H527" s="148">
        <v>0.01</v>
      </c>
      <c r="I527" s="139">
        <v>1</v>
      </c>
      <c r="J527" s="139">
        <v>1</v>
      </c>
      <c r="K527" s="139">
        <v>1</v>
      </c>
      <c r="L527" s="145">
        <v>100</v>
      </c>
      <c r="M527" s="145">
        <v>100</v>
      </c>
      <c r="N527" s="148">
        <v>0.01</v>
      </c>
      <c r="O527" s="148">
        <v>0.01</v>
      </c>
      <c r="P527" s="118"/>
      <c r="Q527" s="376"/>
      <c r="R527" s="381"/>
      <c r="S527" s="381"/>
      <c r="T527" s="379"/>
      <c r="U527" s="379"/>
      <c r="V527" s="379"/>
      <c r="W527" s="379"/>
      <c r="X527" s="380"/>
      <c r="Y527" s="376"/>
      <c r="Z527" s="381"/>
      <c r="AA527" s="381"/>
      <c r="AB527" s="379"/>
      <c r="AC527" s="379"/>
      <c r="AD527" s="379"/>
      <c r="AE527" s="379"/>
      <c r="AF527" s="380"/>
    </row>
    <row r="528" spans="1:32" ht="8.4499999999999993" customHeight="1" x14ac:dyDescent="0.2">
      <c r="A528" s="252" t="str">
        <f t="shared" si="0"/>
        <v xml:space="preserve">03.002.000.002 </v>
      </c>
      <c r="B528" s="219">
        <v>37</v>
      </c>
      <c r="C528" s="957" t="s">
        <v>2403</v>
      </c>
      <c r="D528" s="957" t="s">
        <v>7</v>
      </c>
      <c r="E528" s="219">
        <v>14</v>
      </c>
      <c r="F528" s="957" t="s">
        <v>2394</v>
      </c>
      <c r="G528" s="957" t="s">
        <v>1554</v>
      </c>
      <c r="H528" s="148">
        <v>0.04</v>
      </c>
      <c r="I528" s="139">
        <v>1</v>
      </c>
      <c r="J528" s="139">
        <v>0</v>
      </c>
      <c r="K528" s="139">
        <v>1</v>
      </c>
      <c r="L528" s="148">
        <v>0</v>
      </c>
      <c r="M528" s="145">
        <v>100</v>
      </c>
      <c r="N528" s="148">
        <v>0</v>
      </c>
      <c r="O528" s="148">
        <v>0.04</v>
      </c>
      <c r="P528" s="936">
        <v>-14</v>
      </c>
      <c r="Q528" s="385"/>
      <c r="R528" s="376"/>
      <c r="S528" s="376"/>
      <c r="T528" s="378"/>
      <c r="U528" s="378"/>
      <c r="V528" s="379"/>
      <c r="W528" s="379"/>
      <c r="X528" s="383"/>
      <c r="Y528" s="385"/>
      <c r="Z528" s="376"/>
      <c r="AA528" s="376"/>
      <c r="AB528" s="378"/>
      <c r="AC528" s="378"/>
      <c r="AD528" s="379"/>
      <c r="AE528" s="379"/>
      <c r="AF528" s="384"/>
    </row>
    <row r="529" spans="1:32" ht="8.4499999999999993" customHeight="1" x14ac:dyDescent="0.2">
      <c r="A529" s="252" t="str">
        <f t="shared" si="0"/>
        <v xml:space="preserve">03.002.000.003 </v>
      </c>
      <c r="B529" s="219">
        <v>38</v>
      </c>
      <c r="C529" s="957" t="s">
        <v>2404</v>
      </c>
      <c r="D529" s="957" t="s">
        <v>90</v>
      </c>
      <c r="E529" s="219">
        <v>22</v>
      </c>
      <c r="F529" s="957" t="s">
        <v>1557</v>
      </c>
      <c r="G529" s="957" t="s">
        <v>2376</v>
      </c>
      <c r="H529" s="148">
        <v>0.05</v>
      </c>
      <c r="I529" s="146">
        <v>60</v>
      </c>
      <c r="J529" s="146">
        <v>60</v>
      </c>
      <c r="K529" s="146">
        <v>60</v>
      </c>
      <c r="L529" s="145">
        <v>100</v>
      </c>
      <c r="M529" s="145">
        <v>100</v>
      </c>
      <c r="N529" s="148">
        <v>0.05</v>
      </c>
      <c r="O529" s="148">
        <v>0.05</v>
      </c>
      <c r="P529" s="118"/>
      <c r="Q529" s="376"/>
      <c r="R529" s="381"/>
      <c r="S529" s="381"/>
      <c r="T529" s="379"/>
      <c r="U529" s="379"/>
      <c r="V529" s="379"/>
      <c r="W529" s="379"/>
      <c r="X529" s="380"/>
      <c r="Y529" s="376"/>
      <c r="Z529" s="381"/>
      <c r="AA529" s="381"/>
      <c r="AB529" s="379"/>
      <c r="AC529" s="379"/>
      <c r="AD529" s="379"/>
      <c r="AE529" s="379"/>
      <c r="AF529" s="380"/>
    </row>
    <row r="530" spans="1:32" ht="8.4499999999999993" customHeight="1" x14ac:dyDescent="0.2">
      <c r="A530" s="252" t="str">
        <f t="shared" si="0"/>
        <v xml:space="preserve">03.002.000.004 </v>
      </c>
      <c r="B530" s="219">
        <v>39</v>
      </c>
      <c r="C530" s="957" t="s">
        <v>2405</v>
      </c>
      <c r="D530" s="957" t="s">
        <v>90</v>
      </c>
      <c r="E530" s="219">
        <v>22</v>
      </c>
      <c r="F530" s="957" t="s">
        <v>1557</v>
      </c>
      <c r="G530" s="957" t="s">
        <v>2376</v>
      </c>
      <c r="H530" s="148">
        <v>0.03</v>
      </c>
      <c r="I530" s="144">
        <v>816</v>
      </c>
      <c r="J530" s="144">
        <v>816</v>
      </c>
      <c r="K530" s="144">
        <v>816</v>
      </c>
      <c r="L530" s="145">
        <v>100</v>
      </c>
      <c r="M530" s="145">
        <v>100</v>
      </c>
      <c r="N530" s="148">
        <v>0.03</v>
      </c>
      <c r="O530" s="148">
        <v>0.03</v>
      </c>
      <c r="P530" s="118"/>
      <c r="Q530" s="377"/>
      <c r="R530" s="381"/>
      <c r="S530" s="381"/>
      <c r="T530" s="379"/>
      <c r="U530" s="379"/>
      <c r="V530" s="379"/>
      <c r="W530" s="379"/>
      <c r="X530" s="380"/>
      <c r="Y530" s="377"/>
      <c r="Z530" s="381"/>
      <c r="AA530" s="381"/>
      <c r="AB530" s="379"/>
      <c r="AC530" s="379"/>
      <c r="AD530" s="379"/>
      <c r="AE530" s="379"/>
      <c r="AF530" s="380"/>
    </row>
    <row r="531" spans="1:32" ht="8.4499999999999993" customHeight="1" x14ac:dyDescent="0.2">
      <c r="A531" s="252" t="str">
        <f t="shared" si="0"/>
        <v xml:space="preserve">04 </v>
      </c>
      <c r="B531" s="115">
        <v>40</v>
      </c>
      <c r="C531" s="137" t="s">
        <v>334</v>
      </c>
      <c r="D531" s="137"/>
      <c r="E531" s="115">
        <v>22</v>
      </c>
      <c r="F531" s="137" t="s">
        <v>1557</v>
      </c>
      <c r="G531" s="137" t="s">
        <v>2376</v>
      </c>
      <c r="H531" s="138"/>
      <c r="I531" s="138"/>
      <c r="J531" s="138"/>
      <c r="K531" s="138"/>
      <c r="L531" s="138"/>
      <c r="M531" s="138"/>
      <c r="N531" s="138"/>
      <c r="O531" s="138"/>
      <c r="P531" s="138"/>
      <c r="Q531" s="375"/>
      <c r="R531" s="375"/>
      <c r="S531" s="375"/>
      <c r="T531" s="375"/>
      <c r="U531" s="375"/>
      <c r="V531" s="375"/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</row>
    <row r="532" spans="1:32" ht="8.4499999999999993" customHeight="1" x14ac:dyDescent="0.2">
      <c r="A532" s="252" t="str">
        <f t="shared" si="0"/>
        <v xml:space="preserve">04.000.000.001 </v>
      </c>
      <c r="B532" s="219">
        <v>41</v>
      </c>
      <c r="C532" s="957" t="s">
        <v>2406</v>
      </c>
      <c r="D532" s="957" t="s">
        <v>7</v>
      </c>
      <c r="E532" s="219">
        <v>22</v>
      </c>
      <c r="F532" s="957" t="s">
        <v>1557</v>
      </c>
      <c r="G532" s="957" t="s">
        <v>2376</v>
      </c>
      <c r="H532" s="148">
        <v>0.28000000000000003</v>
      </c>
      <c r="I532" s="139">
        <v>1</v>
      </c>
      <c r="J532" s="139">
        <v>1</v>
      </c>
      <c r="K532" s="139">
        <v>1</v>
      </c>
      <c r="L532" s="145">
        <v>100</v>
      </c>
      <c r="M532" s="145">
        <v>100</v>
      </c>
      <c r="N532" s="148">
        <v>0.28000000000000003</v>
      </c>
      <c r="O532" s="148">
        <v>0.28000000000000003</v>
      </c>
      <c r="P532" s="118"/>
      <c r="Q532" s="375"/>
      <c r="R532" s="375"/>
      <c r="S532" s="375"/>
      <c r="T532" s="375"/>
      <c r="U532" s="375"/>
      <c r="V532" s="375"/>
      <c r="W532" s="375"/>
      <c r="X532" s="375"/>
      <c r="Y532" s="375"/>
      <c r="Z532" s="375"/>
      <c r="AA532" s="375"/>
      <c r="AB532" s="375"/>
      <c r="AC532" s="375"/>
      <c r="AD532" s="375"/>
      <c r="AE532" s="375"/>
      <c r="AF532" s="375"/>
    </row>
    <row r="533" spans="1:32" ht="8.4499999999999993" customHeight="1" x14ac:dyDescent="0.2">
      <c r="A533" s="252" t="str">
        <f t="shared" si="0"/>
        <v xml:space="preserve">04.000.000.002 </v>
      </c>
      <c r="B533" s="219">
        <v>42</v>
      </c>
      <c r="C533" s="957" t="s">
        <v>2407</v>
      </c>
      <c r="D533" s="957" t="s">
        <v>7</v>
      </c>
      <c r="E533" s="219">
        <v>22</v>
      </c>
      <c r="F533" s="957" t="s">
        <v>1557</v>
      </c>
      <c r="G533" s="957" t="s">
        <v>2376</v>
      </c>
      <c r="H533" s="148">
        <v>0.19</v>
      </c>
      <c r="I533" s="139">
        <v>1</v>
      </c>
      <c r="J533" s="139">
        <v>1</v>
      </c>
      <c r="K533" s="139">
        <v>1</v>
      </c>
      <c r="L533" s="145">
        <v>100</v>
      </c>
      <c r="M533" s="145">
        <v>100</v>
      </c>
      <c r="N533" s="148">
        <v>0.19</v>
      </c>
      <c r="O533" s="148">
        <v>0.19</v>
      </c>
      <c r="P533" s="118"/>
      <c r="Q533" s="385"/>
      <c r="R533" s="381"/>
      <c r="S533" s="381"/>
      <c r="T533" s="379"/>
      <c r="U533" s="379"/>
      <c r="V533" s="379"/>
      <c r="W533" s="379"/>
      <c r="X533" s="380"/>
      <c r="Y533" s="385"/>
      <c r="Z533" s="381"/>
      <c r="AA533" s="381"/>
      <c r="AB533" s="379"/>
      <c r="AC533" s="379"/>
      <c r="AD533" s="379"/>
      <c r="AE533" s="379"/>
      <c r="AF533" s="384"/>
    </row>
    <row r="534" spans="1:32" ht="8.4499999999999993" customHeight="1" x14ac:dyDescent="0.2">
      <c r="A534" s="252" t="str">
        <f t="shared" si="0"/>
        <v xml:space="preserve">05 </v>
      </c>
      <c r="B534" s="115">
        <v>43</v>
      </c>
      <c r="C534" s="137" t="s">
        <v>335</v>
      </c>
      <c r="D534" s="137"/>
      <c r="E534" s="116">
        <v>123</v>
      </c>
      <c r="F534" s="137" t="s">
        <v>2408</v>
      </c>
      <c r="G534" s="137" t="s">
        <v>2409</v>
      </c>
      <c r="H534" s="138"/>
      <c r="I534" s="138"/>
      <c r="J534" s="138"/>
      <c r="K534" s="138"/>
      <c r="L534" s="138"/>
      <c r="M534" s="138"/>
      <c r="N534" s="138"/>
      <c r="O534" s="138"/>
      <c r="P534" s="138"/>
      <c r="Q534" s="376"/>
      <c r="R534" s="381"/>
      <c r="S534" s="381"/>
      <c r="T534" s="379"/>
      <c r="U534" s="379"/>
      <c r="V534" s="379"/>
      <c r="W534" s="379"/>
      <c r="X534" s="380"/>
      <c r="Y534" s="376"/>
      <c r="Z534" s="381"/>
      <c r="AA534" s="381"/>
      <c r="AB534" s="379"/>
      <c r="AC534" s="379"/>
      <c r="AD534" s="379"/>
      <c r="AE534" s="379"/>
      <c r="AF534" s="380"/>
    </row>
    <row r="535" spans="1:32" ht="8.4499999999999993" customHeight="1" x14ac:dyDescent="0.2">
      <c r="A535" s="252" t="str">
        <f t="shared" si="0"/>
        <v xml:space="preserve">05.001 </v>
      </c>
      <c r="B535" s="115">
        <v>44</v>
      </c>
      <c r="C535" s="137" t="s">
        <v>336</v>
      </c>
      <c r="D535" s="137"/>
      <c r="E535" s="115">
        <v>50</v>
      </c>
      <c r="F535" s="137" t="s">
        <v>2410</v>
      </c>
      <c r="G535" s="137" t="s">
        <v>2411</v>
      </c>
      <c r="H535" s="138"/>
      <c r="I535" s="138"/>
      <c r="J535" s="138"/>
      <c r="K535" s="138"/>
      <c r="L535" s="138"/>
      <c r="M535" s="138"/>
      <c r="N535" s="138"/>
      <c r="O535" s="138"/>
      <c r="P535" s="138"/>
      <c r="Q535" s="376"/>
      <c r="R535" s="381"/>
      <c r="S535" s="381"/>
      <c r="T535" s="379"/>
      <c r="U535" s="379"/>
      <c r="V535" s="379"/>
      <c r="W535" s="379"/>
      <c r="X535" s="380"/>
      <c r="Y535" s="376"/>
      <c r="Z535" s="381"/>
      <c r="AA535" s="381"/>
      <c r="AB535" s="379"/>
      <c r="AC535" s="379"/>
      <c r="AD535" s="379"/>
      <c r="AE535" s="379"/>
      <c r="AF535" s="380"/>
    </row>
    <row r="536" spans="1:32" ht="8.4499999999999993" customHeight="1" x14ac:dyDescent="0.2">
      <c r="A536" s="252" t="str">
        <f t="shared" si="0"/>
        <v xml:space="preserve">05.001.000.001 </v>
      </c>
      <c r="B536" s="219">
        <v>45</v>
      </c>
      <c r="C536" s="957" t="s">
        <v>2412</v>
      </c>
      <c r="D536" s="957" t="s">
        <v>94</v>
      </c>
      <c r="E536" s="219">
        <v>49</v>
      </c>
      <c r="F536" s="957" t="s">
        <v>2410</v>
      </c>
      <c r="G536" s="957" t="s">
        <v>2411</v>
      </c>
      <c r="H536" s="148">
        <v>0.15</v>
      </c>
      <c r="I536" s="144">
        <v>161.13999999999999</v>
      </c>
      <c r="J536" s="139">
        <v>62.490099999999998</v>
      </c>
      <c r="K536" s="139">
        <v>0</v>
      </c>
      <c r="L536" s="148">
        <v>38.78</v>
      </c>
      <c r="M536" s="148">
        <v>0</v>
      </c>
      <c r="N536" s="148">
        <v>0.06</v>
      </c>
      <c r="O536" s="148">
        <v>0</v>
      </c>
      <c r="P536" s="118" t="s">
        <v>2791</v>
      </c>
      <c r="Q536" s="376"/>
      <c r="R536" s="381"/>
      <c r="S536" s="381"/>
      <c r="T536" s="379"/>
      <c r="U536" s="379"/>
      <c r="V536" s="379"/>
      <c r="W536" s="379"/>
      <c r="X536" s="380"/>
      <c r="Y536" s="376"/>
      <c r="Z536" s="381"/>
      <c r="AA536" s="381"/>
      <c r="AB536" s="379"/>
      <c r="AC536" s="379"/>
      <c r="AD536" s="379"/>
      <c r="AE536" s="379"/>
      <c r="AF536" s="380"/>
    </row>
    <row r="537" spans="1:32" ht="8.4499999999999993" customHeight="1" x14ac:dyDescent="0.2">
      <c r="A537" s="252" t="str">
        <f t="shared" si="0"/>
        <v xml:space="preserve">05.001.000.002 </v>
      </c>
      <c r="B537" s="219">
        <v>46</v>
      </c>
      <c r="C537" s="957" t="s">
        <v>2413</v>
      </c>
      <c r="D537" s="957" t="s">
        <v>90</v>
      </c>
      <c r="E537" s="219">
        <v>49</v>
      </c>
      <c r="F537" s="957" t="s">
        <v>2410</v>
      </c>
      <c r="G537" s="957" t="s">
        <v>2411</v>
      </c>
      <c r="H537" s="148">
        <v>0.01</v>
      </c>
      <c r="I537" s="144">
        <v>103.39</v>
      </c>
      <c r="J537" s="139">
        <v>40.0946</v>
      </c>
      <c r="K537" s="139">
        <v>0</v>
      </c>
      <c r="L537" s="148">
        <v>38.78</v>
      </c>
      <c r="M537" s="148">
        <v>0</v>
      </c>
      <c r="N537" s="148">
        <v>0</v>
      </c>
      <c r="O537" s="148">
        <v>0</v>
      </c>
      <c r="P537" s="118" t="s">
        <v>2791</v>
      </c>
      <c r="Q537" s="385"/>
      <c r="R537" s="381"/>
      <c r="S537" s="381"/>
      <c r="T537" s="379"/>
      <c r="U537" s="379"/>
      <c r="V537" s="379"/>
      <c r="W537" s="379"/>
      <c r="X537" s="380"/>
      <c r="Y537" s="385"/>
      <c r="Z537" s="381"/>
      <c r="AA537" s="377"/>
      <c r="AB537" s="379"/>
      <c r="AC537" s="379"/>
      <c r="AD537" s="379"/>
      <c r="AE537" s="379"/>
      <c r="AF537" s="384"/>
    </row>
    <row r="538" spans="1:32" ht="8.4499999999999993" customHeight="1" x14ac:dyDescent="0.2">
      <c r="A538" s="252" t="str">
        <f t="shared" si="0"/>
        <v xml:space="preserve">05.001.000.003 </v>
      </c>
      <c r="B538" s="219">
        <v>47</v>
      </c>
      <c r="C538" s="957" t="s">
        <v>2414</v>
      </c>
      <c r="D538" s="957" t="s">
        <v>94</v>
      </c>
      <c r="E538" s="219">
        <v>49</v>
      </c>
      <c r="F538" s="957" t="s">
        <v>2410</v>
      </c>
      <c r="G538" s="957" t="s">
        <v>2411</v>
      </c>
      <c r="H538" s="148">
        <v>0.02</v>
      </c>
      <c r="I538" s="139">
        <v>7.2</v>
      </c>
      <c r="J538" s="139">
        <v>2.7921999999999998</v>
      </c>
      <c r="K538" s="139">
        <v>0</v>
      </c>
      <c r="L538" s="148">
        <v>38.78</v>
      </c>
      <c r="M538" s="148">
        <v>0</v>
      </c>
      <c r="N538" s="148">
        <v>0.01</v>
      </c>
      <c r="O538" s="148">
        <v>0</v>
      </c>
      <c r="P538" s="118" t="s">
        <v>2791</v>
      </c>
      <c r="Q538" s="375"/>
      <c r="R538" s="375"/>
      <c r="S538" s="375"/>
      <c r="T538" s="375"/>
      <c r="U538" s="375"/>
      <c r="V538" s="375"/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</row>
    <row r="539" spans="1:32" ht="8.4499999999999993" customHeight="1" x14ac:dyDescent="0.2">
      <c r="A539" s="252" t="str">
        <f t="shared" si="0"/>
        <v xml:space="preserve">05.001.000.004 </v>
      </c>
      <c r="B539" s="219">
        <v>48</v>
      </c>
      <c r="C539" s="957" t="s">
        <v>2415</v>
      </c>
      <c r="D539" s="957" t="s">
        <v>90</v>
      </c>
      <c r="E539" s="219">
        <v>49</v>
      </c>
      <c r="F539" s="957" t="s">
        <v>2410</v>
      </c>
      <c r="G539" s="957" t="s">
        <v>2411</v>
      </c>
      <c r="H539" s="148">
        <v>0.31</v>
      </c>
      <c r="I539" s="144">
        <v>433.37</v>
      </c>
      <c r="J539" s="139">
        <v>168.0609</v>
      </c>
      <c r="K539" s="139">
        <v>0</v>
      </c>
      <c r="L539" s="148">
        <v>38.78</v>
      </c>
      <c r="M539" s="148">
        <v>0</v>
      </c>
      <c r="N539" s="148">
        <v>0.12</v>
      </c>
      <c r="O539" s="148">
        <v>0</v>
      </c>
      <c r="P539" s="118" t="s">
        <v>2791</v>
      </c>
      <c r="Q539" s="377"/>
      <c r="R539" s="381"/>
      <c r="S539" s="381"/>
      <c r="T539" s="379"/>
      <c r="U539" s="379"/>
      <c r="V539" s="379"/>
      <c r="W539" s="379"/>
      <c r="X539" s="380"/>
      <c r="Y539" s="377"/>
      <c r="Z539" s="381"/>
      <c r="AA539" s="381"/>
      <c r="AB539" s="379"/>
      <c r="AC539" s="379"/>
      <c r="AD539" s="379"/>
      <c r="AE539" s="379"/>
      <c r="AF539" s="380"/>
    </row>
    <row r="540" spans="1:32" ht="8.4499999999999993" customHeight="1" x14ac:dyDescent="0.2">
      <c r="A540" s="252" t="str">
        <f t="shared" si="0"/>
        <v xml:space="preserve">05.001.000.005 </v>
      </c>
      <c r="B540" s="219">
        <v>49</v>
      </c>
      <c r="C540" s="957" t="s">
        <v>2416</v>
      </c>
      <c r="D540" s="957" t="s">
        <v>101</v>
      </c>
      <c r="E540" s="219">
        <v>49</v>
      </c>
      <c r="F540" s="957" t="s">
        <v>2410</v>
      </c>
      <c r="G540" s="957" t="s">
        <v>2411</v>
      </c>
      <c r="H540" s="148">
        <v>0.5</v>
      </c>
      <c r="I540" s="142">
        <v>6933.09</v>
      </c>
      <c r="J540" s="139">
        <v>2688.6523000000002</v>
      </c>
      <c r="K540" s="139">
        <v>0</v>
      </c>
      <c r="L540" s="148">
        <v>38.78</v>
      </c>
      <c r="M540" s="148">
        <v>0</v>
      </c>
      <c r="N540" s="148">
        <v>0.19</v>
      </c>
      <c r="O540" s="148">
        <v>0</v>
      </c>
      <c r="P540" s="118" t="s">
        <v>2791</v>
      </c>
      <c r="Q540" s="375"/>
      <c r="R540" s="375"/>
      <c r="S540" s="375"/>
      <c r="T540" s="375"/>
      <c r="U540" s="375"/>
      <c r="V540" s="375"/>
      <c r="W540" s="375"/>
      <c r="X540" s="375"/>
      <c r="Y540" s="375"/>
      <c r="Z540" s="375"/>
      <c r="AA540" s="375"/>
      <c r="AB540" s="375"/>
      <c r="AC540" s="375"/>
      <c r="AD540" s="375"/>
      <c r="AE540" s="375"/>
      <c r="AF540" s="375"/>
    </row>
    <row r="541" spans="1:32" ht="8.4499999999999993" customHeight="1" x14ac:dyDescent="0.2">
      <c r="A541" s="252" t="str">
        <f t="shared" si="0"/>
        <v xml:space="preserve">05.001.000.006 </v>
      </c>
      <c r="B541" s="219">
        <v>50</v>
      </c>
      <c r="C541" s="957" t="s">
        <v>2417</v>
      </c>
      <c r="D541" s="957" t="s">
        <v>94</v>
      </c>
      <c r="E541" s="219">
        <v>49</v>
      </c>
      <c r="F541" s="957" t="s">
        <v>2410</v>
      </c>
      <c r="G541" s="957" t="s">
        <v>2411</v>
      </c>
      <c r="H541" s="148">
        <v>0.3</v>
      </c>
      <c r="I541" s="146">
        <v>90.69</v>
      </c>
      <c r="J541" s="139">
        <v>35.169600000000003</v>
      </c>
      <c r="K541" s="139">
        <v>0</v>
      </c>
      <c r="L541" s="148">
        <v>38.78</v>
      </c>
      <c r="M541" s="148">
        <v>0</v>
      </c>
      <c r="N541" s="148">
        <v>0.12</v>
      </c>
      <c r="O541" s="148">
        <v>0</v>
      </c>
      <c r="P541" s="118" t="s">
        <v>2791</v>
      </c>
      <c r="Q541" s="385"/>
      <c r="R541" s="381"/>
      <c r="S541" s="381"/>
      <c r="T541" s="379"/>
      <c r="U541" s="379"/>
      <c r="V541" s="379"/>
      <c r="W541" s="379"/>
      <c r="X541" s="380"/>
      <c r="Y541" s="385"/>
      <c r="Z541" s="381"/>
      <c r="AA541" s="381"/>
      <c r="AB541" s="379"/>
      <c r="AC541" s="379"/>
      <c r="AD541" s="379"/>
      <c r="AE541" s="379"/>
      <c r="AF541" s="380"/>
    </row>
    <row r="542" spans="1:32" ht="8.4499999999999993" customHeight="1" x14ac:dyDescent="0.2">
      <c r="A542" s="252" t="str">
        <f t="shared" si="0"/>
        <v xml:space="preserve">05.001.000.007 </v>
      </c>
      <c r="B542" s="219">
        <v>51</v>
      </c>
      <c r="C542" s="957" t="s">
        <v>2418</v>
      </c>
      <c r="D542" s="957" t="s">
        <v>94</v>
      </c>
      <c r="E542" s="219">
        <v>49</v>
      </c>
      <c r="F542" s="957" t="s">
        <v>2410</v>
      </c>
      <c r="G542" s="957" t="s">
        <v>2411</v>
      </c>
      <c r="H542" s="148">
        <v>0.01</v>
      </c>
      <c r="I542" s="146">
        <v>85.99</v>
      </c>
      <c r="J542" s="139">
        <v>33.346899999999998</v>
      </c>
      <c r="K542" s="139">
        <v>0</v>
      </c>
      <c r="L542" s="148">
        <v>38.78</v>
      </c>
      <c r="M542" s="148">
        <v>0</v>
      </c>
      <c r="N542" s="148">
        <v>0</v>
      </c>
      <c r="O542" s="148">
        <v>0</v>
      </c>
      <c r="P542" s="118" t="s">
        <v>2791</v>
      </c>
      <c r="Q542" s="376"/>
      <c r="R542" s="381"/>
      <c r="S542" s="381"/>
      <c r="T542" s="379"/>
      <c r="U542" s="379"/>
      <c r="V542" s="379"/>
      <c r="W542" s="379"/>
      <c r="X542" s="380"/>
      <c r="Y542" s="376"/>
      <c r="Z542" s="381"/>
      <c r="AA542" s="381"/>
      <c r="AB542" s="379"/>
      <c r="AC542" s="379"/>
      <c r="AD542" s="379"/>
      <c r="AE542" s="379"/>
      <c r="AF542" s="380"/>
    </row>
    <row r="543" spans="1:32" ht="8.4499999999999993" customHeight="1" x14ac:dyDescent="0.2">
      <c r="A543" s="252" t="str">
        <f t="shared" si="0"/>
        <v xml:space="preserve">05.001.000.008 </v>
      </c>
      <c r="B543" s="219">
        <v>52</v>
      </c>
      <c r="C543" s="957" t="s">
        <v>2419</v>
      </c>
      <c r="D543" s="957" t="s">
        <v>94</v>
      </c>
      <c r="E543" s="219">
        <v>49</v>
      </c>
      <c r="F543" s="957" t="s">
        <v>2410</v>
      </c>
      <c r="G543" s="957" t="s">
        <v>2411</v>
      </c>
      <c r="H543" s="148">
        <v>0.08</v>
      </c>
      <c r="I543" s="144">
        <v>123.55</v>
      </c>
      <c r="J543" s="139">
        <v>47.912700000000001</v>
      </c>
      <c r="K543" s="139">
        <v>0</v>
      </c>
      <c r="L543" s="148">
        <v>38.78</v>
      </c>
      <c r="M543" s="148">
        <v>0</v>
      </c>
      <c r="N543" s="148">
        <v>0.03</v>
      </c>
      <c r="O543" s="148">
        <v>0</v>
      </c>
      <c r="P543" s="118" t="s">
        <v>2791</v>
      </c>
      <c r="Q543" s="375"/>
      <c r="R543" s="375"/>
      <c r="S543" s="375"/>
      <c r="T543" s="375"/>
      <c r="U543" s="375"/>
      <c r="V543" s="375"/>
      <c r="W543" s="375"/>
      <c r="X543" s="375"/>
      <c r="Y543" s="375"/>
      <c r="Z543" s="375"/>
      <c r="AA543" s="375"/>
      <c r="AB543" s="375"/>
      <c r="AC543" s="375"/>
      <c r="AD543" s="375"/>
      <c r="AE543" s="375"/>
      <c r="AF543" s="375"/>
    </row>
    <row r="544" spans="1:32" ht="8.4499999999999993" customHeight="1" x14ac:dyDescent="0.2">
      <c r="A544" s="252" t="str">
        <f t="shared" si="0"/>
        <v xml:space="preserve">05.002 </v>
      </c>
      <c r="B544" s="115">
        <v>53</v>
      </c>
      <c r="C544" s="137" t="s">
        <v>840</v>
      </c>
      <c r="D544" s="137"/>
      <c r="E544" s="115">
        <v>57</v>
      </c>
      <c r="F544" s="137" t="s">
        <v>2408</v>
      </c>
      <c r="G544" s="137" t="s">
        <v>2420</v>
      </c>
      <c r="H544" s="138"/>
      <c r="I544" s="138"/>
      <c r="J544" s="138"/>
      <c r="K544" s="138"/>
      <c r="L544" s="138"/>
      <c r="M544" s="138"/>
      <c r="N544" s="138"/>
      <c r="O544" s="138"/>
      <c r="P544" s="138"/>
      <c r="Q544" s="381"/>
      <c r="R544" s="381"/>
      <c r="S544" s="381"/>
      <c r="T544" s="379"/>
      <c r="U544" s="379"/>
      <c r="V544" s="379"/>
      <c r="W544" s="379"/>
      <c r="X544" s="380"/>
      <c r="Y544" s="381"/>
      <c r="Z544" s="381"/>
      <c r="AA544" s="381"/>
      <c r="AB544" s="379"/>
      <c r="AC544" s="379"/>
      <c r="AD544" s="379"/>
      <c r="AE544" s="379"/>
      <c r="AF544" s="380"/>
    </row>
    <row r="545" spans="1:32" ht="8.4499999999999993" customHeight="1" x14ac:dyDescent="0.2">
      <c r="A545" s="252" t="str">
        <f t="shared" si="0"/>
        <v xml:space="preserve">05.002.000.001 </v>
      </c>
      <c r="B545" s="219">
        <v>54</v>
      </c>
      <c r="C545" s="957" t="s">
        <v>2421</v>
      </c>
      <c r="D545" s="957" t="s">
        <v>94</v>
      </c>
      <c r="E545" s="219">
        <v>57</v>
      </c>
      <c r="F545" s="957" t="s">
        <v>2408</v>
      </c>
      <c r="G545" s="957" t="s">
        <v>2420</v>
      </c>
      <c r="H545" s="148">
        <v>0.51</v>
      </c>
      <c r="I545" s="144">
        <v>251.9</v>
      </c>
      <c r="J545" s="144">
        <v>206.07939999999999</v>
      </c>
      <c r="K545" s="146">
        <v>136.45419999999999</v>
      </c>
      <c r="L545" s="147">
        <v>81.81</v>
      </c>
      <c r="M545" s="147">
        <v>54.17</v>
      </c>
      <c r="N545" s="148">
        <v>0.41</v>
      </c>
      <c r="O545" s="148">
        <v>0.27</v>
      </c>
      <c r="P545" s="118" t="s">
        <v>2197</v>
      </c>
      <c r="Q545" s="381"/>
      <c r="R545" s="381"/>
      <c r="S545" s="381"/>
      <c r="T545" s="379"/>
      <c r="U545" s="379"/>
      <c r="V545" s="379"/>
      <c r="W545" s="379"/>
      <c r="X545" s="380"/>
      <c r="Y545" s="381"/>
      <c r="Z545" s="381"/>
      <c r="AA545" s="381"/>
      <c r="AB545" s="379"/>
      <c r="AC545" s="379"/>
      <c r="AD545" s="379"/>
      <c r="AE545" s="379"/>
      <c r="AF545" s="380"/>
    </row>
    <row r="546" spans="1:32" ht="8.4499999999999993" customHeight="1" x14ac:dyDescent="0.2">
      <c r="A546" s="252" t="str">
        <f t="shared" si="0"/>
        <v xml:space="preserve">05.002.000.002 </v>
      </c>
      <c r="B546" s="219">
        <v>55</v>
      </c>
      <c r="C546" s="957" t="s">
        <v>2422</v>
      </c>
      <c r="D546" s="957" t="s">
        <v>94</v>
      </c>
      <c r="E546" s="219">
        <v>57</v>
      </c>
      <c r="F546" s="957" t="s">
        <v>2408</v>
      </c>
      <c r="G546" s="957" t="s">
        <v>2420</v>
      </c>
      <c r="H546" s="148">
        <v>0.79</v>
      </c>
      <c r="I546" s="144">
        <v>334.38</v>
      </c>
      <c r="J546" s="144">
        <v>273.55630000000002</v>
      </c>
      <c r="K546" s="146">
        <v>181.1336</v>
      </c>
      <c r="L546" s="147">
        <v>81.81</v>
      </c>
      <c r="M546" s="147">
        <v>54.17</v>
      </c>
      <c r="N546" s="148">
        <v>0.65</v>
      </c>
      <c r="O546" s="148">
        <v>0.43</v>
      </c>
      <c r="P546" s="118" t="s">
        <v>2197</v>
      </c>
      <c r="Q546" s="375"/>
      <c r="R546" s="375"/>
      <c r="S546" s="375"/>
      <c r="T546" s="375"/>
      <c r="U546" s="375"/>
      <c r="V546" s="375"/>
      <c r="W546" s="375"/>
      <c r="X546" s="375"/>
      <c r="Y546" s="375"/>
      <c r="Z546" s="375"/>
      <c r="AA546" s="375"/>
      <c r="AB546" s="375"/>
      <c r="AC546" s="375"/>
      <c r="AD546" s="375"/>
      <c r="AE546" s="375"/>
      <c r="AF546" s="375"/>
    </row>
    <row r="547" spans="1:32" ht="8.4499999999999993" customHeight="1" x14ac:dyDescent="0.2">
      <c r="A547" s="252" t="str">
        <f t="shared" si="0"/>
        <v xml:space="preserve">05.002.000.003 </v>
      </c>
      <c r="B547" s="219">
        <v>56</v>
      </c>
      <c r="C547" s="957" t="s">
        <v>2423</v>
      </c>
      <c r="D547" s="957" t="s">
        <v>94</v>
      </c>
      <c r="E547" s="219">
        <v>57</v>
      </c>
      <c r="F547" s="957" t="s">
        <v>2408</v>
      </c>
      <c r="G547" s="957" t="s">
        <v>2420</v>
      </c>
      <c r="H547" s="148">
        <v>2.0099999999999998</v>
      </c>
      <c r="I547" s="144">
        <v>586.28</v>
      </c>
      <c r="J547" s="144">
        <v>479.63569999999999</v>
      </c>
      <c r="K547" s="144">
        <v>271.858</v>
      </c>
      <c r="L547" s="147">
        <v>81.81</v>
      </c>
      <c r="M547" s="147">
        <v>46.37</v>
      </c>
      <c r="N547" s="148">
        <v>1.64</v>
      </c>
      <c r="O547" s="148">
        <v>0.93</v>
      </c>
      <c r="P547" s="118" t="s">
        <v>2036</v>
      </c>
      <c r="Q547" s="376"/>
      <c r="R547" s="381"/>
      <c r="S547" s="381"/>
      <c r="T547" s="379"/>
      <c r="U547" s="379"/>
      <c r="V547" s="379"/>
      <c r="W547" s="379"/>
      <c r="X547" s="380"/>
      <c r="Y547" s="376"/>
      <c r="Z547" s="381"/>
      <c r="AA547" s="381"/>
      <c r="AB547" s="379"/>
      <c r="AC547" s="379"/>
      <c r="AD547" s="379"/>
      <c r="AE547" s="379"/>
      <c r="AF547" s="380"/>
    </row>
    <row r="548" spans="1:32" ht="8.4499999999999993" customHeight="1" x14ac:dyDescent="0.2">
      <c r="A548" s="252" t="str">
        <f t="shared" si="0"/>
        <v xml:space="preserve">05.002.000.004 </v>
      </c>
      <c r="B548" s="219">
        <v>57</v>
      </c>
      <c r="C548" s="957" t="s">
        <v>2424</v>
      </c>
      <c r="D548" s="957" t="s">
        <v>101</v>
      </c>
      <c r="E548" s="219">
        <v>57</v>
      </c>
      <c r="F548" s="957" t="s">
        <v>2408</v>
      </c>
      <c r="G548" s="957" t="s">
        <v>2420</v>
      </c>
      <c r="H548" s="148">
        <v>0.73</v>
      </c>
      <c r="I548" s="140">
        <v>10565.05</v>
      </c>
      <c r="J548" s="142">
        <v>8643.2674000000006</v>
      </c>
      <c r="K548" s="142">
        <v>4974.0254999999997</v>
      </c>
      <c r="L548" s="147">
        <v>81.81</v>
      </c>
      <c r="M548" s="147">
        <v>47.08</v>
      </c>
      <c r="N548" s="148">
        <v>0.6</v>
      </c>
      <c r="O548" s="148">
        <v>0.34</v>
      </c>
      <c r="P548" s="118" t="s">
        <v>2791</v>
      </c>
      <c r="Q548" s="375"/>
      <c r="R548" s="375"/>
      <c r="S548" s="375"/>
      <c r="T548" s="375"/>
      <c r="U548" s="375"/>
      <c r="V548" s="375"/>
      <c r="W548" s="375"/>
      <c r="X548" s="375"/>
      <c r="Y548" s="375"/>
      <c r="Z548" s="375"/>
      <c r="AA548" s="375"/>
      <c r="AB548" s="375"/>
      <c r="AC548" s="375"/>
      <c r="AD548" s="375"/>
      <c r="AE548" s="375"/>
      <c r="AF548" s="375"/>
    </row>
    <row r="549" spans="1:32" ht="8.4499999999999993" customHeight="1" x14ac:dyDescent="0.2">
      <c r="A549" s="252" t="str">
        <f t="shared" si="0"/>
        <v xml:space="preserve">05.002.000.005 </v>
      </c>
      <c r="B549" s="219">
        <v>58</v>
      </c>
      <c r="C549" s="957" t="s">
        <v>2425</v>
      </c>
      <c r="D549" s="957" t="s">
        <v>8</v>
      </c>
      <c r="E549" s="219">
        <v>57</v>
      </c>
      <c r="F549" s="957" t="s">
        <v>2408</v>
      </c>
      <c r="G549" s="957" t="s">
        <v>2420</v>
      </c>
      <c r="H549" s="148">
        <v>0.02</v>
      </c>
      <c r="I549" s="146">
        <v>71</v>
      </c>
      <c r="J549" s="146">
        <v>58.085099999999997</v>
      </c>
      <c r="K549" s="146">
        <v>32.922699999999999</v>
      </c>
      <c r="L549" s="147">
        <v>81.81</v>
      </c>
      <c r="M549" s="147">
        <v>46.37</v>
      </c>
      <c r="N549" s="148">
        <v>0.01</v>
      </c>
      <c r="O549" s="148">
        <v>0.01</v>
      </c>
      <c r="P549" s="118" t="s">
        <v>2036</v>
      </c>
      <c r="Q549" s="375"/>
      <c r="R549" s="375"/>
      <c r="S549" s="375"/>
      <c r="T549" s="375"/>
      <c r="U549" s="375"/>
      <c r="V549" s="375"/>
      <c r="W549" s="375"/>
      <c r="X549" s="375"/>
      <c r="Y549" s="375"/>
      <c r="Z549" s="375"/>
      <c r="AA549" s="375"/>
      <c r="AB549" s="375"/>
      <c r="AC549" s="375"/>
      <c r="AD549" s="375"/>
      <c r="AE549" s="375"/>
      <c r="AF549" s="375"/>
    </row>
    <row r="550" spans="1:32" ht="8.4499999999999993" customHeight="1" x14ac:dyDescent="0.2">
      <c r="A550" s="252" t="str">
        <f t="shared" si="0"/>
        <v xml:space="preserve">05.002.000.006 </v>
      </c>
      <c r="B550" s="219">
        <v>59</v>
      </c>
      <c r="C550" s="957" t="s">
        <v>2426</v>
      </c>
      <c r="D550" s="957" t="s">
        <v>94</v>
      </c>
      <c r="E550" s="219">
        <v>57</v>
      </c>
      <c r="F550" s="957" t="s">
        <v>2408</v>
      </c>
      <c r="G550" s="957" t="s">
        <v>2420</v>
      </c>
      <c r="H550" s="148">
        <v>0.54</v>
      </c>
      <c r="I550" s="144">
        <v>820.79</v>
      </c>
      <c r="J550" s="144">
        <v>671.48829999999998</v>
      </c>
      <c r="K550" s="144">
        <v>396.19529999999997</v>
      </c>
      <c r="L550" s="147">
        <v>81.81</v>
      </c>
      <c r="M550" s="147">
        <v>48.27</v>
      </c>
      <c r="N550" s="148">
        <v>0.44</v>
      </c>
      <c r="O550" s="148">
        <v>0.26</v>
      </c>
      <c r="P550" s="118" t="s">
        <v>2791</v>
      </c>
      <c r="Q550" s="375"/>
      <c r="R550" s="375"/>
      <c r="S550" s="375"/>
      <c r="T550" s="375"/>
      <c r="U550" s="375"/>
      <c r="V550" s="375"/>
      <c r="W550" s="375"/>
      <c r="X550" s="375"/>
      <c r="Y550" s="375"/>
      <c r="Z550" s="375"/>
      <c r="AA550" s="375"/>
      <c r="AB550" s="375"/>
      <c r="AC550" s="375"/>
      <c r="AD550" s="375"/>
      <c r="AE550" s="375"/>
      <c r="AF550" s="375"/>
    </row>
    <row r="551" spans="1:32" ht="8.4499999999999993" customHeight="1" x14ac:dyDescent="0.2">
      <c r="A551" s="252" t="str">
        <f t="shared" si="0"/>
        <v xml:space="preserve">05.003 </v>
      </c>
      <c r="B551" s="115">
        <v>60</v>
      </c>
      <c r="C551" s="137" t="s">
        <v>2427</v>
      </c>
      <c r="D551" s="137"/>
      <c r="E551" s="115">
        <v>33</v>
      </c>
      <c r="F551" s="137" t="s">
        <v>1555</v>
      </c>
      <c r="G551" s="137" t="s">
        <v>2409</v>
      </c>
      <c r="H551" s="138"/>
      <c r="I551" s="138"/>
      <c r="J551" s="138"/>
      <c r="K551" s="138"/>
      <c r="L551" s="138"/>
      <c r="M551" s="138"/>
      <c r="N551" s="138"/>
      <c r="O551" s="138"/>
      <c r="P551" s="138"/>
      <c r="Q551" s="381"/>
      <c r="R551" s="381"/>
      <c r="S551" s="381"/>
      <c r="T551" s="379"/>
      <c r="U551" s="379"/>
      <c r="V551" s="379"/>
      <c r="W551" s="379"/>
      <c r="X551" s="380"/>
      <c r="Y551" s="381"/>
      <c r="Z551" s="381"/>
      <c r="AA551" s="381"/>
      <c r="AB551" s="379"/>
      <c r="AC551" s="379"/>
      <c r="AD551" s="379"/>
      <c r="AE551" s="379"/>
      <c r="AF551" s="380"/>
    </row>
    <row r="552" spans="1:32" ht="8.4499999999999993" customHeight="1" x14ac:dyDescent="0.2">
      <c r="A552" s="252" t="str">
        <f t="shared" si="0"/>
        <v xml:space="preserve">05.003.001 </v>
      </c>
      <c r="B552" s="115">
        <v>61</v>
      </c>
      <c r="C552" s="137" t="s">
        <v>2428</v>
      </c>
      <c r="D552" s="137"/>
      <c r="E552" s="115">
        <v>34</v>
      </c>
      <c r="F552" s="137" t="s">
        <v>1555</v>
      </c>
      <c r="G552" s="137" t="s">
        <v>2409</v>
      </c>
      <c r="H552" s="138"/>
      <c r="I552" s="138"/>
      <c r="J552" s="138"/>
      <c r="K552" s="138"/>
      <c r="L552" s="138"/>
      <c r="M552" s="138"/>
      <c r="N552" s="138"/>
      <c r="O552" s="138"/>
      <c r="P552" s="138"/>
      <c r="Q552" s="377"/>
      <c r="R552" s="381"/>
      <c r="S552" s="381"/>
      <c r="T552" s="379"/>
      <c r="U552" s="379"/>
      <c r="V552" s="379"/>
      <c r="W552" s="379"/>
      <c r="X552" s="380"/>
      <c r="Y552" s="377"/>
      <c r="Z552" s="381"/>
      <c r="AA552" s="381"/>
      <c r="AB552" s="379"/>
      <c r="AC552" s="379"/>
      <c r="AD552" s="379"/>
      <c r="AE552" s="379"/>
      <c r="AF552" s="380"/>
    </row>
    <row r="553" spans="1:32" ht="8.4499999999999993" customHeight="1" x14ac:dyDescent="0.2">
      <c r="A553" s="252" t="str">
        <f t="shared" si="0"/>
        <v xml:space="preserve">05.003.001.001 </v>
      </c>
      <c r="B553" s="219">
        <v>62</v>
      </c>
      <c r="C553" s="957" t="s">
        <v>2429</v>
      </c>
      <c r="D553" s="957" t="s">
        <v>94</v>
      </c>
      <c r="E553" s="219">
        <v>33</v>
      </c>
      <c r="F553" s="957" t="s">
        <v>1555</v>
      </c>
      <c r="G553" s="957" t="s">
        <v>2409</v>
      </c>
      <c r="H553" s="148">
        <v>0.09</v>
      </c>
      <c r="I553" s="146">
        <v>46.83</v>
      </c>
      <c r="J553" s="139">
        <v>0</v>
      </c>
      <c r="K553" s="139">
        <v>0</v>
      </c>
      <c r="L553" s="148">
        <v>0</v>
      </c>
      <c r="M553" s="148">
        <v>0</v>
      </c>
      <c r="N553" s="148">
        <v>0</v>
      </c>
      <c r="O553" s="148">
        <v>0</v>
      </c>
      <c r="P553" s="118"/>
      <c r="Q553" s="381"/>
      <c r="R553" s="381"/>
      <c r="S553" s="381"/>
      <c r="T553" s="379"/>
      <c r="U553" s="379"/>
      <c r="V553" s="379"/>
      <c r="W553" s="379"/>
      <c r="X553" s="380"/>
      <c r="Y553" s="381"/>
      <c r="Z553" s="381"/>
      <c r="AA553" s="381"/>
      <c r="AB553" s="379"/>
      <c r="AC553" s="379"/>
      <c r="AD553" s="379"/>
      <c r="AE553" s="379"/>
      <c r="AF553" s="380"/>
    </row>
    <row r="554" spans="1:32" ht="8.4499999999999993" customHeight="1" x14ac:dyDescent="0.2">
      <c r="A554" s="252" t="str">
        <f t="shared" si="0"/>
        <v xml:space="preserve">05.003.001.002 </v>
      </c>
      <c r="B554" s="219">
        <v>63</v>
      </c>
      <c r="C554" s="957" t="s">
        <v>2430</v>
      </c>
      <c r="D554" s="957" t="s">
        <v>90</v>
      </c>
      <c r="E554" s="219">
        <v>33</v>
      </c>
      <c r="F554" s="957" t="s">
        <v>1555</v>
      </c>
      <c r="G554" s="957" t="s">
        <v>2409</v>
      </c>
      <c r="H554" s="148">
        <v>0.18</v>
      </c>
      <c r="I554" s="144">
        <v>246.49</v>
      </c>
      <c r="J554" s="139">
        <v>0</v>
      </c>
      <c r="K554" s="139">
        <v>0</v>
      </c>
      <c r="L554" s="148">
        <v>0</v>
      </c>
      <c r="M554" s="148">
        <v>0</v>
      </c>
      <c r="N554" s="148">
        <v>0</v>
      </c>
      <c r="O554" s="148">
        <v>0</v>
      </c>
      <c r="P554" s="118"/>
      <c r="Q554" s="381"/>
      <c r="R554" s="381"/>
      <c r="S554" s="381"/>
      <c r="T554" s="379"/>
      <c r="U554" s="379"/>
      <c r="V554" s="379"/>
      <c r="W554" s="379"/>
      <c r="X554" s="380"/>
      <c r="Y554" s="381"/>
      <c r="Z554" s="381"/>
      <c r="AA554" s="381"/>
      <c r="AB554" s="379"/>
      <c r="AC554" s="379"/>
      <c r="AD554" s="379"/>
      <c r="AE554" s="379"/>
      <c r="AF554" s="380"/>
    </row>
    <row r="555" spans="1:32" ht="8.4499999999999993" customHeight="1" x14ac:dyDescent="0.2">
      <c r="A555" s="252" t="str">
        <f t="shared" si="0"/>
        <v xml:space="preserve">05.003.001.003 </v>
      </c>
      <c r="B555" s="219">
        <v>64</v>
      </c>
      <c r="C555" s="957" t="s">
        <v>2431</v>
      </c>
      <c r="D555" s="957" t="s">
        <v>101</v>
      </c>
      <c r="E555" s="219">
        <v>33</v>
      </c>
      <c r="F555" s="957" t="s">
        <v>1555</v>
      </c>
      <c r="G555" s="957" t="s">
        <v>2409</v>
      </c>
      <c r="H555" s="148">
        <v>0.13</v>
      </c>
      <c r="I555" s="142">
        <v>1873.32</v>
      </c>
      <c r="J555" s="139">
        <v>0</v>
      </c>
      <c r="K555" s="139">
        <v>0</v>
      </c>
      <c r="L555" s="148">
        <v>0</v>
      </c>
      <c r="M555" s="148">
        <v>0</v>
      </c>
      <c r="N555" s="148">
        <v>0</v>
      </c>
      <c r="O555" s="148">
        <v>0</v>
      </c>
      <c r="P555" s="118"/>
      <c r="Q555" s="381"/>
      <c r="R555" s="381"/>
      <c r="S555" s="381"/>
      <c r="T555" s="379"/>
      <c r="U555" s="379"/>
      <c r="V555" s="379"/>
      <c r="W555" s="379"/>
      <c r="X555" s="380"/>
      <c r="Y555" s="381"/>
      <c r="Z555" s="381"/>
      <c r="AA555" s="381"/>
      <c r="AB555" s="379"/>
      <c r="AC555" s="379"/>
      <c r="AD555" s="379"/>
      <c r="AE555" s="379"/>
      <c r="AF555" s="380"/>
    </row>
    <row r="556" spans="1:32" ht="8.4499999999999993" customHeight="1" x14ac:dyDescent="0.2">
      <c r="A556" s="252" t="str">
        <f t="shared" ref="A556:A619" si="1">VLOOKUP($C556&amp;$B556,$A$2008:$G$2532,2,0)</f>
        <v xml:space="preserve">05.003.001.004 </v>
      </c>
      <c r="B556" s="219">
        <v>65</v>
      </c>
      <c r="C556" s="957" t="s">
        <v>2432</v>
      </c>
      <c r="D556" s="957" t="s">
        <v>94</v>
      </c>
      <c r="E556" s="219">
        <v>33</v>
      </c>
      <c r="F556" s="957" t="s">
        <v>1555</v>
      </c>
      <c r="G556" s="957" t="s">
        <v>2409</v>
      </c>
      <c r="H556" s="148">
        <v>0.08</v>
      </c>
      <c r="I556" s="146">
        <v>23.41</v>
      </c>
      <c r="J556" s="139">
        <v>0</v>
      </c>
      <c r="K556" s="139">
        <v>0</v>
      </c>
      <c r="L556" s="148">
        <v>0</v>
      </c>
      <c r="M556" s="148">
        <v>0</v>
      </c>
      <c r="N556" s="148">
        <v>0</v>
      </c>
      <c r="O556" s="148">
        <v>0</v>
      </c>
      <c r="P556" s="118"/>
      <c r="Q556" s="381"/>
      <c r="R556" s="381"/>
      <c r="S556" s="381"/>
      <c r="T556" s="379"/>
      <c r="U556" s="379"/>
      <c r="V556" s="379"/>
      <c r="W556" s="379"/>
      <c r="X556" s="380"/>
      <c r="Y556" s="381"/>
      <c r="Z556" s="381"/>
      <c r="AA556" s="381"/>
      <c r="AB556" s="379"/>
      <c r="AC556" s="379"/>
      <c r="AD556" s="379"/>
      <c r="AE556" s="379"/>
      <c r="AF556" s="380"/>
    </row>
    <row r="557" spans="1:32" ht="8.4499999999999993" customHeight="1" x14ac:dyDescent="0.2">
      <c r="A557" s="252" t="str">
        <f t="shared" si="1"/>
        <v xml:space="preserve">05.003.001.005 </v>
      </c>
      <c r="B557" s="219">
        <v>66</v>
      </c>
      <c r="C557" s="957" t="s">
        <v>2433</v>
      </c>
      <c r="D557" s="957" t="s">
        <v>94</v>
      </c>
      <c r="E557" s="219">
        <v>33</v>
      </c>
      <c r="F557" s="957" t="s">
        <v>1555</v>
      </c>
      <c r="G557" s="957" t="s">
        <v>2409</v>
      </c>
      <c r="H557" s="148">
        <v>0.04</v>
      </c>
      <c r="I557" s="146">
        <v>65.569999999999993</v>
      </c>
      <c r="J557" s="139">
        <v>0</v>
      </c>
      <c r="K557" s="139">
        <v>0</v>
      </c>
      <c r="L557" s="148">
        <v>0</v>
      </c>
      <c r="M557" s="148">
        <v>0</v>
      </c>
      <c r="N557" s="148">
        <v>0</v>
      </c>
      <c r="O557" s="148">
        <v>0</v>
      </c>
      <c r="P557" s="118"/>
      <c r="Q557" s="375"/>
      <c r="R557" s="375"/>
      <c r="S557" s="375"/>
      <c r="T557" s="375"/>
      <c r="U557" s="375"/>
      <c r="V557" s="375"/>
      <c r="W557" s="375"/>
      <c r="X557" s="375"/>
      <c r="Y557" s="375"/>
      <c r="Z557" s="375"/>
      <c r="AA557" s="375"/>
      <c r="AB557" s="375"/>
      <c r="AC557" s="375"/>
      <c r="AD557" s="375"/>
      <c r="AE557" s="375"/>
      <c r="AF557" s="375"/>
    </row>
    <row r="558" spans="1:32" ht="8.4499999999999993" customHeight="1" x14ac:dyDescent="0.2">
      <c r="A558" s="252" t="str">
        <f t="shared" si="1"/>
        <v xml:space="preserve">06 </v>
      </c>
      <c r="B558" s="115">
        <v>67</v>
      </c>
      <c r="C558" s="137" t="s">
        <v>337</v>
      </c>
      <c r="D558" s="137"/>
      <c r="E558" s="116">
        <v>138</v>
      </c>
      <c r="F558" s="137" t="s">
        <v>1950</v>
      </c>
      <c r="G558" s="137" t="s">
        <v>2176</v>
      </c>
      <c r="H558" s="138"/>
      <c r="I558" s="138"/>
      <c r="J558" s="138"/>
      <c r="K558" s="138"/>
      <c r="L558" s="138"/>
      <c r="M558" s="138"/>
      <c r="N558" s="138"/>
      <c r="O558" s="138"/>
      <c r="P558" s="138"/>
      <c r="Q558" s="381"/>
      <c r="R558" s="381"/>
      <c r="S558" s="381"/>
      <c r="T558" s="379"/>
      <c r="U558" s="379"/>
      <c r="V558" s="379"/>
      <c r="W558" s="379"/>
      <c r="X558" s="380"/>
      <c r="Y558" s="381"/>
      <c r="Z558" s="381"/>
      <c r="AA558" s="381"/>
      <c r="AB558" s="379"/>
      <c r="AC558" s="379"/>
      <c r="AD558" s="379"/>
      <c r="AE558" s="379"/>
      <c r="AF558" s="380"/>
    </row>
    <row r="559" spans="1:32" ht="8.4499999999999993" customHeight="1" x14ac:dyDescent="0.2">
      <c r="A559" s="252" t="str">
        <f t="shared" si="1"/>
        <v xml:space="preserve">06.000.000.001 </v>
      </c>
      <c r="B559" s="219">
        <v>68</v>
      </c>
      <c r="C559" s="957" t="s">
        <v>2434</v>
      </c>
      <c r="D559" s="957" t="s">
        <v>90</v>
      </c>
      <c r="E559" s="707">
        <v>138</v>
      </c>
      <c r="F559" s="957" t="s">
        <v>1950</v>
      </c>
      <c r="G559" s="957" t="s">
        <v>2176</v>
      </c>
      <c r="H559" s="148">
        <v>5.19</v>
      </c>
      <c r="I559" s="142">
        <v>7237.57</v>
      </c>
      <c r="J559" s="139">
        <v>0</v>
      </c>
      <c r="K559" s="139">
        <v>0</v>
      </c>
      <c r="L559" s="148">
        <v>0</v>
      </c>
      <c r="M559" s="148">
        <v>0</v>
      </c>
      <c r="N559" s="148">
        <v>0</v>
      </c>
      <c r="O559" s="148">
        <v>0</v>
      </c>
      <c r="P559" s="118"/>
      <c r="Q559" s="381"/>
      <c r="R559" s="381"/>
      <c r="S559" s="381"/>
      <c r="T559" s="379"/>
      <c r="U559" s="379"/>
      <c r="V559" s="379"/>
      <c r="W559" s="379"/>
      <c r="X559" s="380"/>
      <c r="Y559" s="381"/>
      <c r="Z559" s="381"/>
      <c r="AA559" s="381"/>
      <c r="AB559" s="379"/>
      <c r="AC559" s="379"/>
      <c r="AD559" s="379"/>
      <c r="AE559" s="379"/>
      <c r="AF559" s="380"/>
    </row>
    <row r="560" spans="1:32" ht="8.4499999999999993" customHeight="1" x14ac:dyDescent="0.2">
      <c r="A560" s="252" t="str">
        <f t="shared" si="1"/>
        <v xml:space="preserve">06.000.000.002 </v>
      </c>
      <c r="B560" s="219">
        <v>69</v>
      </c>
      <c r="C560" s="957" t="s">
        <v>2431</v>
      </c>
      <c r="D560" s="957" t="s">
        <v>101</v>
      </c>
      <c r="E560" s="707">
        <v>138</v>
      </c>
      <c r="F560" s="957" t="s">
        <v>1950</v>
      </c>
      <c r="G560" s="957" t="s">
        <v>2176</v>
      </c>
      <c r="H560" s="148">
        <v>4.66</v>
      </c>
      <c r="I560" s="140">
        <v>64466.71</v>
      </c>
      <c r="J560" s="139">
        <v>0</v>
      </c>
      <c r="K560" s="139">
        <v>0</v>
      </c>
      <c r="L560" s="148">
        <v>0</v>
      </c>
      <c r="M560" s="148">
        <v>0</v>
      </c>
      <c r="N560" s="148">
        <v>0</v>
      </c>
      <c r="O560" s="148">
        <v>0</v>
      </c>
      <c r="P560" s="118"/>
      <c r="Q560" s="381"/>
      <c r="R560" s="381"/>
      <c r="S560" s="381"/>
      <c r="T560" s="379"/>
      <c r="U560" s="379"/>
      <c r="V560" s="379"/>
      <c r="W560" s="379"/>
      <c r="X560" s="380"/>
      <c r="Y560" s="381"/>
      <c r="Z560" s="381"/>
      <c r="AA560" s="381"/>
      <c r="AB560" s="379"/>
      <c r="AC560" s="379"/>
      <c r="AD560" s="379"/>
      <c r="AE560" s="379"/>
      <c r="AF560" s="380"/>
    </row>
    <row r="561" spans="1:32" ht="8.4499999999999993" customHeight="1" x14ac:dyDescent="0.2">
      <c r="A561" s="252" t="str">
        <f t="shared" si="1"/>
        <v xml:space="preserve">06.000.000.003 </v>
      </c>
      <c r="B561" s="219">
        <v>70</v>
      </c>
      <c r="C561" s="957" t="s">
        <v>2435</v>
      </c>
      <c r="D561" s="957" t="s">
        <v>94</v>
      </c>
      <c r="E561" s="707">
        <v>138</v>
      </c>
      <c r="F561" s="957" t="s">
        <v>1950</v>
      </c>
      <c r="G561" s="957" t="s">
        <v>2176</v>
      </c>
      <c r="H561" s="148">
        <v>2.6</v>
      </c>
      <c r="I561" s="144">
        <v>805.83</v>
      </c>
      <c r="J561" s="139">
        <v>0</v>
      </c>
      <c r="K561" s="139">
        <v>0</v>
      </c>
      <c r="L561" s="148">
        <v>0</v>
      </c>
      <c r="M561" s="148">
        <v>0</v>
      </c>
      <c r="N561" s="148">
        <v>0</v>
      </c>
      <c r="O561" s="148">
        <v>0</v>
      </c>
      <c r="P561" s="118"/>
      <c r="Q561" s="375"/>
      <c r="R561" s="375"/>
      <c r="S561" s="375"/>
      <c r="T561" s="375"/>
      <c r="U561" s="375"/>
      <c r="V561" s="375"/>
      <c r="W561" s="375"/>
      <c r="X561" s="375"/>
      <c r="Y561" s="375"/>
      <c r="Z561" s="375"/>
      <c r="AA561" s="375"/>
      <c r="AB561" s="375"/>
      <c r="AC561" s="375"/>
      <c r="AD561" s="375"/>
      <c r="AE561" s="375"/>
      <c r="AF561" s="375"/>
    </row>
    <row r="562" spans="1:32" ht="8.4499999999999993" customHeight="1" x14ac:dyDescent="0.2">
      <c r="A562" s="252" t="str">
        <f t="shared" si="1"/>
        <v xml:space="preserve">06.000.000.004 </v>
      </c>
      <c r="B562" s="219">
        <v>71</v>
      </c>
      <c r="C562" s="957" t="s">
        <v>2436</v>
      </c>
      <c r="D562" s="957" t="s">
        <v>90</v>
      </c>
      <c r="E562" s="707">
        <v>138</v>
      </c>
      <c r="F562" s="957" t="s">
        <v>1950</v>
      </c>
      <c r="G562" s="957" t="s">
        <v>2176</v>
      </c>
      <c r="H562" s="148">
        <v>0.22</v>
      </c>
      <c r="I562" s="142">
        <v>2934.61</v>
      </c>
      <c r="J562" s="139">
        <v>0</v>
      </c>
      <c r="K562" s="139">
        <v>0</v>
      </c>
      <c r="L562" s="148">
        <v>0</v>
      </c>
      <c r="M562" s="148">
        <v>0</v>
      </c>
      <c r="N562" s="148">
        <v>0</v>
      </c>
      <c r="O562" s="148">
        <v>0</v>
      </c>
      <c r="P562" s="118"/>
      <c r="Q562" s="377"/>
      <c r="R562" s="381"/>
      <c r="S562" s="381"/>
      <c r="T562" s="379"/>
      <c r="U562" s="379"/>
      <c r="V562" s="379"/>
      <c r="W562" s="379"/>
      <c r="X562" s="380"/>
      <c r="Y562" s="377"/>
      <c r="Z562" s="381"/>
      <c r="AA562" s="381"/>
      <c r="AB562" s="379"/>
      <c r="AC562" s="379"/>
      <c r="AD562" s="379"/>
      <c r="AE562" s="379"/>
      <c r="AF562" s="380"/>
    </row>
    <row r="563" spans="1:32" ht="8.4499999999999993" customHeight="1" x14ac:dyDescent="0.2">
      <c r="A563" s="252" t="str">
        <f t="shared" si="1"/>
        <v xml:space="preserve">07 </v>
      </c>
      <c r="B563" s="115">
        <v>72</v>
      </c>
      <c r="C563" s="137" t="s">
        <v>338</v>
      </c>
      <c r="D563" s="137"/>
      <c r="E563" s="116">
        <v>290</v>
      </c>
      <c r="F563" s="137" t="s">
        <v>2437</v>
      </c>
      <c r="G563" s="137" t="s">
        <v>2026</v>
      </c>
      <c r="H563" s="138"/>
      <c r="I563" s="138"/>
      <c r="J563" s="138"/>
      <c r="K563" s="138"/>
      <c r="L563" s="138"/>
      <c r="M563" s="138"/>
      <c r="N563" s="138"/>
      <c r="O563" s="138"/>
      <c r="P563" s="138"/>
      <c r="Q563" s="375"/>
      <c r="R563" s="375"/>
      <c r="S563" s="375"/>
      <c r="T563" s="375"/>
      <c r="U563" s="375"/>
      <c r="V563" s="375"/>
      <c r="W563" s="375"/>
      <c r="X563" s="375"/>
      <c r="Y563" s="375"/>
      <c r="Z563" s="375"/>
      <c r="AA563" s="375"/>
      <c r="AB563" s="375"/>
      <c r="AC563" s="375"/>
      <c r="AD563" s="375"/>
      <c r="AE563" s="375"/>
      <c r="AF563" s="375"/>
    </row>
    <row r="564" spans="1:32" ht="8.4499999999999993" customHeight="1" x14ac:dyDescent="0.2">
      <c r="A564" s="252" t="str">
        <f t="shared" si="1"/>
        <v xml:space="preserve">07.001 </v>
      </c>
      <c r="B564" s="115">
        <v>73</v>
      </c>
      <c r="C564" s="137" t="s">
        <v>339</v>
      </c>
      <c r="D564" s="137"/>
      <c r="E564" s="116">
        <v>100</v>
      </c>
      <c r="F564" s="137" t="s">
        <v>2437</v>
      </c>
      <c r="G564" s="137" t="s">
        <v>2016</v>
      </c>
      <c r="H564" s="138"/>
      <c r="I564" s="138"/>
      <c r="J564" s="138"/>
      <c r="K564" s="138"/>
      <c r="L564" s="138"/>
      <c r="M564" s="138"/>
      <c r="N564" s="138"/>
      <c r="O564" s="138"/>
      <c r="P564" s="138"/>
      <c r="Q564" s="376"/>
      <c r="R564" s="381"/>
      <c r="S564" s="381"/>
      <c r="T564" s="379"/>
      <c r="U564" s="379"/>
      <c r="V564" s="379"/>
      <c r="W564" s="379"/>
      <c r="X564" s="380"/>
      <c r="Y564" s="376"/>
      <c r="Z564" s="381"/>
      <c r="AA564" s="381"/>
      <c r="AB564" s="379"/>
      <c r="AC564" s="379"/>
      <c r="AD564" s="379"/>
      <c r="AE564" s="379"/>
      <c r="AF564" s="380"/>
    </row>
    <row r="565" spans="1:32" ht="8.4499999999999993" customHeight="1" x14ac:dyDescent="0.2">
      <c r="A565" s="252" t="str">
        <f t="shared" si="1"/>
        <v xml:space="preserve">07.001.000.001 </v>
      </c>
      <c r="B565" s="219">
        <v>74</v>
      </c>
      <c r="C565" s="957" t="s">
        <v>2438</v>
      </c>
      <c r="D565" s="957" t="s">
        <v>90</v>
      </c>
      <c r="E565" s="707">
        <v>100</v>
      </c>
      <c r="F565" s="957" t="s">
        <v>2437</v>
      </c>
      <c r="G565" s="957" t="s">
        <v>2016</v>
      </c>
      <c r="H565" s="148">
        <v>0.05</v>
      </c>
      <c r="I565" s="144">
        <v>285.58999999999997</v>
      </c>
      <c r="J565" s="139">
        <v>0</v>
      </c>
      <c r="K565" s="139">
        <v>0</v>
      </c>
      <c r="L565" s="148">
        <v>0</v>
      </c>
      <c r="M565" s="148">
        <v>0</v>
      </c>
      <c r="N565" s="148">
        <v>0</v>
      </c>
      <c r="O565" s="148">
        <v>0</v>
      </c>
      <c r="P565" s="118"/>
      <c r="Q565" s="375"/>
      <c r="R565" s="375"/>
      <c r="S565" s="375"/>
      <c r="T565" s="375"/>
      <c r="U565" s="375"/>
      <c r="V565" s="375"/>
      <c r="W565" s="375"/>
      <c r="X565" s="375"/>
      <c r="Y565" s="375"/>
      <c r="Z565" s="375"/>
      <c r="AA565" s="375"/>
      <c r="AB565" s="375"/>
      <c r="AC565" s="375"/>
      <c r="AD565" s="375"/>
      <c r="AE565" s="375"/>
      <c r="AF565" s="375"/>
    </row>
    <row r="566" spans="1:32" ht="8.4499999999999993" customHeight="1" x14ac:dyDescent="0.2">
      <c r="A566" s="252" t="str">
        <f t="shared" si="1"/>
        <v xml:space="preserve">07.001.000.002 </v>
      </c>
      <c r="B566" s="219">
        <v>75</v>
      </c>
      <c r="C566" s="957" t="s">
        <v>2439</v>
      </c>
      <c r="D566" s="957" t="s">
        <v>90</v>
      </c>
      <c r="E566" s="707">
        <v>100</v>
      </c>
      <c r="F566" s="957" t="s">
        <v>2437</v>
      </c>
      <c r="G566" s="957" t="s">
        <v>2016</v>
      </c>
      <c r="H566" s="148">
        <v>0.68</v>
      </c>
      <c r="I566" s="142">
        <v>2731.92</v>
      </c>
      <c r="J566" s="139">
        <v>0</v>
      </c>
      <c r="K566" s="139">
        <v>0</v>
      </c>
      <c r="L566" s="148">
        <v>0</v>
      </c>
      <c r="M566" s="148">
        <v>0</v>
      </c>
      <c r="N566" s="148">
        <v>0</v>
      </c>
      <c r="O566" s="148">
        <v>0</v>
      </c>
      <c r="P566" s="118"/>
      <c r="Q566" s="377"/>
      <c r="R566" s="381"/>
      <c r="S566" s="381"/>
      <c r="T566" s="379"/>
      <c r="U566" s="379"/>
      <c r="V566" s="379"/>
      <c r="W566" s="379"/>
      <c r="X566" s="380"/>
      <c r="Y566" s="377"/>
      <c r="Z566" s="381"/>
      <c r="AA566" s="381"/>
      <c r="AB566" s="379"/>
      <c r="AC566" s="379"/>
      <c r="AD566" s="379"/>
      <c r="AE566" s="379"/>
      <c r="AF566" s="380"/>
    </row>
    <row r="567" spans="1:32" ht="8.4499999999999993" customHeight="1" x14ac:dyDescent="0.2">
      <c r="A567" s="252" t="str">
        <f t="shared" si="1"/>
        <v xml:space="preserve">07.001.000.003 </v>
      </c>
      <c r="B567" s="219">
        <v>76</v>
      </c>
      <c r="C567" s="957" t="s">
        <v>2440</v>
      </c>
      <c r="D567" s="957" t="s">
        <v>90</v>
      </c>
      <c r="E567" s="707">
        <v>100</v>
      </c>
      <c r="F567" s="957" t="s">
        <v>2437</v>
      </c>
      <c r="G567" s="957" t="s">
        <v>2016</v>
      </c>
      <c r="H567" s="148">
        <v>0.23</v>
      </c>
      <c r="I567" s="144">
        <v>632.16999999999996</v>
      </c>
      <c r="J567" s="139">
        <v>0</v>
      </c>
      <c r="K567" s="139">
        <v>0</v>
      </c>
      <c r="L567" s="148">
        <v>0</v>
      </c>
      <c r="M567" s="148">
        <v>0</v>
      </c>
      <c r="N567" s="148">
        <v>0</v>
      </c>
      <c r="O567" s="148">
        <v>0</v>
      </c>
      <c r="P567" s="118"/>
      <c r="Q567" s="377"/>
      <c r="R567" s="381"/>
      <c r="S567" s="381"/>
      <c r="T567" s="379"/>
      <c r="U567" s="379"/>
      <c r="V567" s="379"/>
      <c r="W567" s="379"/>
      <c r="X567" s="380"/>
      <c r="Y567" s="377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tr">
        <f t="shared" si="1"/>
        <v xml:space="preserve">07.001.000.004 </v>
      </c>
      <c r="B568" s="219">
        <v>77</v>
      </c>
      <c r="C568" s="957" t="s">
        <v>2441</v>
      </c>
      <c r="D568" s="957" t="s">
        <v>90</v>
      </c>
      <c r="E568" s="707">
        <v>100</v>
      </c>
      <c r="F568" s="957" t="s">
        <v>2437</v>
      </c>
      <c r="G568" s="957" t="s">
        <v>2016</v>
      </c>
      <c r="H568" s="148">
        <v>0.59</v>
      </c>
      <c r="I568" s="142">
        <v>3991.67</v>
      </c>
      <c r="J568" s="139">
        <v>0</v>
      </c>
      <c r="K568" s="139">
        <v>0</v>
      </c>
      <c r="L568" s="148">
        <v>0</v>
      </c>
      <c r="M568" s="148">
        <v>0</v>
      </c>
      <c r="N568" s="148">
        <v>0</v>
      </c>
      <c r="O568" s="148">
        <v>0</v>
      </c>
      <c r="P568" s="118"/>
      <c r="Q568" s="375"/>
      <c r="R568" s="375"/>
      <c r="S568" s="375"/>
      <c r="T568" s="375"/>
      <c r="U568" s="375"/>
      <c r="V568" s="375"/>
      <c r="W568" s="375"/>
      <c r="X568" s="375"/>
      <c r="Y568" s="375"/>
      <c r="Z568" s="375"/>
      <c r="AA568" s="375"/>
      <c r="AB568" s="375"/>
      <c r="AC568" s="375"/>
      <c r="AD568" s="375"/>
      <c r="AE568" s="375"/>
      <c r="AF568" s="375"/>
    </row>
    <row r="569" spans="1:32" ht="8.4499999999999993" customHeight="1" x14ac:dyDescent="0.2">
      <c r="A569" s="252" t="str">
        <f t="shared" si="1"/>
        <v xml:space="preserve">07.002 </v>
      </c>
      <c r="B569" s="115">
        <v>78</v>
      </c>
      <c r="C569" s="137" t="s">
        <v>2442</v>
      </c>
      <c r="D569" s="137"/>
      <c r="E569" s="115">
        <v>33</v>
      </c>
      <c r="F569" s="137" t="s">
        <v>2182</v>
      </c>
      <c r="G569" s="137" t="s">
        <v>2028</v>
      </c>
      <c r="H569" s="138"/>
      <c r="I569" s="138"/>
      <c r="J569" s="138"/>
      <c r="K569" s="138"/>
      <c r="L569" s="138"/>
      <c r="M569" s="138"/>
      <c r="N569" s="138"/>
      <c r="O569" s="138"/>
      <c r="P569" s="138"/>
      <c r="Q569" s="377"/>
      <c r="R569" s="381"/>
      <c r="S569" s="381"/>
      <c r="T569" s="379"/>
      <c r="U569" s="379"/>
      <c r="V569" s="379"/>
      <c r="W569" s="379"/>
      <c r="X569" s="380"/>
      <c r="Y569" s="377"/>
      <c r="Z569" s="381"/>
      <c r="AA569" s="381"/>
      <c r="AB569" s="379"/>
      <c r="AC569" s="379"/>
      <c r="AD569" s="379"/>
      <c r="AE569" s="379"/>
      <c r="AF569" s="380"/>
    </row>
    <row r="570" spans="1:32" ht="8.4499999999999993" customHeight="1" x14ac:dyDescent="0.2">
      <c r="A570" s="252" t="str">
        <f t="shared" si="1"/>
        <v xml:space="preserve">07.002.000.001 </v>
      </c>
      <c r="B570" s="219">
        <v>79</v>
      </c>
      <c r="C570" s="957" t="s">
        <v>2443</v>
      </c>
      <c r="D570" s="957" t="s">
        <v>90</v>
      </c>
      <c r="E570" s="219">
        <v>33</v>
      </c>
      <c r="F570" s="957" t="s">
        <v>2182</v>
      </c>
      <c r="G570" s="957" t="s">
        <v>2028</v>
      </c>
      <c r="H570" s="148">
        <v>0.12</v>
      </c>
      <c r="I570" s="144">
        <v>188.95</v>
      </c>
      <c r="J570" s="139">
        <v>0</v>
      </c>
      <c r="K570" s="139">
        <v>0</v>
      </c>
      <c r="L570" s="148">
        <v>0</v>
      </c>
      <c r="M570" s="148">
        <v>0</v>
      </c>
      <c r="N570" s="148">
        <v>0</v>
      </c>
      <c r="O570" s="148">
        <v>0</v>
      </c>
      <c r="P570" s="118"/>
      <c r="Q570" s="376"/>
      <c r="R570" s="381"/>
      <c r="S570" s="381"/>
      <c r="T570" s="379"/>
      <c r="U570" s="379"/>
      <c r="V570" s="379"/>
      <c r="W570" s="379"/>
      <c r="X570" s="380"/>
      <c r="Y570" s="376"/>
      <c r="Z570" s="381"/>
      <c r="AA570" s="381"/>
      <c r="AB570" s="379"/>
      <c r="AC570" s="379"/>
      <c r="AD570" s="379"/>
      <c r="AE570" s="379"/>
      <c r="AF570" s="380"/>
    </row>
    <row r="571" spans="1:32" ht="8.4499999999999993" customHeight="1" x14ac:dyDescent="0.2">
      <c r="A571" s="252" t="str">
        <f t="shared" si="1"/>
        <v xml:space="preserve">07.002.000.002 </v>
      </c>
      <c r="B571" s="219">
        <v>80</v>
      </c>
      <c r="C571" s="957" t="s">
        <v>2444</v>
      </c>
      <c r="D571" s="957" t="s">
        <v>90</v>
      </c>
      <c r="E571" s="219">
        <v>33</v>
      </c>
      <c r="F571" s="957" t="s">
        <v>2182</v>
      </c>
      <c r="G571" s="957" t="s">
        <v>2028</v>
      </c>
      <c r="H571" s="148">
        <v>0.04</v>
      </c>
      <c r="I571" s="144">
        <v>188.95</v>
      </c>
      <c r="J571" s="139">
        <v>0</v>
      </c>
      <c r="K571" s="139">
        <v>0</v>
      </c>
      <c r="L571" s="148">
        <v>0</v>
      </c>
      <c r="M571" s="148">
        <v>0</v>
      </c>
      <c r="N571" s="148">
        <v>0</v>
      </c>
      <c r="O571" s="148">
        <v>0</v>
      </c>
      <c r="P571" s="118"/>
      <c r="Q571" s="381"/>
      <c r="R571" s="381"/>
      <c r="S571" s="381"/>
      <c r="T571" s="379"/>
      <c r="U571" s="379"/>
      <c r="V571" s="379"/>
      <c r="W571" s="379"/>
      <c r="X571" s="380"/>
      <c r="Y571" s="381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tr">
        <f t="shared" si="1"/>
        <v xml:space="preserve">07.002.000.003 </v>
      </c>
      <c r="B572" s="219">
        <v>81</v>
      </c>
      <c r="C572" s="957" t="s">
        <v>2445</v>
      </c>
      <c r="D572" s="957" t="s">
        <v>90</v>
      </c>
      <c r="E572" s="219">
        <v>21</v>
      </c>
      <c r="F572" s="957" t="s">
        <v>2029</v>
      </c>
      <c r="G572" s="957" t="s">
        <v>2028</v>
      </c>
      <c r="H572" s="148">
        <v>0.03</v>
      </c>
      <c r="I572" s="146">
        <v>48.2</v>
      </c>
      <c r="J572" s="139">
        <v>0</v>
      </c>
      <c r="K572" s="139">
        <v>0</v>
      </c>
      <c r="L572" s="148">
        <v>0</v>
      </c>
      <c r="M572" s="148">
        <v>0</v>
      </c>
      <c r="N572" s="148">
        <v>0</v>
      </c>
      <c r="O572" s="148">
        <v>0</v>
      </c>
      <c r="P572" s="118"/>
      <c r="Q572" s="381"/>
      <c r="R572" s="381"/>
      <c r="S572" s="381"/>
      <c r="T572" s="379"/>
      <c r="U572" s="379"/>
      <c r="V572" s="379"/>
      <c r="W572" s="379"/>
      <c r="X572" s="380"/>
      <c r="Y572" s="381"/>
      <c r="Z572" s="381"/>
      <c r="AA572" s="381"/>
      <c r="AB572" s="379"/>
      <c r="AC572" s="379"/>
      <c r="AD572" s="379"/>
      <c r="AE572" s="379"/>
      <c r="AF572" s="380"/>
    </row>
    <row r="573" spans="1:32" ht="8.4499999999999993" customHeight="1" x14ac:dyDescent="0.2">
      <c r="A573" s="252" t="str">
        <f t="shared" si="1"/>
        <v xml:space="preserve">07.002.000.004 </v>
      </c>
      <c r="B573" s="219">
        <v>82</v>
      </c>
      <c r="C573" s="957" t="s">
        <v>2446</v>
      </c>
      <c r="D573" s="957" t="s">
        <v>90</v>
      </c>
      <c r="E573" s="219">
        <v>21</v>
      </c>
      <c r="F573" s="957" t="s">
        <v>2029</v>
      </c>
      <c r="G573" s="957" t="s">
        <v>2028</v>
      </c>
      <c r="H573" s="148">
        <v>0.03</v>
      </c>
      <c r="I573" s="146">
        <v>48.2</v>
      </c>
      <c r="J573" s="139">
        <v>0</v>
      </c>
      <c r="K573" s="139">
        <v>0</v>
      </c>
      <c r="L573" s="148">
        <v>0</v>
      </c>
      <c r="M573" s="148">
        <v>0</v>
      </c>
      <c r="N573" s="148">
        <v>0</v>
      </c>
      <c r="O573" s="148">
        <v>0</v>
      </c>
      <c r="P573" s="118"/>
      <c r="Q573" s="381"/>
      <c r="R573" s="381"/>
      <c r="S573" s="381"/>
      <c r="T573" s="379"/>
      <c r="U573" s="379"/>
      <c r="V573" s="379"/>
      <c r="W573" s="379"/>
      <c r="X573" s="380"/>
      <c r="Y573" s="381"/>
      <c r="Z573" s="381"/>
      <c r="AA573" s="381"/>
      <c r="AB573" s="379"/>
      <c r="AC573" s="379"/>
      <c r="AD573" s="379"/>
      <c r="AE573" s="379"/>
      <c r="AF573" s="380"/>
    </row>
    <row r="574" spans="1:32" ht="8.4499999999999993" customHeight="1" x14ac:dyDescent="0.2">
      <c r="A574" s="252" t="str">
        <f t="shared" si="1"/>
        <v xml:space="preserve">07.003 </v>
      </c>
      <c r="B574" s="115">
        <v>83</v>
      </c>
      <c r="C574" s="137" t="s">
        <v>340</v>
      </c>
      <c r="D574" s="137"/>
      <c r="E574" s="116">
        <v>100</v>
      </c>
      <c r="F574" s="137" t="s">
        <v>2437</v>
      </c>
      <c r="G574" s="137" t="s">
        <v>2016</v>
      </c>
      <c r="H574" s="138"/>
      <c r="I574" s="138"/>
      <c r="J574" s="138"/>
      <c r="K574" s="138"/>
      <c r="L574" s="138"/>
      <c r="M574" s="138"/>
      <c r="N574" s="138"/>
      <c r="O574" s="138"/>
      <c r="P574" s="138"/>
      <c r="Q574" s="377"/>
      <c r="R574" s="381"/>
      <c r="S574" s="381"/>
      <c r="T574" s="379"/>
      <c r="U574" s="379"/>
      <c r="V574" s="379"/>
      <c r="W574" s="379"/>
      <c r="X574" s="380"/>
      <c r="Y574" s="377"/>
      <c r="Z574" s="381"/>
      <c r="AA574" s="381"/>
      <c r="AB574" s="379"/>
      <c r="AC574" s="379"/>
      <c r="AD574" s="379"/>
      <c r="AE574" s="379"/>
      <c r="AF574" s="380"/>
    </row>
    <row r="575" spans="1:32" ht="8.4499999999999993" customHeight="1" x14ac:dyDescent="0.2">
      <c r="A575" s="252" t="str">
        <f t="shared" si="1"/>
        <v xml:space="preserve">07.003.000.001 </v>
      </c>
      <c r="B575" s="219">
        <v>84</v>
      </c>
      <c r="C575" s="957" t="s">
        <v>2447</v>
      </c>
      <c r="D575" s="957" t="s">
        <v>94</v>
      </c>
      <c r="E575" s="219">
        <v>59</v>
      </c>
      <c r="F575" s="957" t="s">
        <v>2031</v>
      </c>
      <c r="G575" s="957" t="s">
        <v>2448</v>
      </c>
      <c r="H575" s="148">
        <v>7.0000000000000007E-2</v>
      </c>
      <c r="I575" s="139">
        <v>4.71</v>
      </c>
      <c r="J575" s="139">
        <v>0</v>
      </c>
      <c r="K575" s="139">
        <v>0</v>
      </c>
      <c r="L575" s="148">
        <v>0</v>
      </c>
      <c r="M575" s="148">
        <v>0</v>
      </c>
      <c r="N575" s="148">
        <v>0</v>
      </c>
      <c r="O575" s="148">
        <v>0</v>
      </c>
      <c r="P575" s="118"/>
      <c r="Q575" s="381"/>
      <c r="R575" s="381"/>
      <c r="S575" s="381"/>
      <c r="T575" s="379"/>
      <c r="U575" s="379"/>
      <c r="V575" s="379"/>
      <c r="W575" s="379"/>
      <c r="X575" s="380"/>
      <c r="Y575" s="381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tr">
        <f t="shared" si="1"/>
        <v xml:space="preserve">07.003.000.002 </v>
      </c>
      <c r="B576" s="219">
        <v>85</v>
      </c>
      <c r="C576" s="957" t="s">
        <v>2449</v>
      </c>
      <c r="D576" s="957" t="s">
        <v>15</v>
      </c>
      <c r="E576" s="219">
        <v>59</v>
      </c>
      <c r="F576" s="957" t="s">
        <v>2031</v>
      </c>
      <c r="G576" s="957" t="s">
        <v>2448</v>
      </c>
      <c r="H576" s="148">
        <v>7.0000000000000007E-2</v>
      </c>
      <c r="I576" s="142">
        <v>1572.72</v>
      </c>
      <c r="J576" s="139">
        <v>0</v>
      </c>
      <c r="K576" s="139">
        <v>0</v>
      </c>
      <c r="L576" s="148">
        <v>0</v>
      </c>
      <c r="M576" s="148">
        <v>0</v>
      </c>
      <c r="N576" s="148">
        <v>0</v>
      </c>
      <c r="O576" s="148">
        <v>0</v>
      </c>
      <c r="P576" s="118"/>
      <c r="Q576" s="377"/>
      <c r="R576" s="381"/>
      <c r="S576" s="381"/>
      <c r="T576" s="379"/>
      <c r="U576" s="379"/>
      <c r="V576" s="379"/>
      <c r="W576" s="379"/>
      <c r="X576" s="380"/>
      <c r="Y576" s="377"/>
      <c r="Z576" s="381"/>
      <c r="AA576" s="381"/>
      <c r="AB576" s="379"/>
      <c r="AC576" s="379"/>
      <c r="AD576" s="379"/>
      <c r="AE576" s="379"/>
      <c r="AF576" s="380"/>
    </row>
    <row r="577" spans="1:32" ht="8.4499999999999993" customHeight="1" x14ac:dyDescent="0.2">
      <c r="A577" s="252" t="str">
        <f t="shared" si="1"/>
        <v xml:space="preserve">07.003.000.003 </v>
      </c>
      <c r="B577" s="219">
        <v>86</v>
      </c>
      <c r="C577" s="957" t="s">
        <v>2450</v>
      </c>
      <c r="D577" s="957" t="s">
        <v>94</v>
      </c>
      <c r="E577" s="707">
        <v>100</v>
      </c>
      <c r="F577" s="957" t="s">
        <v>2437</v>
      </c>
      <c r="G577" s="957" t="s">
        <v>2016</v>
      </c>
      <c r="H577" s="148">
        <v>0.15</v>
      </c>
      <c r="I577" s="146">
        <v>14.24</v>
      </c>
      <c r="J577" s="139">
        <v>0</v>
      </c>
      <c r="K577" s="139">
        <v>0</v>
      </c>
      <c r="L577" s="148">
        <v>0</v>
      </c>
      <c r="M577" s="148">
        <v>0</v>
      </c>
      <c r="N577" s="148">
        <v>0</v>
      </c>
      <c r="O577" s="148">
        <v>0</v>
      </c>
      <c r="P577" s="118"/>
      <c r="Q577" s="375"/>
      <c r="R577" s="375"/>
      <c r="S577" s="375"/>
      <c r="T577" s="375"/>
      <c r="U577" s="375"/>
      <c r="V577" s="375"/>
      <c r="W577" s="375"/>
      <c r="X577" s="375"/>
      <c r="Y577" s="375"/>
      <c r="Z577" s="375"/>
      <c r="AA577" s="375"/>
      <c r="AB577" s="375"/>
      <c r="AC577" s="375"/>
      <c r="AD577" s="375"/>
      <c r="AE577" s="375"/>
      <c r="AF577" s="375"/>
    </row>
    <row r="578" spans="1:32" ht="8.4499999999999993" customHeight="1" x14ac:dyDescent="0.2">
      <c r="A578" s="252" t="str">
        <f t="shared" si="1"/>
        <v xml:space="preserve">07.004 </v>
      </c>
      <c r="B578" s="115">
        <v>87</v>
      </c>
      <c r="C578" s="137" t="s">
        <v>1556</v>
      </c>
      <c r="D578" s="137"/>
      <c r="E578" s="116">
        <v>168</v>
      </c>
      <c r="F578" s="137" t="s">
        <v>2172</v>
      </c>
      <c r="G578" s="137" t="s">
        <v>2026</v>
      </c>
      <c r="H578" s="138"/>
      <c r="I578" s="138"/>
      <c r="J578" s="138"/>
      <c r="K578" s="138"/>
      <c r="L578" s="138"/>
      <c r="M578" s="138"/>
      <c r="N578" s="138"/>
      <c r="O578" s="138"/>
      <c r="P578" s="138"/>
      <c r="Q578" s="375"/>
      <c r="R578" s="375"/>
      <c r="S578" s="375"/>
      <c r="T578" s="375"/>
      <c r="U578" s="375"/>
      <c r="V578" s="375"/>
      <c r="W578" s="375"/>
      <c r="X578" s="375"/>
      <c r="Y578" s="375"/>
      <c r="Z578" s="375"/>
      <c r="AA578" s="375"/>
      <c r="AB578" s="375"/>
      <c r="AC578" s="375"/>
      <c r="AD578" s="375"/>
      <c r="AE578" s="375"/>
      <c r="AF578" s="375"/>
    </row>
    <row r="579" spans="1:32" ht="8.4499999999999993" customHeight="1" x14ac:dyDescent="0.2">
      <c r="A579" s="252" t="str">
        <f t="shared" si="1"/>
        <v xml:space="preserve">07.004.000.001 </v>
      </c>
      <c r="B579" s="219">
        <v>88</v>
      </c>
      <c r="C579" s="957" t="s">
        <v>2451</v>
      </c>
      <c r="D579" s="957" t="s">
        <v>8</v>
      </c>
      <c r="E579" s="219">
        <v>42</v>
      </c>
      <c r="F579" s="957" t="s">
        <v>2009</v>
      </c>
      <c r="G579" s="957" t="s">
        <v>2013</v>
      </c>
      <c r="H579" s="148">
        <v>0.02</v>
      </c>
      <c r="I579" s="146">
        <v>10</v>
      </c>
      <c r="J579" s="139">
        <v>0</v>
      </c>
      <c r="K579" s="139">
        <v>0</v>
      </c>
      <c r="L579" s="148">
        <v>0</v>
      </c>
      <c r="M579" s="148">
        <v>0</v>
      </c>
      <c r="N579" s="148">
        <v>0</v>
      </c>
      <c r="O579" s="148">
        <v>0</v>
      </c>
      <c r="P579" s="118"/>
      <c r="Q579" s="376"/>
      <c r="R579" s="381"/>
      <c r="S579" s="381"/>
      <c r="T579" s="379"/>
      <c r="U579" s="379"/>
      <c r="V579" s="379"/>
      <c r="W579" s="379"/>
      <c r="X579" s="380"/>
      <c r="Y579" s="376"/>
      <c r="Z579" s="381"/>
      <c r="AA579" s="381"/>
      <c r="AB579" s="379"/>
      <c r="AC579" s="379"/>
      <c r="AD579" s="379"/>
      <c r="AE579" s="379"/>
      <c r="AF579" s="380"/>
    </row>
    <row r="580" spans="1:32" ht="8.4499999999999993" customHeight="1" x14ac:dyDescent="0.2">
      <c r="A580" s="252" t="str">
        <f t="shared" si="1"/>
        <v xml:space="preserve">07.004.000.002 </v>
      </c>
      <c r="B580" s="219">
        <v>89</v>
      </c>
      <c r="C580" s="957" t="s">
        <v>2452</v>
      </c>
      <c r="D580" s="957" t="s">
        <v>8</v>
      </c>
      <c r="E580" s="219">
        <v>27</v>
      </c>
      <c r="F580" s="957" t="s">
        <v>2172</v>
      </c>
      <c r="G580" s="957" t="s">
        <v>2453</v>
      </c>
      <c r="H580" s="148">
        <v>0.08</v>
      </c>
      <c r="I580" s="146">
        <v>46</v>
      </c>
      <c r="J580" s="139">
        <v>0</v>
      </c>
      <c r="K580" s="139">
        <v>0</v>
      </c>
      <c r="L580" s="148">
        <v>0</v>
      </c>
      <c r="M580" s="148">
        <v>0</v>
      </c>
      <c r="N580" s="148">
        <v>0</v>
      </c>
      <c r="O580" s="148">
        <v>0</v>
      </c>
      <c r="P580" s="118"/>
      <c r="Q580" s="376"/>
      <c r="R580" s="381"/>
      <c r="S580" s="381"/>
      <c r="T580" s="379"/>
      <c r="U580" s="379"/>
      <c r="V580" s="379"/>
      <c r="W580" s="379"/>
      <c r="X580" s="380"/>
      <c r="Y580" s="376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tr">
        <f t="shared" si="1"/>
        <v xml:space="preserve">07.004.000.003 </v>
      </c>
      <c r="B581" s="219">
        <v>90</v>
      </c>
      <c r="C581" s="957" t="s">
        <v>2454</v>
      </c>
      <c r="D581" s="957" t="s">
        <v>90</v>
      </c>
      <c r="E581" s="219">
        <v>41</v>
      </c>
      <c r="F581" s="957" t="s">
        <v>2033</v>
      </c>
      <c r="G581" s="957" t="s">
        <v>2026</v>
      </c>
      <c r="H581" s="148">
        <v>0.13</v>
      </c>
      <c r="I581" s="146">
        <v>31.32</v>
      </c>
      <c r="J581" s="139">
        <v>0</v>
      </c>
      <c r="K581" s="139">
        <v>0</v>
      </c>
      <c r="L581" s="148">
        <v>0</v>
      </c>
      <c r="M581" s="148">
        <v>0</v>
      </c>
      <c r="N581" s="148">
        <v>0</v>
      </c>
      <c r="O581" s="148">
        <v>0</v>
      </c>
      <c r="P581" s="118"/>
      <c r="Q581" s="375"/>
      <c r="R581" s="375"/>
      <c r="S581" s="375"/>
      <c r="T581" s="375"/>
      <c r="U581" s="375"/>
      <c r="V581" s="375"/>
      <c r="W581" s="375"/>
      <c r="X581" s="375"/>
      <c r="Y581" s="375"/>
      <c r="Z581" s="375"/>
      <c r="AA581" s="375"/>
      <c r="AB581" s="375"/>
      <c r="AC581" s="375"/>
      <c r="AD581" s="375"/>
      <c r="AE581" s="375"/>
      <c r="AF581" s="375"/>
    </row>
    <row r="582" spans="1:32" ht="8.4499999999999993" customHeight="1" x14ac:dyDescent="0.2">
      <c r="A582" s="252" t="str">
        <f t="shared" si="1"/>
        <v xml:space="preserve">07.004.000.004 </v>
      </c>
      <c r="B582" s="219">
        <v>91</v>
      </c>
      <c r="C582" s="957" t="s">
        <v>2455</v>
      </c>
      <c r="D582" s="957" t="s">
        <v>90</v>
      </c>
      <c r="E582" s="219">
        <v>22</v>
      </c>
      <c r="F582" s="957" t="s">
        <v>2012</v>
      </c>
      <c r="G582" s="957" t="s">
        <v>2013</v>
      </c>
      <c r="H582" s="148">
        <v>0.23</v>
      </c>
      <c r="I582" s="144">
        <v>151.5</v>
      </c>
      <c r="J582" s="139">
        <v>0</v>
      </c>
      <c r="K582" s="139">
        <v>0</v>
      </c>
      <c r="L582" s="148">
        <v>0</v>
      </c>
      <c r="M582" s="148">
        <v>0</v>
      </c>
      <c r="N582" s="148">
        <v>0</v>
      </c>
      <c r="O582" s="148">
        <v>0</v>
      </c>
      <c r="P582" s="118"/>
      <c r="Q582" s="385"/>
      <c r="R582" s="381"/>
      <c r="S582" s="381"/>
      <c r="T582" s="379"/>
      <c r="U582" s="379"/>
      <c r="V582" s="379"/>
      <c r="W582" s="379"/>
      <c r="X582" s="380"/>
      <c r="Y582" s="385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tr">
        <f t="shared" si="1"/>
        <v xml:space="preserve">08 </v>
      </c>
      <c r="B583" s="115">
        <v>92</v>
      </c>
      <c r="C583" s="137" t="s">
        <v>341</v>
      </c>
      <c r="D583" s="137"/>
      <c r="E583" s="116">
        <v>278</v>
      </c>
      <c r="F583" s="137" t="s">
        <v>1951</v>
      </c>
      <c r="G583" s="137" t="s">
        <v>2013</v>
      </c>
      <c r="H583" s="138"/>
      <c r="I583" s="138"/>
      <c r="J583" s="138"/>
      <c r="K583" s="138"/>
      <c r="L583" s="138"/>
      <c r="M583" s="138"/>
      <c r="N583" s="138"/>
      <c r="O583" s="138"/>
      <c r="P583" s="138"/>
      <c r="Q583" s="385"/>
      <c r="R583" s="381"/>
      <c r="S583" s="381"/>
      <c r="T583" s="379"/>
      <c r="U583" s="379"/>
      <c r="V583" s="379"/>
      <c r="W583" s="379"/>
      <c r="X583" s="380"/>
      <c r="Y583" s="385"/>
      <c r="Z583" s="381"/>
      <c r="AA583" s="381"/>
      <c r="AB583" s="379"/>
      <c r="AC583" s="379"/>
      <c r="AD583" s="379"/>
      <c r="AE583" s="379"/>
      <c r="AF583" s="380"/>
    </row>
    <row r="584" spans="1:32" ht="8.4499999999999993" customHeight="1" x14ac:dyDescent="0.2">
      <c r="A584" s="252" t="str">
        <f t="shared" si="1"/>
        <v xml:space="preserve">08.000.000.001 </v>
      </c>
      <c r="B584" s="219">
        <v>93</v>
      </c>
      <c r="C584" s="957" t="s">
        <v>2456</v>
      </c>
      <c r="D584" s="957" t="s">
        <v>90</v>
      </c>
      <c r="E584" s="219">
        <v>42</v>
      </c>
      <c r="F584" s="957" t="s">
        <v>2009</v>
      </c>
      <c r="G584" s="957" t="s">
        <v>2013</v>
      </c>
      <c r="H584" s="148">
        <v>0.64</v>
      </c>
      <c r="I584" s="144">
        <v>785.39</v>
      </c>
      <c r="J584" s="139">
        <v>0</v>
      </c>
      <c r="K584" s="139">
        <v>0</v>
      </c>
      <c r="L584" s="148">
        <v>0</v>
      </c>
      <c r="M584" s="148">
        <v>0</v>
      </c>
      <c r="N584" s="148">
        <v>0</v>
      </c>
      <c r="O584" s="148">
        <v>0</v>
      </c>
      <c r="P584" s="118"/>
      <c r="Q584" s="385"/>
      <c r="R584" s="381"/>
      <c r="S584" s="381"/>
      <c r="T584" s="379"/>
      <c r="U584" s="379"/>
      <c r="V584" s="379"/>
      <c r="W584" s="379"/>
      <c r="X584" s="380"/>
      <c r="Y584" s="385"/>
      <c r="Z584" s="381"/>
      <c r="AA584" s="381"/>
      <c r="AB584" s="379"/>
      <c r="AC584" s="379"/>
      <c r="AD584" s="379"/>
      <c r="AE584" s="379"/>
      <c r="AF584" s="380"/>
    </row>
    <row r="585" spans="1:32" ht="8.4499999999999993" customHeight="1" x14ac:dyDescent="0.2">
      <c r="A585" s="252" t="str">
        <f t="shared" si="1"/>
        <v xml:space="preserve">08.000.000.002 </v>
      </c>
      <c r="B585" s="219">
        <v>94</v>
      </c>
      <c r="C585" s="957" t="s">
        <v>2457</v>
      </c>
      <c r="D585" s="957" t="s">
        <v>90</v>
      </c>
      <c r="E585" s="219">
        <v>52</v>
      </c>
      <c r="F585" s="957" t="s">
        <v>2032</v>
      </c>
      <c r="G585" s="957" t="s">
        <v>2458</v>
      </c>
      <c r="H585" s="148">
        <v>0.05</v>
      </c>
      <c r="I585" s="144">
        <v>559.57000000000005</v>
      </c>
      <c r="J585" s="139">
        <v>0</v>
      </c>
      <c r="K585" s="139">
        <v>0</v>
      </c>
      <c r="L585" s="148">
        <v>0</v>
      </c>
      <c r="M585" s="148">
        <v>0</v>
      </c>
      <c r="N585" s="148">
        <v>0</v>
      </c>
      <c r="O585" s="148">
        <v>0</v>
      </c>
      <c r="P585" s="118"/>
      <c r="Q585" s="375"/>
      <c r="R585" s="375"/>
      <c r="S585" s="375"/>
      <c r="T585" s="375"/>
      <c r="U585" s="375"/>
      <c r="V585" s="375"/>
      <c r="W585" s="375"/>
      <c r="X585" s="375"/>
      <c r="Y585" s="375"/>
      <c r="Z585" s="375"/>
      <c r="AA585" s="375"/>
      <c r="AB585" s="375"/>
      <c r="AC585" s="375"/>
      <c r="AD585" s="375"/>
      <c r="AE585" s="375"/>
      <c r="AF585" s="375"/>
    </row>
    <row r="586" spans="1:32" ht="8.4499999999999993" customHeight="1" x14ac:dyDescent="0.2">
      <c r="A586" s="252" t="str">
        <f t="shared" si="1"/>
        <v xml:space="preserve">08.000.000.003 </v>
      </c>
      <c r="B586" s="219">
        <v>95</v>
      </c>
      <c r="C586" s="957" t="s">
        <v>2459</v>
      </c>
      <c r="D586" s="957" t="s">
        <v>90</v>
      </c>
      <c r="E586" s="219">
        <v>22</v>
      </c>
      <c r="F586" s="957" t="s">
        <v>1951</v>
      </c>
      <c r="G586" s="957" t="s">
        <v>1954</v>
      </c>
      <c r="H586" s="148">
        <v>0.02</v>
      </c>
      <c r="I586" s="146">
        <v>70.38</v>
      </c>
      <c r="J586" s="139">
        <v>0</v>
      </c>
      <c r="K586" s="139">
        <v>0</v>
      </c>
      <c r="L586" s="148">
        <v>0</v>
      </c>
      <c r="M586" s="148">
        <v>0</v>
      </c>
      <c r="N586" s="148">
        <v>0</v>
      </c>
      <c r="O586" s="148">
        <v>0</v>
      </c>
      <c r="P586" s="118"/>
      <c r="Q586" s="376"/>
      <c r="R586" s="381"/>
      <c r="S586" s="381"/>
      <c r="T586" s="379"/>
      <c r="U586" s="379"/>
      <c r="V586" s="379"/>
      <c r="W586" s="379"/>
      <c r="X586" s="380"/>
      <c r="Y586" s="376"/>
      <c r="Z586" s="381"/>
      <c r="AA586" s="381"/>
      <c r="AB586" s="379"/>
      <c r="AC586" s="379"/>
      <c r="AD586" s="379"/>
      <c r="AE586" s="379"/>
      <c r="AF586" s="380"/>
    </row>
    <row r="587" spans="1:32" ht="8.4499999999999993" customHeight="1" x14ac:dyDescent="0.2">
      <c r="A587" s="252" t="str">
        <f t="shared" si="1"/>
        <v xml:space="preserve">08.000.000.004 </v>
      </c>
      <c r="B587" s="219">
        <v>96</v>
      </c>
      <c r="C587" s="957" t="s">
        <v>2460</v>
      </c>
      <c r="D587" s="957" t="s">
        <v>90</v>
      </c>
      <c r="E587" s="219">
        <v>10</v>
      </c>
      <c r="F587" s="957" t="s">
        <v>2029</v>
      </c>
      <c r="G587" s="957" t="s">
        <v>2014</v>
      </c>
      <c r="H587" s="148">
        <v>0</v>
      </c>
      <c r="I587" s="146">
        <v>27.56</v>
      </c>
      <c r="J587" s="139">
        <v>0</v>
      </c>
      <c r="K587" s="139">
        <v>0</v>
      </c>
      <c r="L587" s="148">
        <v>0</v>
      </c>
      <c r="M587" s="148">
        <v>0</v>
      </c>
      <c r="N587" s="148">
        <v>0</v>
      </c>
      <c r="O587" s="148">
        <v>0</v>
      </c>
      <c r="P587" s="118"/>
      <c r="Q587" s="385"/>
      <c r="R587" s="381"/>
      <c r="S587" s="381"/>
      <c r="T587" s="379"/>
      <c r="U587" s="379"/>
      <c r="V587" s="379"/>
      <c r="W587" s="379"/>
      <c r="X587" s="380"/>
      <c r="Y587" s="385"/>
      <c r="Z587" s="381"/>
      <c r="AA587" s="381"/>
      <c r="AB587" s="379"/>
      <c r="AC587" s="379"/>
      <c r="AD587" s="379"/>
      <c r="AE587" s="379"/>
      <c r="AF587" s="380"/>
    </row>
    <row r="588" spans="1:32" ht="8.4499999999999993" customHeight="1" x14ac:dyDescent="0.2">
      <c r="A588" s="252" t="str">
        <f t="shared" si="1"/>
        <v xml:space="preserve">08.000.000.005 </v>
      </c>
      <c r="B588" s="219">
        <v>97</v>
      </c>
      <c r="C588" s="957" t="s">
        <v>2461</v>
      </c>
      <c r="D588" s="957" t="s">
        <v>90</v>
      </c>
      <c r="E588" s="219">
        <v>42</v>
      </c>
      <c r="F588" s="957" t="s">
        <v>2009</v>
      </c>
      <c r="G588" s="957" t="s">
        <v>2013</v>
      </c>
      <c r="H588" s="148">
        <v>0.21</v>
      </c>
      <c r="I588" s="144">
        <v>214.68</v>
      </c>
      <c r="J588" s="139">
        <v>0</v>
      </c>
      <c r="K588" s="139">
        <v>0</v>
      </c>
      <c r="L588" s="148">
        <v>0</v>
      </c>
      <c r="M588" s="148">
        <v>0</v>
      </c>
      <c r="N588" s="148">
        <v>0</v>
      </c>
      <c r="O588" s="148">
        <v>0</v>
      </c>
      <c r="P588" s="118"/>
      <c r="Q588" s="385"/>
      <c r="R588" s="381"/>
      <c r="S588" s="381"/>
      <c r="T588" s="379"/>
      <c r="U588" s="379"/>
      <c r="V588" s="379"/>
      <c r="W588" s="379"/>
      <c r="X588" s="380"/>
      <c r="Y588" s="385"/>
      <c r="Z588" s="381"/>
      <c r="AA588" s="381"/>
      <c r="AB588" s="379"/>
      <c r="AC588" s="379"/>
      <c r="AD588" s="379"/>
      <c r="AE588" s="379"/>
      <c r="AF588" s="380"/>
    </row>
    <row r="589" spans="1:32" ht="8.4499999999999993" customHeight="1" x14ac:dyDescent="0.2">
      <c r="A589" s="252" t="str">
        <f t="shared" si="1"/>
        <v xml:space="preserve">08.000.000.006 </v>
      </c>
      <c r="B589" s="219">
        <v>98</v>
      </c>
      <c r="C589" s="957" t="s">
        <v>2462</v>
      </c>
      <c r="D589" s="957" t="s">
        <v>90</v>
      </c>
      <c r="E589" s="219">
        <v>20</v>
      </c>
      <c r="F589" s="957" t="s">
        <v>2171</v>
      </c>
      <c r="G589" s="957" t="s">
        <v>2170</v>
      </c>
      <c r="H589" s="148">
        <v>0.05</v>
      </c>
      <c r="I589" s="146">
        <v>59.04</v>
      </c>
      <c r="J589" s="139">
        <v>0</v>
      </c>
      <c r="K589" s="139">
        <v>0</v>
      </c>
      <c r="L589" s="148">
        <v>0</v>
      </c>
      <c r="M589" s="148">
        <v>0</v>
      </c>
      <c r="N589" s="148">
        <v>0</v>
      </c>
      <c r="O589" s="148">
        <v>0</v>
      </c>
      <c r="P589" s="118"/>
      <c r="Q589" s="375"/>
      <c r="R589" s="375"/>
      <c r="S589" s="375"/>
      <c r="T589" s="375"/>
      <c r="U589" s="375"/>
      <c r="V589" s="375"/>
      <c r="W589" s="375"/>
      <c r="X589" s="375"/>
      <c r="Y589" s="375"/>
      <c r="Z589" s="375"/>
      <c r="AA589" s="375"/>
      <c r="AB589" s="375"/>
      <c r="AC589" s="375"/>
      <c r="AD589" s="375"/>
      <c r="AE589" s="375"/>
      <c r="AF589" s="375"/>
    </row>
    <row r="590" spans="1:32" ht="8.4499999999999993" customHeight="1" x14ac:dyDescent="0.2">
      <c r="A590" s="252" t="str">
        <f t="shared" si="1"/>
        <v xml:space="preserve">09 </v>
      </c>
      <c r="B590" s="115">
        <v>99</v>
      </c>
      <c r="C590" s="137" t="s">
        <v>342</v>
      </c>
      <c r="D590" s="137"/>
      <c r="E590" s="116">
        <v>278</v>
      </c>
      <c r="F590" s="137" t="s">
        <v>2031</v>
      </c>
      <c r="G590" s="137" t="s">
        <v>2024</v>
      </c>
      <c r="H590" s="138"/>
      <c r="I590" s="138"/>
      <c r="J590" s="138"/>
      <c r="K590" s="138"/>
      <c r="L590" s="138"/>
      <c r="M590" s="138"/>
      <c r="N590" s="138"/>
      <c r="O590" s="138"/>
      <c r="P590" s="138"/>
      <c r="Q590" s="375"/>
      <c r="R590" s="375"/>
      <c r="S590" s="375"/>
      <c r="T590" s="375"/>
      <c r="U590" s="375"/>
      <c r="V590" s="375"/>
      <c r="W590" s="375"/>
      <c r="X590" s="375"/>
      <c r="Y590" s="375"/>
      <c r="Z590" s="375"/>
      <c r="AA590" s="375"/>
      <c r="AB590" s="375"/>
      <c r="AC590" s="375"/>
      <c r="AD590" s="375"/>
      <c r="AE590" s="375"/>
      <c r="AF590" s="375"/>
    </row>
    <row r="591" spans="1:32" ht="8.4499999999999993" customHeight="1" x14ac:dyDescent="0.2">
      <c r="A591" s="252" t="str">
        <f t="shared" si="1"/>
        <v xml:space="preserve">09.001 </v>
      </c>
      <c r="B591" s="116">
        <v>100</v>
      </c>
      <c r="C591" s="137" t="s">
        <v>2017</v>
      </c>
      <c r="D591" s="137"/>
      <c r="E591" s="116">
        <v>234</v>
      </c>
      <c r="F591" s="137" t="s">
        <v>2031</v>
      </c>
      <c r="G591" s="137" t="s">
        <v>2010</v>
      </c>
      <c r="H591" s="138"/>
      <c r="I591" s="138"/>
      <c r="J591" s="138"/>
      <c r="K591" s="138"/>
      <c r="L591" s="138"/>
      <c r="M591" s="138"/>
      <c r="N591" s="138"/>
      <c r="O591" s="138"/>
      <c r="P591" s="138"/>
      <c r="Q591" s="376"/>
      <c r="R591" s="381"/>
      <c r="S591" s="381"/>
      <c r="T591" s="379"/>
      <c r="U591" s="379"/>
      <c r="V591" s="379"/>
      <c r="W591" s="379"/>
      <c r="X591" s="380"/>
      <c r="Y591" s="376"/>
      <c r="Z591" s="381"/>
      <c r="AA591" s="381"/>
      <c r="AB591" s="379"/>
      <c r="AC591" s="379"/>
      <c r="AD591" s="379"/>
      <c r="AE591" s="379"/>
      <c r="AF591" s="380"/>
    </row>
    <row r="592" spans="1:32" ht="8.4499999999999993" customHeight="1" x14ac:dyDescent="0.2">
      <c r="A592" s="252" t="str">
        <f t="shared" si="1"/>
        <v xml:space="preserve">09.001.000.001 </v>
      </c>
      <c r="B592" s="707">
        <v>101</v>
      </c>
      <c r="C592" s="957" t="s">
        <v>2463</v>
      </c>
      <c r="D592" s="957" t="s">
        <v>90</v>
      </c>
      <c r="E592" s="219">
        <v>43</v>
      </c>
      <c r="F592" s="957" t="s">
        <v>2012</v>
      </c>
      <c r="G592" s="957" t="s">
        <v>2010</v>
      </c>
      <c r="H592" s="148">
        <v>0.01</v>
      </c>
      <c r="I592" s="144">
        <v>177.65</v>
      </c>
      <c r="J592" s="139">
        <v>0</v>
      </c>
      <c r="K592" s="139">
        <v>0</v>
      </c>
      <c r="L592" s="148">
        <v>0</v>
      </c>
      <c r="M592" s="148">
        <v>0</v>
      </c>
      <c r="N592" s="148">
        <v>0</v>
      </c>
      <c r="O592" s="148">
        <v>0</v>
      </c>
      <c r="P592" s="118"/>
      <c r="Q592" s="376"/>
      <c r="R592" s="381"/>
      <c r="S592" s="381"/>
      <c r="T592" s="379"/>
      <c r="U592" s="379"/>
      <c r="V592" s="379"/>
      <c r="W592" s="379"/>
      <c r="X592" s="380"/>
      <c r="Y592" s="376"/>
      <c r="Z592" s="381"/>
      <c r="AA592" s="381"/>
      <c r="AB592" s="379"/>
      <c r="AC592" s="379"/>
      <c r="AD592" s="379"/>
      <c r="AE592" s="379"/>
      <c r="AF592" s="380"/>
    </row>
    <row r="593" spans="1:32" ht="8.4499999999999993" customHeight="1" x14ac:dyDescent="0.2">
      <c r="A593" s="252" t="str">
        <f t="shared" si="1"/>
        <v xml:space="preserve">09.001.000.002 </v>
      </c>
      <c r="B593" s="707">
        <v>102</v>
      </c>
      <c r="C593" s="957" t="s">
        <v>2464</v>
      </c>
      <c r="D593" s="957" t="s">
        <v>90</v>
      </c>
      <c r="E593" s="219">
        <v>43</v>
      </c>
      <c r="F593" s="957" t="s">
        <v>2012</v>
      </c>
      <c r="G593" s="957" t="s">
        <v>2010</v>
      </c>
      <c r="H593" s="148">
        <v>0.01</v>
      </c>
      <c r="I593" s="144">
        <v>124.03</v>
      </c>
      <c r="J593" s="139">
        <v>0</v>
      </c>
      <c r="K593" s="139">
        <v>0</v>
      </c>
      <c r="L593" s="148">
        <v>0</v>
      </c>
      <c r="M593" s="148">
        <v>0</v>
      </c>
      <c r="N593" s="148">
        <v>0</v>
      </c>
      <c r="O593" s="148">
        <v>0</v>
      </c>
      <c r="P593" s="118"/>
      <c r="Q593" s="376"/>
      <c r="R593" s="381"/>
      <c r="S593" s="381"/>
      <c r="T593" s="379"/>
      <c r="U593" s="379"/>
      <c r="V593" s="379"/>
      <c r="W593" s="379"/>
      <c r="X593" s="380"/>
      <c r="Y593" s="376"/>
      <c r="Z593" s="381"/>
      <c r="AA593" s="381"/>
      <c r="AB593" s="379"/>
      <c r="AC593" s="379"/>
      <c r="AD593" s="379"/>
      <c r="AE593" s="379"/>
      <c r="AF593" s="380"/>
    </row>
    <row r="594" spans="1:32" ht="8.4499999999999993" customHeight="1" x14ac:dyDescent="0.2">
      <c r="A594" s="252" t="str">
        <f t="shared" si="1"/>
        <v xml:space="preserve">09.001.000.003 </v>
      </c>
      <c r="B594" s="707">
        <v>103</v>
      </c>
      <c r="C594" s="957" t="s">
        <v>2465</v>
      </c>
      <c r="D594" s="957" t="s">
        <v>90</v>
      </c>
      <c r="E594" s="219">
        <v>74</v>
      </c>
      <c r="F594" s="957" t="s">
        <v>2168</v>
      </c>
      <c r="G594" s="957" t="s">
        <v>2010</v>
      </c>
      <c r="H594" s="148">
        <v>0.04</v>
      </c>
      <c r="I594" s="144">
        <v>169.73</v>
      </c>
      <c r="J594" s="139">
        <v>0</v>
      </c>
      <c r="K594" s="139">
        <v>0</v>
      </c>
      <c r="L594" s="148">
        <v>0</v>
      </c>
      <c r="M594" s="148">
        <v>0</v>
      </c>
      <c r="N594" s="148">
        <v>0</v>
      </c>
      <c r="O594" s="148">
        <v>0</v>
      </c>
      <c r="P594" s="118"/>
      <c r="Q594" s="375"/>
      <c r="R594" s="375"/>
      <c r="S594" s="375"/>
      <c r="T594" s="375"/>
      <c r="U594" s="375"/>
      <c r="V594" s="375"/>
      <c r="W594" s="375"/>
      <c r="X594" s="375"/>
      <c r="Y594" s="375"/>
      <c r="Z594" s="375"/>
      <c r="AA594" s="375"/>
      <c r="AB594" s="375"/>
      <c r="AC594" s="375"/>
      <c r="AD594" s="375"/>
      <c r="AE594" s="375"/>
      <c r="AF594" s="375"/>
    </row>
    <row r="595" spans="1:32" ht="8.4499999999999993" customHeight="1" x14ac:dyDescent="0.2">
      <c r="A595" s="252" t="str">
        <f t="shared" si="1"/>
        <v xml:space="preserve">09.001.000.004 </v>
      </c>
      <c r="B595" s="707">
        <v>104</v>
      </c>
      <c r="C595" s="957" t="s">
        <v>2466</v>
      </c>
      <c r="D595" s="957" t="s">
        <v>90</v>
      </c>
      <c r="E595" s="219">
        <v>50</v>
      </c>
      <c r="F595" s="957" t="s">
        <v>2467</v>
      </c>
      <c r="G595" s="957" t="s">
        <v>2167</v>
      </c>
      <c r="H595" s="148">
        <v>0.51</v>
      </c>
      <c r="I595" s="142">
        <v>1902.37</v>
      </c>
      <c r="J595" s="139">
        <v>0</v>
      </c>
      <c r="K595" s="139">
        <v>0</v>
      </c>
      <c r="L595" s="148">
        <v>0</v>
      </c>
      <c r="M595" s="148">
        <v>0</v>
      </c>
      <c r="N595" s="148">
        <v>0</v>
      </c>
      <c r="O595" s="148">
        <v>0</v>
      </c>
      <c r="P595" s="118"/>
      <c r="Q595" s="376"/>
      <c r="R595" s="377"/>
      <c r="S595" s="381"/>
      <c r="T595" s="378"/>
      <c r="U595" s="379"/>
      <c r="V595" s="379"/>
      <c r="W595" s="379"/>
      <c r="X595" s="380"/>
      <c r="Y595" s="376"/>
      <c r="Z595" s="376"/>
      <c r="AA595" s="381"/>
      <c r="AB595" s="378"/>
      <c r="AC595" s="379"/>
      <c r="AD595" s="379"/>
      <c r="AE595" s="379"/>
      <c r="AF595" s="380"/>
    </row>
    <row r="596" spans="1:32" ht="8.4499999999999993" customHeight="1" x14ac:dyDescent="0.2">
      <c r="A596" s="252" t="str">
        <f t="shared" si="1"/>
        <v xml:space="preserve">09.001.000.005 </v>
      </c>
      <c r="B596" s="707">
        <v>105</v>
      </c>
      <c r="C596" s="957" t="s">
        <v>2468</v>
      </c>
      <c r="D596" s="957" t="s">
        <v>90</v>
      </c>
      <c r="E596" s="219">
        <v>49</v>
      </c>
      <c r="F596" s="957" t="s">
        <v>2453</v>
      </c>
      <c r="G596" s="957" t="s">
        <v>2469</v>
      </c>
      <c r="H596" s="148">
        <v>0.06</v>
      </c>
      <c r="I596" s="144">
        <v>182.48</v>
      </c>
      <c r="J596" s="139">
        <v>0</v>
      </c>
      <c r="K596" s="139">
        <v>0</v>
      </c>
      <c r="L596" s="148">
        <v>0</v>
      </c>
      <c r="M596" s="148">
        <v>0</v>
      </c>
      <c r="N596" s="148">
        <v>0</v>
      </c>
      <c r="O596" s="148">
        <v>0</v>
      </c>
      <c r="P596" s="118"/>
      <c r="Q596" s="376"/>
      <c r="R596" s="377"/>
      <c r="S596" s="381"/>
      <c r="T596" s="378"/>
      <c r="U596" s="379"/>
      <c r="V596" s="379"/>
      <c r="W596" s="379"/>
      <c r="X596" s="380"/>
      <c r="Y596" s="376"/>
      <c r="Z596" s="376"/>
      <c r="AA596" s="381"/>
      <c r="AB596" s="378"/>
      <c r="AC596" s="379"/>
      <c r="AD596" s="379"/>
      <c r="AE596" s="379"/>
      <c r="AF596" s="380"/>
    </row>
    <row r="597" spans="1:32" ht="8.4499999999999993" customHeight="1" x14ac:dyDescent="0.2">
      <c r="A597" s="252" t="str">
        <f t="shared" si="1"/>
        <v xml:space="preserve">09.001.000.006 </v>
      </c>
      <c r="B597" s="707">
        <v>106</v>
      </c>
      <c r="C597" s="957" t="s">
        <v>2470</v>
      </c>
      <c r="D597" s="957" t="s">
        <v>90</v>
      </c>
      <c r="E597" s="219">
        <v>52</v>
      </c>
      <c r="F597" s="957" t="s">
        <v>2471</v>
      </c>
      <c r="G597" s="957" t="s">
        <v>2181</v>
      </c>
      <c r="H597" s="148">
        <v>0.01</v>
      </c>
      <c r="I597" s="146">
        <v>26.04</v>
      </c>
      <c r="J597" s="139">
        <v>0</v>
      </c>
      <c r="K597" s="139">
        <v>0</v>
      </c>
      <c r="L597" s="148">
        <v>0</v>
      </c>
      <c r="M597" s="148">
        <v>0</v>
      </c>
      <c r="N597" s="148">
        <v>0</v>
      </c>
      <c r="O597" s="148">
        <v>0</v>
      </c>
      <c r="P597" s="118"/>
      <c r="Q597" s="376"/>
      <c r="R597" s="381"/>
      <c r="S597" s="381"/>
      <c r="T597" s="379"/>
      <c r="U597" s="379"/>
      <c r="V597" s="379"/>
      <c r="W597" s="379"/>
      <c r="X597" s="380"/>
      <c r="Y597" s="376"/>
      <c r="Z597" s="376"/>
      <c r="AA597" s="381"/>
      <c r="AB597" s="378"/>
      <c r="AC597" s="379"/>
      <c r="AD597" s="379"/>
      <c r="AE597" s="379"/>
      <c r="AF597" s="380"/>
    </row>
    <row r="598" spans="1:32" ht="8.4499999999999993" customHeight="1" x14ac:dyDescent="0.2">
      <c r="A598" s="252" t="str">
        <f t="shared" si="1"/>
        <v xml:space="preserve">09.001.000.007 </v>
      </c>
      <c r="B598" s="707">
        <v>107</v>
      </c>
      <c r="C598" s="957" t="s">
        <v>2472</v>
      </c>
      <c r="D598" s="957" t="s">
        <v>90</v>
      </c>
      <c r="E598" s="219">
        <v>42</v>
      </c>
      <c r="F598" s="957" t="s">
        <v>2009</v>
      </c>
      <c r="G598" s="957" t="s">
        <v>2013</v>
      </c>
      <c r="H598" s="148">
        <v>0.03</v>
      </c>
      <c r="I598" s="144">
        <v>132.28</v>
      </c>
      <c r="J598" s="139">
        <v>0</v>
      </c>
      <c r="K598" s="139">
        <v>0</v>
      </c>
      <c r="L598" s="148">
        <v>0</v>
      </c>
      <c r="M598" s="148">
        <v>0</v>
      </c>
      <c r="N598" s="148">
        <v>0</v>
      </c>
      <c r="O598" s="148">
        <v>0</v>
      </c>
      <c r="P598" s="118"/>
      <c r="Q598" s="385"/>
      <c r="R598" s="381"/>
      <c r="S598" s="376"/>
      <c r="T598" s="379"/>
      <c r="U598" s="379"/>
      <c r="V598" s="379"/>
      <c r="W598" s="379"/>
      <c r="X598" s="384"/>
      <c r="Y598" s="385"/>
      <c r="Z598" s="385"/>
      <c r="AA598" s="385"/>
      <c r="AB598" s="378"/>
      <c r="AC598" s="378"/>
      <c r="AD598" s="379"/>
      <c r="AE598" s="379"/>
      <c r="AF598" s="380"/>
    </row>
    <row r="599" spans="1:32" ht="8.4499999999999993" customHeight="1" x14ac:dyDescent="0.2">
      <c r="A599" s="252" t="str">
        <f t="shared" si="1"/>
        <v xml:space="preserve">09.001.000.008 </v>
      </c>
      <c r="B599" s="707">
        <v>108</v>
      </c>
      <c r="C599" s="957" t="s">
        <v>2473</v>
      </c>
      <c r="D599" s="957" t="s">
        <v>90</v>
      </c>
      <c r="E599" s="219">
        <v>65</v>
      </c>
      <c r="F599" s="957" t="s">
        <v>2031</v>
      </c>
      <c r="G599" s="957" t="s">
        <v>2016</v>
      </c>
      <c r="H599" s="148">
        <v>7.0000000000000007E-2</v>
      </c>
      <c r="I599" s="144">
        <v>768.87</v>
      </c>
      <c r="J599" s="139">
        <v>0</v>
      </c>
      <c r="K599" s="139">
        <v>0</v>
      </c>
      <c r="L599" s="148">
        <v>0</v>
      </c>
      <c r="M599" s="148">
        <v>0</v>
      </c>
      <c r="N599" s="148">
        <v>0</v>
      </c>
      <c r="O599" s="148">
        <v>0</v>
      </c>
      <c r="P599" s="118"/>
      <c r="Q599" s="385"/>
      <c r="R599" s="381"/>
      <c r="S599" s="376"/>
      <c r="T599" s="379"/>
      <c r="U599" s="379"/>
      <c r="V599" s="379"/>
      <c r="W599" s="379"/>
      <c r="X599" s="384"/>
      <c r="Y599" s="385"/>
      <c r="Z599" s="385"/>
      <c r="AA599" s="385"/>
      <c r="AB599" s="378"/>
      <c r="AC599" s="378"/>
      <c r="AD599" s="379"/>
      <c r="AE599" s="379"/>
      <c r="AF599" s="380"/>
    </row>
    <row r="600" spans="1:32" ht="8.4499999999999993" customHeight="1" x14ac:dyDescent="0.2">
      <c r="A600" s="252" t="str">
        <f t="shared" si="1"/>
        <v xml:space="preserve">09.001.000.009 </v>
      </c>
      <c r="B600" s="707">
        <v>109</v>
      </c>
      <c r="C600" s="957" t="s">
        <v>2474</v>
      </c>
      <c r="D600" s="957" t="s">
        <v>90</v>
      </c>
      <c r="E600" s="219">
        <v>21</v>
      </c>
      <c r="F600" s="957" t="s">
        <v>2165</v>
      </c>
      <c r="G600" s="957" t="s">
        <v>2016</v>
      </c>
      <c r="H600" s="148">
        <v>0.03</v>
      </c>
      <c r="I600" s="146">
        <v>53</v>
      </c>
      <c r="J600" s="139">
        <v>0</v>
      </c>
      <c r="K600" s="139">
        <v>0</v>
      </c>
      <c r="L600" s="148">
        <v>0</v>
      </c>
      <c r="M600" s="148">
        <v>0</v>
      </c>
      <c r="N600" s="148">
        <v>0</v>
      </c>
      <c r="O600" s="148">
        <v>0</v>
      </c>
      <c r="P600" s="118"/>
      <c r="Q600" s="377"/>
      <c r="R600" s="381"/>
      <c r="S600" s="381"/>
      <c r="T600" s="379"/>
      <c r="U600" s="379"/>
      <c r="V600" s="379"/>
      <c r="W600" s="379"/>
      <c r="X600" s="380"/>
      <c r="Y600" s="377"/>
      <c r="Z600" s="381"/>
      <c r="AA600" s="381"/>
      <c r="AB600" s="379"/>
      <c r="AC600" s="379"/>
      <c r="AD600" s="379"/>
      <c r="AE600" s="379"/>
      <c r="AF600" s="380"/>
    </row>
    <row r="601" spans="1:32" ht="8.4499999999999993" customHeight="1" x14ac:dyDescent="0.2">
      <c r="A601" s="252" t="str">
        <f t="shared" si="1"/>
        <v xml:space="preserve">09.002 </v>
      </c>
      <c r="B601" s="116">
        <v>110</v>
      </c>
      <c r="C601" s="137" t="s">
        <v>2018</v>
      </c>
      <c r="D601" s="137"/>
      <c r="E601" s="115">
        <v>73</v>
      </c>
      <c r="F601" s="137" t="s">
        <v>2193</v>
      </c>
      <c r="G601" s="137" t="s">
        <v>2013</v>
      </c>
      <c r="H601" s="138"/>
      <c r="I601" s="138"/>
      <c r="J601" s="138"/>
      <c r="K601" s="138"/>
      <c r="L601" s="138"/>
      <c r="M601" s="138"/>
      <c r="N601" s="138"/>
      <c r="O601" s="138"/>
      <c r="P601" s="138"/>
      <c r="Q601" s="375"/>
      <c r="R601" s="375"/>
      <c r="S601" s="375"/>
      <c r="T601" s="375"/>
      <c r="U601" s="375"/>
      <c r="V601" s="375"/>
      <c r="W601" s="375"/>
      <c r="X601" s="375"/>
      <c r="Y601" s="375"/>
      <c r="Z601" s="375"/>
      <c r="AA601" s="375"/>
      <c r="AB601" s="375"/>
      <c r="AC601" s="375"/>
      <c r="AD601" s="375"/>
      <c r="AE601" s="375"/>
      <c r="AF601" s="375"/>
    </row>
    <row r="602" spans="1:32" ht="8.4499999999999993" customHeight="1" x14ac:dyDescent="0.2">
      <c r="A602" s="252" t="str">
        <f t="shared" si="1"/>
        <v xml:space="preserve">09.002.000.001 </v>
      </c>
      <c r="B602" s="707">
        <v>111</v>
      </c>
      <c r="C602" s="957" t="s">
        <v>2475</v>
      </c>
      <c r="D602" s="957" t="s">
        <v>90</v>
      </c>
      <c r="E602" s="219">
        <v>45</v>
      </c>
      <c r="F602" s="957" t="s">
        <v>2193</v>
      </c>
      <c r="G602" s="957" t="s">
        <v>2476</v>
      </c>
      <c r="H602" s="148">
        <v>0.01</v>
      </c>
      <c r="I602" s="146">
        <v>23.17</v>
      </c>
      <c r="J602" s="139">
        <v>0</v>
      </c>
      <c r="K602" s="139">
        <v>0</v>
      </c>
      <c r="L602" s="148">
        <v>0</v>
      </c>
      <c r="M602" s="148">
        <v>0</v>
      </c>
      <c r="N602" s="148">
        <v>0</v>
      </c>
      <c r="O602" s="148">
        <v>0</v>
      </c>
      <c r="P602" s="118"/>
      <c r="Q602" s="385"/>
      <c r="R602" s="381"/>
      <c r="S602" s="381"/>
      <c r="T602" s="379"/>
      <c r="U602" s="379"/>
      <c r="V602" s="379"/>
      <c r="W602" s="379"/>
      <c r="X602" s="380"/>
      <c r="Y602" s="385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tr">
        <f t="shared" si="1"/>
        <v xml:space="preserve">09.002.000.002 </v>
      </c>
      <c r="B603" s="707">
        <v>112</v>
      </c>
      <c r="C603" s="957" t="s">
        <v>2477</v>
      </c>
      <c r="D603" s="957" t="s">
        <v>90</v>
      </c>
      <c r="E603" s="219">
        <v>45</v>
      </c>
      <c r="F603" s="957" t="s">
        <v>2193</v>
      </c>
      <c r="G603" s="957" t="s">
        <v>2476</v>
      </c>
      <c r="H603" s="148">
        <v>0.01</v>
      </c>
      <c r="I603" s="146">
        <v>23.17</v>
      </c>
      <c r="J603" s="139">
        <v>0</v>
      </c>
      <c r="K603" s="139">
        <v>0</v>
      </c>
      <c r="L603" s="148">
        <v>0</v>
      </c>
      <c r="M603" s="148">
        <v>0</v>
      </c>
      <c r="N603" s="148">
        <v>0</v>
      </c>
      <c r="O603" s="148">
        <v>0</v>
      </c>
      <c r="P603" s="11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tr">
        <f t="shared" si="1"/>
        <v xml:space="preserve">09.002.001 </v>
      </c>
      <c r="B604" s="116">
        <v>113</v>
      </c>
      <c r="C604" s="137" t="s">
        <v>2019</v>
      </c>
      <c r="D604" s="137"/>
      <c r="E604" s="115">
        <v>50</v>
      </c>
      <c r="F604" s="137" t="s">
        <v>2478</v>
      </c>
      <c r="G604" s="137" t="s">
        <v>2013</v>
      </c>
      <c r="H604" s="138"/>
      <c r="I604" s="138"/>
      <c r="J604" s="138"/>
      <c r="K604" s="138"/>
      <c r="L604" s="138"/>
      <c r="M604" s="138"/>
      <c r="N604" s="138"/>
      <c r="O604" s="138"/>
      <c r="P604" s="138"/>
      <c r="Q604" s="376"/>
      <c r="R604" s="381"/>
      <c r="S604" s="381"/>
      <c r="T604" s="379"/>
      <c r="U604" s="379"/>
      <c r="V604" s="379"/>
      <c r="W604" s="379"/>
      <c r="X604" s="380"/>
      <c r="Y604" s="376"/>
      <c r="Z604" s="381"/>
      <c r="AA604" s="381"/>
      <c r="AB604" s="379"/>
      <c r="AC604" s="379"/>
      <c r="AD604" s="379"/>
      <c r="AE604" s="379"/>
      <c r="AF604" s="380"/>
    </row>
    <row r="605" spans="1:32" ht="8.4499999999999993" customHeight="1" x14ac:dyDescent="0.2">
      <c r="A605" s="252" t="str">
        <f t="shared" si="1"/>
        <v xml:space="preserve">09.002.001.001 </v>
      </c>
      <c r="B605" s="707">
        <v>114</v>
      </c>
      <c r="C605" s="957" t="s">
        <v>2479</v>
      </c>
      <c r="D605" s="957" t="s">
        <v>90</v>
      </c>
      <c r="E605" s="219">
        <v>50</v>
      </c>
      <c r="F605" s="957" t="s">
        <v>2478</v>
      </c>
      <c r="G605" s="957" t="s">
        <v>2013</v>
      </c>
      <c r="H605" s="148">
        <v>0</v>
      </c>
      <c r="I605" s="146">
        <v>23.17</v>
      </c>
      <c r="J605" s="139">
        <v>0</v>
      </c>
      <c r="K605" s="139">
        <v>0</v>
      </c>
      <c r="L605" s="148">
        <v>0</v>
      </c>
      <c r="M605" s="148">
        <v>0</v>
      </c>
      <c r="N605" s="148">
        <v>0</v>
      </c>
      <c r="O605" s="148">
        <v>0</v>
      </c>
      <c r="P605" s="118"/>
      <c r="Q605" s="376"/>
      <c r="R605" s="381"/>
      <c r="S605" s="381"/>
      <c r="T605" s="379"/>
      <c r="U605" s="379"/>
      <c r="V605" s="379"/>
      <c r="W605" s="379"/>
      <c r="X605" s="380"/>
      <c r="Y605" s="376"/>
      <c r="Z605" s="381"/>
      <c r="AA605" s="381"/>
      <c r="AB605" s="379"/>
      <c r="AC605" s="379"/>
      <c r="AD605" s="379"/>
      <c r="AE605" s="379"/>
      <c r="AF605" s="380"/>
    </row>
    <row r="606" spans="1:32" ht="8.4499999999999993" customHeight="1" x14ac:dyDescent="0.2">
      <c r="A606" s="252" t="str">
        <f t="shared" si="1"/>
        <v xml:space="preserve">09.002.001.002 </v>
      </c>
      <c r="B606" s="707">
        <v>115</v>
      </c>
      <c r="C606" s="957" t="s">
        <v>2480</v>
      </c>
      <c r="D606" s="957" t="s">
        <v>90</v>
      </c>
      <c r="E606" s="219">
        <v>50</v>
      </c>
      <c r="F606" s="957" t="s">
        <v>2478</v>
      </c>
      <c r="G606" s="957" t="s">
        <v>2013</v>
      </c>
      <c r="H606" s="148">
        <v>0</v>
      </c>
      <c r="I606" s="146">
        <v>23.17</v>
      </c>
      <c r="J606" s="139">
        <v>0</v>
      </c>
      <c r="K606" s="139">
        <v>0</v>
      </c>
      <c r="L606" s="148">
        <v>0</v>
      </c>
      <c r="M606" s="148">
        <v>0</v>
      </c>
      <c r="N606" s="148">
        <v>0</v>
      </c>
      <c r="O606" s="148">
        <v>0</v>
      </c>
      <c r="P606" s="118"/>
      <c r="Q606" s="376"/>
      <c r="R606" s="381"/>
      <c r="S606" s="381"/>
      <c r="T606" s="379"/>
      <c r="U606" s="379"/>
      <c r="V606" s="379"/>
      <c r="W606" s="379"/>
      <c r="X606" s="380"/>
      <c r="Y606" s="376"/>
      <c r="Z606" s="381"/>
      <c r="AA606" s="381"/>
      <c r="AB606" s="379"/>
      <c r="AC606" s="379"/>
      <c r="AD606" s="379"/>
      <c r="AE606" s="379"/>
      <c r="AF606" s="380"/>
    </row>
    <row r="607" spans="1:32" ht="8.4499999999999993" customHeight="1" x14ac:dyDescent="0.2">
      <c r="A607" s="252" t="str">
        <f t="shared" si="1"/>
        <v xml:space="preserve">09.003 </v>
      </c>
      <c r="B607" s="116">
        <v>116</v>
      </c>
      <c r="C607" s="137" t="s">
        <v>343</v>
      </c>
      <c r="D607" s="137"/>
      <c r="E607" s="116">
        <v>104</v>
      </c>
      <c r="F607" s="137" t="s">
        <v>2193</v>
      </c>
      <c r="G607" s="137" t="s">
        <v>2178</v>
      </c>
      <c r="H607" s="138"/>
      <c r="I607" s="138"/>
      <c r="J607" s="138"/>
      <c r="K607" s="138"/>
      <c r="L607" s="138"/>
      <c r="M607" s="138"/>
      <c r="N607" s="138"/>
      <c r="O607" s="138"/>
      <c r="P607" s="138"/>
      <c r="Q607" s="377"/>
      <c r="R607" s="381"/>
      <c r="S607" s="381"/>
      <c r="T607" s="379"/>
      <c r="U607" s="379"/>
      <c r="V607" s="379"/>
      <c r="W607" s="379"/>
      <c r="X607" s="380"/>
      <c r="Y607" s="377"/>
      <c r="Z607" s="381"/>
      <c r="AA607" s="381"/>
      <c r="AB607" s="379"/>
      <c r="AC607" s="379"/>
      <c r="AD607" s="379"/>
      <c r="AE607" s="379"/>
      <c r="AF607" s="380"/>
    </row>
    <row r="608" spans="1:32" ht="8.4499999999999993" customHeight="1" x14ac:dyDescent="0.2">
      <c r="A608" s="252" t="str">
        <f t="shared" si="1"/>
        <v xml:space="preserve">09.003.001 </v>
      </c>
      <c r="B608" s="116">
        <v>117</v>
      </c>
      <c r="C608" s="137" t="s">
        <v>1558</v>
      </c>
      <c r="D608" s="137"/>
      <c r="E608" s="116">
        <v>104</v>
      </c>
      <c r="F608" s="137" t="s">
        <v>2193</v>
      </c>
      <c r="G608" s="137" t="s">
        <v>2178</v>
      </c>
      <c r="H608" s="138"/>
      <c r="I608" s="138"/>
      <c r="J608" s="138"/>
      <c r="K608" s="138"/>
      <c r="L608" s="138"/>
      <c r="M608" s="138"/>
      <c r="N608" s="138"/>
      <c r="O608" s="138"/>
      <c r="P608" s="138"/>
      <c r="Q608" s="375"/>
      <c r="R608" s="375"/>
      <c r="S608" s="375"/>
      <c r="T608" s="375"/>
      <c r="U608" s="375"/>
      <c r="V608" s="375"/>
      <c r="W608" s="375"/>
      <c r="X608" s="375"/>
      <c r="Y608" s="375"/>
      <c r="Z608" s="375"/>
      <c r="AA608" s="375"/>
      <c r="AB608" s="375"/>
      <c r="AC608" s="375"/>
      <c r="AD608" s="375"/>
      <c r="AE608" s="375"/>
      <c r="AF608" s="375"/>
    </row>
    <row r="609" spans="1:32" ht="8.4499999999999993" customHeight="1" x14ac:dyDescent="0.2">
      <c r="A609" s="252" t="str">
        <f t="shared" si="1"/>
        <v xml:space="preserve">09.003.001.001 </v>
      </c>
      <c r="B609" s="707">
        <v>118</v>
      </c>
      <c r="C609" s="957" t="s">
        <v>2481</v>
      </c>
      <c r="D609" s="957" t="s">
        <v>90</v>
      </c>
      <c r="E609" s="219">
        <v>45</v>
      </c>
      <c r="F609" s="957" t="s">
        <v>2193</v>
      </c>
      <c r="G609" s="957" t="s">
        <v>2476</v>
      </c>
      <c r="H609" s="148">
        <v>0.47</v>
      </c>
      <c r="I609" s="144">
        <v>712.77</v>
      </c>
      <c r="J609" s="139">
        <v>0</v>
      </c>
      <c r="K609" s="139">
        <v>0</v>
      </c>
      <c r="L609" s="148">
        <v>0</v>
      </c>
      <c r="M609" s="148">
        <v>0</v>
      </c>
      <c r="N609" s="148">
        <v>0</v>
      </c>
      <c r="O609" s="148">
        <v>0</v>
      </c>
      <c r="P609" s="118"/>
      <c r="Q609" s="375"/>
      <c r="R609" s="375"/>
      <c r="S609" s="375"/>
      <c r="T609" s="375"/>
      <c r="U609" s="375"/>
      <c r="V609" s="375"/>
      <c r="W609" s="375"/>
      <c r="X609" s="375"/>
      <c r="Y609" s="375"/>
      <c r="Z609" s="375"/>
      <c r="AA609" s="375"/>
      <c r="AB609" s="375"/>
      <c r="AC609" s="375"/>
      <c r="AD609" s="375"/>
      <c r="AE609" s="375"/>
      <c r="AF609" s="375"/>
    </row>
    <row r="610" spans="1:32" ht="8.4499999999999993" customHeight="1" x14ac:dyDescent="0.2">
      <c r="A610" s="252" t="str">
        <f t="shared" si="1"/>
        <v xml:space="preserve">09.003.001.002 </v>
      </c>
      <c r="B610" s="707">
        <v>119</v>
      </c>
      <c r="C610" s="957" t="s">
        <v>2482</v>
      </c>
      <c r="D610" s="957" t="s">
        <v>90</v>
      </c>
      <c r="E610" s="219">
        <v>65</v>
      </c>
      <c r="F610" s="957" t="s">
        <v>2193</v>
      </c>
      <c r="G610" s="957" t="s">
        <v>2483</v>
      </c>
      <c r="H610" s="148">
        <v>0.11</v>
      </c>
      <c r="I610" s="144">
        <v>263.70999999999998</v>
      </c>
      <c r="J610" s="139">
        <v>0</v>
      </c>
      <c r="K610" s="139">
        <v>0</v>
      </c>
      <c r="L610" s="148">
        <v>0</v>
      </c>
      <c r="M610" s="148">
        <v>0</v>
      </c>
      <c r="N610" s="148">
        <v>0</v>
      </c>
      <c r="O610" s="148">
        <v>0</v>
      </c>
      <c r="P610" s="118"/>
      <c r="Q610" s="376"/>
      <c r="R610" s="381"/>
      <c r="S610" s="381"/>
      <c r="T610" s="379"/>
      <c r="U610" s="379"/>
      <c r="V610" s="379"/>
      <c r="W610" s="379"/>
      <c r="X610" s="380"/>
      <c r="Y610" s="376"/>
      <c r="Z610" s="381"/>
      <c r="AA610" s="381"/>
      <c r="AB610" s="379"/>
      <c r="AC610" s="379"/>
      <c r="AD610" s="379"/>
      <c r="AE610" s="379"/>
      <c r="AF610" s="380"/>
    </row>
    <row r="611" spans="1:32" ht="8.4499999999999993" customHeight="1" x14ac:dyDescent="0.2">
      <c r="A611" s="252" t="str">
        <f t="shared" si="1"/>
        <v xml:space="preserve">09.003.001.003 </v>
      </c>
      <c r="B611" s="707">
        <v>120</v>
      </c>
      <c r="C611" s="957" t="s">
        <v>2484</v>
      </c>
      <c r="D611" s="957" t="s">
        <v>90</v>
      </c>
      <c r="E611" s="707">
        <v>104</v>
      </c>
      <c r="F611" s="957" t="s">
        <v>2193</v>
      </c>
      <c r="G611" s="957" t="s">
        <v>2178</v>
      </c>
      <c r="H611" s="148">
        <v>0.4</v>
      </c>
      <c r="I611" s="144">
        <v>433.79</v>
      </c>
      <c r="J611" s="139">
        <v>0</v>
      </c>
      <c r="K611" s="139">
        <v>0</v>
      </c>
      <c r="L611" s="148">
        <v>0</v>
      </c>
      <c r="M611" s="148">
        <v>0</v>
      </c>
      <c r="N611" s="148">
        <v>0</v>
      </c>
      <c r="O611" s="148">
        <v>0</v>
      </c>
      <c r="P611" s="118"/>
      <c r="Q611" s="376"/>
      <c r="R611" s="381"/>
      <c r="S611" s="381"/>
      <c r="T611" s="379"/>
      <c r="U611" s="379"/>
      <c r="V611" s="379"/>
      <c r="W611" s="379"/>
      <c r="X611" s="380"/>
      <c r="Y611" s="376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tr">
        <f t="shared" si="1"/>
        <v xml:space="preserve">09.003.001.004 </v>
      </c>
      <c r="B612" s="707">
        <v>121</v>
      </c>
      <c r="C612" s="957" t="s">
        <v>1559</v>
      </c>
      <c r="D612" s="957" t="s">
        <v>90</v>
      </c>
      <c r="E612" s="707">
        <v>104</v>
      </c>
      <c r="F612" s="957" t="s">
        <v>2193</v>
      </c>
      <c r="G612" s="957" t="s">
        <v>2178</v>
      </c>
      <c r="H612" s="148">
        <v>0.44</v>
      </c>
      <c r="I612" s="142">
        <v>1410.27</v>
      </c>
      <c r="J612" s="139">
        <v>0</v>
      </c>
      <c r="K612" s="139">
        <v>0</v>
      </c>
      <c r="L612" s="148">
        <v>0</v>
      </c>
      <c r="M612" s="148">
        <v>0</v>
      </c>
      <c r="N612" s="148">
        <v>0</v>
      </c>
      <c r="O612" s="148">
        <v>0</v>
      </c>
      <c r="P612" s="118"/>
      <c r="Q612" s="375"/>
      <c r="R612" s="375"/>
      <c r="S612" s="375"/>
      <c r="T612" s="375"/>
      <c r="U612" s="375"/>
      <c r="V612" s="375"/>
      <c r="W612" s="375"/>
      <c r="X612" s="375"/>
      <c r="Y612" s="375"/>
      <c r="Z612" s="375"/>
      <c r="AA612" s="375"/>
      <c r="AB612" s="375"/>
      <c r="AC612" s="375"/>
      <c r="AD612" s="375"/>
      <c r="AE612" s="375"/>
      <c r="AF612" s="375"/>
    </row>
    <row r="613" spans="1:32" ht="8.4499999999999993" customHeight="1" x14ac:dyDescent="0.2">
      <c r="A613" s="252" t="str">
        <f t="shared" si="1"/>
        <v xml:space="preserve">09.003.001.005 </v>
      </c>
      <c r="B613" s="707">
        <v>122</v>
      </c>
      <c r="C613" s="957" t="s">
        <v>2485</v>
      </c>
      <c r="D613" s="957" t="s">
        <v>90</v>
      </c>
      <c r="E613" s="219">
        <v>19</v>
      </c>
      <c r="F613" s="957" t="s">
        <v>2478</v>
      </c>
      <c r="G613" s="957" t="s">
        <v>2174</v>
      </c>
      <c r="H613" s="148">
        <v>0.09</v>
      </c>
      <c r="I613" s="146">
        <v>29.08</v>
      </c>
      <c r="J613" s="139">
        <v>0</v>
      </c>
      <c r="K613" s="139">
        <v>0</v>
      </c>
      <c r="L613" s="148">
        <v>0</v>
      </c>
      <c r="M613" s="148">
        <v>0</v>
      </c>
      <c r="N613" s="148">
        <v>0</v>
      </c>
      <c r="O613" s="148">
        <v>0</v>
      </c>
      <c r="P613" s="118"/>
      <c r="Q613" s="376"/>
      <c r="R613" s="381"/>
      <c r="S613" s="381"/>
      <c r="T613" s="379"/>
      <c r="U613" s="379"/>
      <c r="V613" s="379"/>
      <c r="W613" s="379"/>
      <c r="X613" s="380"/>
      <c r="Y613" s="376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tr">
        <f t="shared" si="1"/>
        <v xml:space="preserve">09.003.001.006 </v>
      </c>
      <c r="B614" s="707">
        <v>123</v>
      </c>
      <c r="C614" s="957" t="s">
        <v>2486</v>
      </c>
      <c r="D614" s="957" t="s">
        <v>90</v>
      </c>
      <c r="E614" s="219">
        <v>19</v>
      </c>
      <c r="F614" s="957" t="s">
        <v>2478</v>
      </c>
      <c r="G614" s="957" t="s">
        <v>2174</v>
      </c>
      <c r="H614" s="148">
        <v>0.01</v>
      </c>
      <c r="I614" s="146">
        <v>29.08</v>
      </c>
      <c r="J614" s="139">
        <v>0</v>
      </c>
      <c r="K614" s="139">
        <v>0</v>
      </c>
      <c r="L614" s="148">
        <v>0</v>
      </c>
      <c r="M614" s="148">
        <v>0</v>
      </c>
      <c r="N614" s="148">
        <v>0</v>
      </c>
      <c r="O614" s="148">
        <v>0</v>
      </c>
      <c r="P614" s="118"/>
      <c r="Q614" s="377"/>
      <c r="R614" s="381"/>
      <c r="S614" s="381"/>
      <c r="T614" s="379"/>
      <c r="U614" s="379"/>
      <c r="V614" s="379"/>
      <c r="W614" s="379"/>
      <c r="X614" s="380"/>
      <c r="Y614" s="377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tr">
        <f t="shared" si="1"/>
        <v xml:space="preserve">09.003.002 </v>
      </c>
      <c r="B615" s="116">
        <v>124</v>
      </c>
      <c r="C615" s="137" t="s">
        <v>1560</v>
      </c>
      <c r="D615" s="137"/>
      <c r="E615" s="116">
        <v>104</v>
      </c>
      <c r="F615" s="137" t="s">
        <v>2193</v>
      </c>
      <c r="G615" s="137" t="s">
        <v>2178</v>
      </c>
      <c r="H615" s="138"/>
      <c r="I615" s="138"/>
      <c r="J615" s="138"/>
      <c r="K615" s="138"/>
      <c r="L615" s="138"/>
      <c r="M615" s="138"/>
      <c r="N615" s="138"/>
      <c r="O615" s="138"/>
      <c r="P615" s="138"/>
      <c r="Q615" s="377"/>
      <c r="R615" s="381"/>
      <c r="S615" s="381"/>
      <c r="T615" s="379"/>
      <c r="U615" s="379"/>
      <c r="V615" s="379"/>
      <c r="W615" s="379"/>
      <c r="X615" s="380"/>
      <c r="Y615" s="377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tr">
        <f t="shared" si="1"/>
        <v xml:space="preserve">09.003.002.001 </v>
      </c>
      <c r="B616" s="707">
        <v>125</v>
      </c>
      <c r="C616" s="957" t="s">
        <v>2487</v>
      </c>
      <c r="D616" s="957" t="s">
        <v>15</v>
      </c>
      <c r="E616" s="219">
        <v>45</v>
      </c>
      <c r="F616" s="957" t="s">
        <v>2193</v>
      </c>
      <c r="G616" s="957" t="s">
        <v>2476</v>
      </c>
      <c r="H616" s="148">
        <v>0.02</v>
      </c>
      <c r="I616" s="144">
        <v>233.77</v>
      </c>
      <c r="J616" s="139">
        <v>0</v>
      </c>
      <c r="K616" s="139">
        <v>0</v>
      </c>
      <c r="L616" s="148">
        <v>0</v>
      </c>
      <c r="M616" s="148">
        <v>0</v>
      </c>
      <c r="N616" s="148">
        <v>0</v>
      </c>
      <c r="O616" s="148">
        <v>0</v>
      </c>
      <c r="P616" s="118"/>
      <c r="Q616" s="376"/>
      <c r="R616" s="381"/>
      <c r="S616" s="381"/>
      <c r="T616" s="379"/>
      <c r="U616" s="379"/>
      <c r="V616" s="379"/>
      <c r="W616" s="379"/>
      <c r="X616" s="380"/>
      <c r="Y616" s="376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tr">
        <f t="shared" si="1"/>
        <v xml:space="preserve">09.003.002.002 </v>
      </c>
      <c r="B617" s="707">
        <v>126</v>
      </c>
      <c r="C617" s="957" t="s">
        <v>2488</v>
      </c>
      <c r="D617" s="957" t="s">
        <v>15</v>
      </c>
      <c r="E617" s="219">
        <v>65</v>
      </c>
      <c r="F617" s="957" t="s">
        <v>2193</v>
      </c>
      <c r="G617" s="957" t="s">
        <v>2483</v>
      </c>
      <c r="H617" s="148">
        <v>0.01</v>
      </c>
      <c r="I617" s="144">
        <v>179.68</v>
      </c>
      <c r="J617" s="139">
        <v>0</v>
      </c>
      <c r="K617" s="139">
        <v>0</v>
      </c>
      <c r="L617" s="148">
        <v>0</v>
      </c>
      <c r="M617" s="148">
        <v>0</v>
      </c>
      <c r="N617" s="148">
        <v>0</v>
      </c>
      <c r="O617" s="148">
        <v>0</v>
      </c>
      <c r="P617" s="118"/>
      <c r="Q617" s="376"/>
      <c r="R617" s="381"/>
      <c r="S617" s="381"/>
      <c r="T617" s="379"/>
      <c r="U617" s="379"/>
      <c r="V617" s="379"/>
      <c r="W617" s="379"/>
      <c r="X617" s="380"/>
      <c r="Y617" s="376"/>
      <c r="Z617" s="381"/>
      <c r="AA617" s="381"/>
      <c r="AB617" s="379"/>
      <c r="AC617" s="379"/>
      <c r="AD617" s="379"/>
      <c r="AE617" s="379"/>
      <c r="AF617" s="380"/>
    </row>
    <row r="618" spans="1:32" ht="8.4499999999999993" customHeight="1" x14ac:dyDescent="0.2">
      <c r="A618" s="252" t="str">
        <f t="shared" si="1"/>
        <v xml:space="preserve">09.003.002.003 </v>
      </c>
      <c r="B618" s="707">
        <v>127</v>
      </c>
      <c r="C618" s="957" t="s">
        <v>2489</v>
      </c>
      <c r="D618" s="957" t="s">
        <v>15</v>
      </c>
      <c r="E618" s="707">
        <v>104</v>
      </c>
      <c r="F618" s="957" t="s">
        <v>2193</v>
      </c>
      <c r="G618" s="957" t="s">
        <v>2178</v>
      </c>
      <c r="H618" s="148">
        <v>0.02</v>
      </c>
      <c r="I618" s="144">
        <v>193.4</v>
      </c>
      <c r="J618" s="139">
        <v>0</v>
      </c>
      <c r="K618" s="139">
        <v>0</v>
      </c>
      <c r="L618" s="148">
        <v>0</v>
      </c>
      <c r="M618" s="148">
        <v>0</v>
      </c>
      <c r="N618" s="148">
        <v>0</v>
      </c>
      <c r="O618" s="148">
        <v>0</v>
      </c>
      <c r="P618" s="118"/>
      <c r="Q618" s="377"/>
      <c r="R618" s="381"/>
      <c r="S618" s="381"/>
      <c r="T618" s="379"/>
      <c r="U618" s="379"/>
      <c r="V618" s="379"/>
      <c r="W618" s="379"/>
      <c r="X618" s="380"/>
      <c r="Y618" s="377"/>
      <c r="Z618" s="381"/>
      <c r="AA618" s="381"/>
      <c r="AB618" s="379"/>
      <c r="AC618" s="379"/>
      <c r="AD618" s="379"/>
      <c r="AE618" s="379"/>
      <c r="AF618" s="380"/>
    </row>
    <row r="619" spans="1:32" ht="8.4499999999999993" customHeight="1" x14ac:dyDescent="0.2">
      <c r="A619" s="252" t="str">
        <f t="shared" si="1"/>
        <v xml:space="preserve">09.003.002.004 </v>
      </c>
      <c r="B619" s="707">
        <v>128</v>
      </c>
      <c r="C619" s="957" t="s">
        <v>1561</v>
      </c>
      <c r="D619" s="957" t="s">
        <v>15</v>
      </c>
      <c r="E619" s="707">
        <v>104</v>
      </c>
      <c r="F619" s="957" t="s">
        <v>2193</v>
      </c>
      <c r="G619" s="957" t="s">
        <v>2178</v>
      </c>
      <c r="H619" s="148">
        <v>0.09</v>
      </c>
      <c r="I619" s="144">
        <v>606.85</v>
      </c>
      <c r="J619" s="139">
        <v>0</v>
      </c>
      <c r="K619" s="139">
        <v>0</v>
      </c>
      <c r="L619" s="148">
        <v>0</v>
      </c>
      <c r="M619" s="148">
        <v>0</v>
      </c>
      <c r="N619" s="148">
        <v>0</v>
      </c>
      <c r="O619" s="148">
        <v>0</v>
      </c>
      <c r="P619" s="118"/>
      <c r="Q619" s="375"/>
      <c r="R619" s="375"/>
      <c r="S619" s="375"/>
      <c r="T619" s="375"/>
      <c r="U619" s="375"/>
      <c r="V619" s="375"/>
      <c r="W619" s="375"/>
      <c r="X619" s="375"/>
      <c r="Y619" s="375"/>
      <c r="Z619" s="375"/>
      <c r="AA619" s="375"/>
      <c r="AB619" s="375"/>
      <c r="AC619" s="375"/>
      <c r="AD619" s="375"/>
      <c r="AE619" s="375"/>
      <c r="AF619" s="375"/>
    </row>
    <row r="620" spans="1:32" ht="8.4499999999999993" customHeight="1" x14ac:dyDescent="0.2">
      <c r="A620" s="252" t="str">
        <f t="shared" ref="A620:A683" si="2">VLOOKUP($C620&amp;$B620,$A$2008:$G$2532,2,0)</f>
        <v xml:space="preserve">09.003.003 </v>
      </c>
      <c r="B620" s="116">
        <v>129</v>
      </c>
      <c r="C620" s="137" t="s">
        <v>1562</v>
      </c>
      <c r="D620" s="137"/>
      <c r="E620" s="115">
        <v>62</v>
      </c>
      <c r="F620" s="137" t="s">
        <v>2478</v>
      </c>
      <c r="G620" s="137" t="s">
        <v>2181</v>
      </c>
      <c r="H620" s="138"/>
      <c r="I620" s="138"/>
      <c r="J620" s="138"/>
      <c r="K620" s="138"/>
      <c r="L620" s="138"/>
      <c r="M620" s="138"/>
      <c r="N620" s="138"/>
      <c r="O620" s="138"/>
      <c r="P620" s="138"/>
      <c r="Q620" s="375"/>
      <c r="R620" s="375"/>
      <c r="S620" s="375"/>
      <c r="T620" s="375"/>
      <c r="U620" s="375"/>
      <c r="V620" s="375"/>
      <c r="W620" s="375"/>
      <c r="X620" s="375"/>
      <c r="Y620" s="375"/>
      <c r="Z620" s="375"/>
      <c r="AA620" s="375"/>
      <c r="AB620" s="375"/>
      <c r="AC620" s="375"/>
      <c r="AD620" s="375"/>
      <c r="AE620" s="375"/>
      <c r="AF620" s="375"/>
    </row>
    <row r="621" spans="1:32" ht="8.4499999999999993" customHeight="1" x14ac:dyDescent="0.2">
      <c r="A621" s="252" t="str">
        <f t="shared" si="2"/>
        <v xml:space="preserve">09.003.003.001 </v>
      </c>
      <c r="B621" s="707">
        <v>130</v>
      </c>
      <c r="C621" s="957" t="s">
        <v>2021</v>
      </c>
      <c r="D621" s="957" t="s">
        <v>90</v>
      </c>
      <c r="E621" s="219">
        <v>62</v>
      </c>
      <c r="F621" s="957" t="s">
        <v>2478</v>
      </c>
      <c r="G621" s="957" t="s">
        <v>2181</v>
      </c>
      <c r="H621" s="148">
        <v>0</v>
      </c>
      <c r="I621" s="144">
        <v>712.77</v>
      </c>
      <c r="J621" s="139">
        <v>0</v>
      </c>
      <c r="K621" s="139">
        <v>0</v>
      </c>
      <c r="L621" s="148">
        <v>0</v>
      </c>
      <c r="M621" s="148">
        <v>0</v>
      </c>
      <c r="N621" s="148">
        <v>0</v>
      </c>
      <c r="O621" s="148">
        <v>0</v>
      </c>
      <c r="P621" s="118"/>
      <c r="Q621" s="376"/>
      <c r="R621" s="381"/>
      <c r="S621" s="381"/>
      <c r="T621" s="379"/>
      <c r="U621" s="379"/>
      <c r="V621" s="379"/>
      <c r="W621" s="379"/>
      <c r="X621" s="380"/>
      <c r="Y621" s="376"/>
      <c r="Z621" s="381"/>
      <c r="AA621" s="381"/>
      <c r="AB621" s="379"/>
      <c r="AC621" s="379"/>
      <c r="AD621" s="379"/>
      <c r="AE621" s="379"/>
      <c r="AF621" s="380"/>
    </row>
    <row r="622" spans="1:32" ht="8.4499999999999993" customHeight="1" x14ac:dyDescent="0.2">
      <c r="A622" s="252" t="str">
        <f t="shared" si="2"/>
        <v xml:space="preserve">09.003.003.002 </v>
      </c>
      <c r="B622" s="707">
        <v>131</v>
      </c>
      <c r="C622" s="957" t="s">
        <v>1953</v>
      </c>
      <c r="D622" s="957" t="s">
        <v>90</v>
      </c>
      <c r="E622" s="219">
        <v>62</v>
      </c>
      <c r="F622" s="957" t="s">
        <v>2478</v>
      </c>
      <c r="G622" s="957" t="s">
        <v>2181</v>
      </c>
      <c r="H622" s="148">
        <v>0</v>
      </c>
      <c r="I622" s="144">
        <v>697.5</v>
      </c>
      <c r="J622" s="139">
        <v>0</v>
      </c>
      <c r="K622" s="139">
        <v>0</v>
      </c>
      <c r="L622" s="148">
        <v>0</v>
      </c>
      <c r="M622" s="148">
        <v>0</v>
      </c>
      <c r="N622" s="148">
        <v>0</v>
      </c>
      <c r="O622" s="148">
        <v>0</v>
      </c>
      <c r="P622" s="118"/>
      <c r="Q622" s="375"/>
      <c r="R622" s="375"/>
      <c r="S622" s="375"/>
      <c r="T622" s="375"/>
      <c r="U622" s="375"/>
      <c r="V622" s="375"/>
      <c r="W622" s="375"/>
      <c r="X622" s="375"/>
      <c r="Y622" s="375"/>
      <c r="Z622" s="375"/>
      <c r="AA622" s="375"/>
      <c r="AB622" s="375"/>
      <c r="AC622" s="375"/>
      <c r="AD622" s="375"/>
      <c r="AE622" s="375"/>
      <c r="AF622" s="375"/>
    </row>
    <row r="623" spans="1:32" ht="8.4499999999999993" customHeight="1" x14ac:dyDescent="0.2">
      <c r="A623" s="252" t="str">
        <f t="shared" si="2"/>
        <v xml:space="preserve">09.003.003.003 </v>
      </c>
      <c r="B623" s="707">
        <v>132</v>
      </c>
      <c r="C623" s="957" t="s">
        <v>2020</v>
      </c>
      <c r="D623" s="957" t="s">
        <v>90</v>
      </c>
      <c r="E623" s="219">
        <v>34</v>
      </c>
      <c r="F623" s="957" t="s">
        <v>2012</v>
      </c>
      <c r="G623" s="957" t="s">
        <v>2181</v>
      </c>
      <c r="H623" s="148">
        <v>0</v>
      </c>
      <c r="I623" s="146">
        <v>29.08</v>
      </c>
      <c r="J623" s="139">
        <v>0</v>
      </c>
      <c r="K623" s="139">
        <v>0</v>
      </c>
      <c r="L623" s="148">
        <v>0</v>
      </c>
      <c r="M623" s="148">
        <v>0</v>
      </c>
      <c r="N623" s="148">
        <v>0</v>
      </c>
      <c r="O623" s="148">
        <v>0</v>
      </c>
      <c r="P623" s="118"/>
      <c r="Q623" s="376"/>
      <c r="R623" s="381"/>
      <c r="S623" s="381"/>
      <c r="T623" s="379"/>
      <c r="U623" s="379"/>
      <c r="V623" s="379"/>
      <c r="W623" s="379"/>
      <c r="X623" s="380"/>
      <c r="Y623" s="376"/>
      <c r="Z623" s="381"/>
      <c r="AA623" s="381"/>
      <c r="AB623" s="379"/>
      <c r="AC623" s="379"/>
      <c r="AD623" s="379"/>
      <c r="AE623" s="379"/>
      <c r="AF623" s="380"/>
    </row>
    <row r="624" spans="1:32" ht="8.4499999999999993" customHeight="1" x14ac:dyDescent="0.2">
      <c r="A624" s="252" t="str">
        <f t="shared" si="2"/>
        <v xml:space="preserve">09.003.003.004 </v>
      </c>
      <c r="B624" s="707">
        <v>133</v>
      </c>
      <c r="C624" s="957" t="s">
        <v>2490</v>
      </c>
      <c r="D624" s="957" t="s">
        <v>90</v>
      </c>
      <c r="E624" s="219">
        <v>62</v>
      </c>
      <c r="F624" s="957" t="s">
        <v>2478</v>
      </c>
      <c r="G624" s="957" t="s">
        <v>2181</v>
      </c>
      <c r="H624" s="148">
        <v>0.09</v>
      </c>
      <c r="I624" s="142">
        <v>1439.35</v>
      </c>
      <c r="J624" s="139">
        <v>0</v>
      </c>
      <c r="K624" s="139">
        <v>0</v>
      </c>
      <c r="L624" s="148">
        <v>0</v>
      </c>
      <c r="M624" s="148">
        <v>0</v>
      </c>
      <c r="N624" s="148">
        <v>0</v>
      </c>
      <c r="O624" s="148">
        <v>0</v>
      </c>
      <c r="P624" s="118"/>
      <c r="Q624" s="385"/>
      <c r="R624" s="381"/>
      <c r="S624" s="381"/>
      <c r="T624" s="379"/>
      <c r="U624" s="379"/>
      <c r="V624" s="379"/>
      <c r="W624" s="379"/>
      <c r="X624" s="380"/>
      <c r="Y624" s="385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tr">
        <f t="shared" si="2"/>
        <v xml:space="preserve">09.004 </v>
      </c>
      <c r="B625" s="116">
        <v>134</v>
      </c>
      <c r="C625" s="137" t="s">
        <v>344</v>
      </c>
      <c r="D625" s="137"/>
      <c r="E625" s="116">
        <v>246</v>
      </c>
      <c r="F625" s="137" t="s">
        <v>2491</v>
      </c>
      <c r="G625" s="137" t="s">
        <v>2024</v>
      </c>
      <c r="H625" s="138"/>
      <c r="I625" s="138"/>
      <c r="J625" s="138"/>
      <c r="K625" s="138"/>
      <c r="L625" s="138"/>
      <c r="M625" s="138"/>
      <c r="N625" s="138"/>
      <c r="O625" s="138"/>
      <c r="P625" s="138"/>
      <c r="Q625" s="375"/>
      <c r="R625" s="375"/>
      <c r="S625" s="375"/>
      <c r="T625" s="375"/>
      <c r="U625" s="375"/>
      <c r="V625" s="375"/>
      <c r="W625" s="375"/>
      <c r="X625" s="375"/>
      <c r="Y625" s="375"/>
      <c r="Z625" s="375"/>
      <c r="AA625" s="375"/>
      <c r="AB625" s="375"/>
      <c r="AC625" s="375"/>
      <c r="AD625" s="375"/>
      <c r="AE625" s="375"/>
      <c r="AF625" s="375"/>
    </row>
    <row r="626" spans="1:32" ht="8.4499999999999993" customHeight="1" x14ac:dyDescent="0.2">
      <c r="A626" s="252" t="str">
        <f t="shared" si="2"/>
        <v xml:space="preserve">09.004.001 </v>
      </c>
      <c r="B626" s="116">
        <v>135</v>
      </c>
      <c r="C626" s="137" t="s">
        <v>1563</v>
      </c>
      <c r="D626" s="137"/>
      <c r="E626" s="115">
        <v>93</v>
      </c>
      <c r="F626" s="137" t="s">
        <v>2173</v>
      </c>
      <c r="G626" s="137" t="s">
        <v>2492</v>
      </c>
      <c r="H626" s="138"/>
      <c r="I626" s="138"/>
      <c r="J626" s="138"/>
      <c r="K626" s="138"/>
      <c r="L626" s="138"/>
      <c r="M626" s="138"/>
      <c r="N626" s="138"/>
      <c r="O626" s="138"/>
      <c r="P626" s="138"/>
      <c r="Q626" s="376"/>
      <c r="R626" s="381"/>
      <c r="S626" s="381"/>
      <c r="T626" s="379"/>
      <c r="U626" s="379"/>
      <c r="V626" s="379"/>
      <c r="W626" s="379"/>
      <c r="X626" s="380"/>
      <c r="Y626" s="376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tr">
        <f t="shared" si="2"/>
        <v xml:space="preserve">09.004.001.001 </v>
      </c>
      <c r="B627" s="707">
        <v>136</v>
      </c>
      <c r="C627" s="957" t="s">
        <v>1564</v>
      </c>
      <c r="D627" s="957" t="s">
        <v>90</v>
      </c>
      <c r="E627" s="219">
        <v>22</v>
      </c>
      <c r="F627" s="957" t="s">
        <v>2173</v>
      </c>
      <c r="G627" s="957" t="s">
        <v>2167</v>
      </c>
      <c r="H627" s="148">
        <v>0.02</v>
      </c>
      <c r="I627" s="139">
        <v>4.4800000000000004</v>
      </c>
      <c r="J627" s="139">
        <v>0</v>
      </c>
      <c r="K627" s="139">
        <v>0</v>
      </c>
      <c r="L627" s="148">
        <v>0</v>
      </c>
      <c r="M627" s="148">
        <v>0</v>
      </c>
      <c r="N627" s="148">
        <v>0</v>
      </c>
      <c r="O627" s="148">
        <v>0</v>
      </c>
      <c r="P627" s="118"/>
      <c r="Q627" s="375"/>
      <c r="R627" s="375"/>
      <c r="S627" s="375"/>
      <c r="T627" s="375"/>
      <c r="U627" s="375"/>
      <c r="V627" s="375"/>
      <c r="W627" s="375"/>
      <c r="X627" s="375"/>
      <c r="Y627" s="375"/>
      <c r="Z627" s="375"/>
      <c r="AA627" s="375"/>
      <c r="AB627" s="375"/>
      <c r="AC627" s="375"/>
      <c r="AD627" s="375"/>
      <c r="AE627" s="375"/>
      <c r="AF627" s="375"/>
    </row>
    <row r="628" spans="1:32" ht="8.4499999999999993" customHeight="1" x14ac:dyDescent="0.2">
      <c r="A628" s="252" t="str">
        <f t="shared" si="2"/>
        <v xml:space="preserve">09.004.001.002 </v>
      </c>
      <c r="B628" s="707">
        <v>137</v>
      </c>
      <c r="C628" s="957" t="s">
        <v>1565</v>
      </c>
      <c r="D628" s="957" t="s">
        <v>90</v>
      </c>
      <c r="E628" s="706">
        <v>6</v>
      </c>
      <c r="F628" s="957" t="s">
        <v>2033</v>
      </c>
      <c r="G628" s="957" t="s">
        <v>2492</v>
      </c>
      <c r="H628" s="148">
        <v>0.04</v>
      </c>
      <c r="I628" s="146">
        <v>10.29</v>
      </c>
      <c r="J628" s="139">
        <v>0</v>
      </c>
      <c r="K628" s="139">
        <v>0</v>
      </c>
      <c r="L628" s="148">
        <v>0</v>
      </c>
      <c r="M628" s="148">
        <v>0</v>
      </c>
      <c r="N628" s="148">
        <v>0</v>
      </c>
      <c r="O628" s="148">
        <v>0</v>
      </c>
      <c r="P628" s="118"/>
      <c r="Q628" s="376"/>
      <c r="R628" s="381"/>
      <c r="S628" s="381"/>
      <c r="T628" s="379"/>
      <c r="U628" s="379"/>
      <c r="V628" s="379"/>
      <c r="W628" s="379"/>
      <c r="X628" s="380"/>
      <c r="Y628" s="376"/>
      <c r="Z628" s="381"/>
      <c r="AA628" s="381"/>
      <c r="AB628" s="379"/>
      <c r="AC628" s="379"/>
      <c r="AD628" s="379"/>
      <c r="AE628" s="379"/>
      <c r="AF628" s="380"/>
    </row>
    <row r="629" spans="1:32" ht="8.4499999999999993" customHeight="1" x14ac:dyDescent="0.2">
      <c r="A629" s="252" t="str">
        <f t="shared" si="2"/>
        <v xml:space="preserve">09.004.001.003 </v>
      </c>
      <c r="B629" s="707">
        <v>138</v>
      </c>
      <c r="C629" s="957" t="s">
        <v>2493</v>
      </c>
      <c r="D629" s="957" t="s">
        <v>90</v>
      </c>
      <c r="E629" s="706">
        <v>6</v>
      </c>
      <c r="F629" s="957" t="s">
        <v>2033</v>
      </c>
      <c r="G629" s="957" t="s">
        <v>2492</v>
      </c>
      <c r="H629" s="148">
        <v>0.01</v>
      </c>
      <c r="I629" s="146">
        <v>14.77</v>
      </c>
      <c r="J629" s="139">
        <v>0</v>
      </c>
      <c r="K629" s="139">
        <v>0</v>
      </c>
      <c r="L629" s="148">
        <v>0</v>
      </c>
      <c r="M629" s="148">
        <v>0</v>
      </c>
      <c r="N629" s="148">
        <v>0</v>
      </c>
      <c r="O629" s="148">
        <v>0</v>
      </c>
      <c r="P629" s="118"/>
      <c r="Q629" s="375"/>
      <c r="R629" s="375"/>
      <c r="S629" s="375"/>
      <c r="T629" s="375"/>
      <c r="U629" s="375"/>
      <c r="V629" s="375"/>
      <c r="W629" s="375"/>
      <c r="X629" s="375"/>
      <c r="Y629" s="375"/>
      <c r="Z629" s="375"/>
      <c r="AA629" s="375"/>
      <c r="AB629" s="375"/>
      <c r="AC629" s="375"/>
      <c r="AD629" s="375"/>
      <c r="AE629" s="375"/>
      <c r="AF629" s="375"/>
    </row>
    <row r="630" spans="1:32" ht="8.4499999999999993" customHeight="1" x14ac:dyDescent="0.2">
      <c r="A630" s="252" t="str">
        <f t="shared" si="2"/>
        <v xml:space="preserve">09.004.002 </v>
      </c>
      <c r="B630" s="116">
        <v>139</v>
      </c>
      <c r="C630" s="137" t="s">
        <v>1566</v>
      </c>
      <c r="D630" s="137"/>
      <c r="E630" s="115">
        <v>93</v>
      </c>
      <c r="F630" s="137" t="s">
        <v>2173</v>
      </c>
      <c r="G630" s="137" t="s">
        <v>2492</v>
      </c>
      <c r="H630" s="138"/>
      <c r="I630" s="138"/>
      <c r="J630" s="138"/>
      <c r="K630" s="138"/>
      <c r="L630" s="138"/>
      <c r="M630" s="138"/>
      <c r="N630" s="138"/>
      <c r="O630" s="138"/>
      <c r="P630" s="138"/>
      <c r="Q630" s="375"/>
      <c r="R630" s="375"/>
      <c r="S630" s="375"/>
      <c r="T630" s="375"/>
      <c r="U630" s="375"/>
      <c r="V630" s="375"/>
      <c r="W630" s="375"/>
      <c r="X630" s="375"/>
      <c r="Y630" s="375"/>
      <c r="Z630" s="375"/>
      <c r="AA630" s="375"/>
      <c r="AB630" s="375"/>
      <c r="AC630" s="375"/>
      <c r="AD630" s="375"/>
      <c r="AE630" s="375"/>
      <c r="AF630" s="375"/>
    </row>
    <row r="631" spans="1:32" ht="8.4499999999999993" customHeight="1" x14ac:dyDescent="0.2">
      <c r="A631" s="252" t="str">
        <f t="shared" si="2"/>
        <v xml:space="preserve">09.004.002.001 </v>
      </c>
      <c r="B631" s="707">
        <v>140</v>
      </c>
      <c r="C631" s="957" t="s">
        <v>2494</v>
      </c>
      <c r="D631" s="957" t="s">
        <v>15</v>
      </c>
      <c r="E631" s="219">
        <v>22</v>
      </c>
      <c r="F631" s="957" t="s">
        <v>2173</v>
      </c>
      <c r="G631" s="957" t="s">
        <v>2167</v>
      </c>
      <c r="H631" s="148">
        <v>0.02</v>
      </c>
      <c r="I631" s="146">
        <v>26.22</v>
      </c>
      <c r="J631" s="139">
        <v>0</v>
      </c>
      <c r="K631" s="139">
        <v>0</v>
      </c>
      <c r="L631" s="148">
        <v>0</v>
      </c>
      <c r="M631" s="148">
        <v>0</v>
      </c>
      <c r="N631" s="148">
        <v>0</v>
      </c>
      <c r="O631" s="148">
        <v>0</v>
      </c>
      <c r="P631" s="118"/>
      <c r="Q631" s="376"/>
      <c r="R631" s="381"/>
      <c r="S631" s="381"/>
      <c r="T631" s="379"/>
      <c r="U631" s="379"/>
      <c r="V631" s="379"/>
      <c r="W631" s="379"/>
      <c r="X631" s="380"/>
      <c r="Y631" s="376"/>
      <c r="Z631" s="381"/>
      <c r="AA631" s="381"/>
      <c r="AB631" s="379"/>
      <c r="AC631" s="379"/>
      <c r="AD631" s="379"/>
      <c r="AE631" s="379"/>
      <c r="AF631" s="380"/>
    </row>
    <row r="632" spans="1:32" ht="8.4499999999999993" customHeight="1" x14ac:dyDescent="0.2">
      <c r="A632" s="252" t="str">
        <f t="shared" si="2"/>
        <v xml:space="preserve">09.004.002.002 </v>
      </c>
      <c r="B632" s="707">
        <v>141</v>
      </c>
      <c r="C632" s="957" t="s">
        <v>2495</v>
      </c>
      <c r="D632" s="957" t="s">
        <v>15</v>
      </c>
      <c r="E632" s="706">
        <v>6</v>
      </c>
      <c r="F632" s="957" t="s">
        <v>2033</v>
      </c>
      <c r="G632" s="957" t="s">
        <v>2492</v>
      </c>
      <c r="H632" s="148">
        <v>0.03</v>
      </c>
      <c r="I632" s="146">
        <v>54.44</v>
      </c>
      <c r="J632" s="139">
        <v>0</v>
      </c>
      <c r="K632" s="139">
        <v>0</v>
      </c>
      <c r="L632" s="148">
        <v>0</v>
      </c>
      <c r="M632" s="148">
        <v>0</v>
      </c>
      <c r="N632" s="148">
        <v>0</v>
      </c>
      <c r="O632" s="148">
        <v>0</v>
      </c>
      <c r="P632" s="118"/>
      <c r="Q632" s="376"/>
      <c r="R632" s="381"/>
      <c r="S632" s="381"/>
      <c r="T632" s="379"/>
      <c r="U632" s="379"/>
      <c r="V632" s="379"/>
      <c r="W632" s="379"/>
      <c r="X632" s="380"/>
      <c r="Y632" s="376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tr">
        <f t="shared" si="2"/>
        <v xml:space="preserve">09.004.002.003 </v>
      </c>
      <c r="B633" s="707">
        <v>142</v>
      </c>
      <c r="C633" s="957" t="s">
        <v>1567</v>
      </c>
      <c r="D633" s="957" t="s">
        <v>15</v>
      </c>
      <c r="E633" s="706">
        <v>6</v>
      </c>
      <c r="F633" s="957" t="s">
        <v>2033</v>
      </c>
      <c r="G633" s="957" t="s">
        <v>2492</v>
      </c>
      <c r="H633" s="148">
        <v>0.01</v>
      </c>
      <c r="I633" s="146">
        <v>80.66</v>
      </c>
      <c r="J633" s="139">
        <v>0</v>
      </c>
      <c r="K633" s="139">
        <v>0</v>
      </c>
      <c r="L633" s="148">
        <v>0</v>
      </c>
      <c r="M633" s="148">
        <v>0</v>
      </c>
      <c r="N633" s="148">
        <v>0</v>
      </c>
      <c r="O633" s="148">
        <v>0</v>
      </c>
      <c r="P633" s="118"/>
      <c r="Q633" s="376"/>
      <c r="R633" s="381"/>
      <c r="S633" s="381"/>
      <c r="T633" s="379"/>
      <c r="U633" s="379"/>
      <c r="V633" s="379"/>
      <c r="W633" s="379"/>
      <c r="X633" s="380"/>
      <c r="Y633" s="376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tr">
        <f t="shared" si="2"/>
        <v xml:space="preserve">09.004.003 </v>
      </c>
      <c r="B634" s="116">
        <v>143</v>
      </c>
      <c r="C634" s="137" t="s">
        <v>1568</v>
      </c>
      <c r="D634" s="137"/>
      <c r="E634" s="114">
        <v>6</v>
      </c>
      <c r="F634" s="137" t="s">
        <v>2033</v>
      </c>
      <c r="G634" s="137" t="s">
        <v>2492</v>
      </c>
      <c r="H634" s="138"/>
      <c r="I634" s="138"/>
      <c r="J634" s="138"/>
      <c r="K634" s="138"/>
      <c r="L634" s="138"/>
      <c r="M634" s="138"/>
      <c r="N634" s="138"/>
      <c r="O634" s="138"/>
      <c r="P634" s="138"/>
      <c r="Q634" s="375"/>
      <c r="R634" s="375"/>
      <c r="S634" s="375"/>
      <c r="T634" s="375"/>
      <c r="U634" s="375"/>
      <c r="V634" s="375"/>
      <c r="W634" s="375"/>
      <c r="X634" s="375"/>
      <c r="Y634" s="375"/>
      <c r="Z634" s="375"/>
      <c r="AA634" s="375"/>
      <c r="AB634" s="375"/>
      <c r="AC634" s="375"/>
      <c r="AD634" s="375"/>
      <c r="AE634" s="375"/>
      <c r="AF634" s="375"/>
    </row>
    <row r="635" spans="1:32" ht="8.4499999999999993" customHeight="1" x14ac:dyDescent="0.2">
      <c r="A635" s="252" t="str">
        <f t="shared" si="2"/>
        <v xml:space="preserve">09.004.003.001 </v>
      </c>
      <c r="B635" s="707">
        <v>144</v>
      </c>
      <c r="C635" s="957" t="s">
        <v>1569</v>
      </c>
      <c r="D635" s="957" t="s">
        <v>90</v>
      </c>
      <c r="E635" s="706">
        <v>6</v>
      </c>
      <c r="F635" s="957" t="s">
        <v>2033</v>
      </c>
      <c r="G635" s="957" t="s">
        <v>2492</v>
      </c>
      <c r="H635" s="148">
        <v>0</v>
      </c>
      <c r="I635" s="146">
        <v>14.77</v>
      </c>
      <c r="J635" s="139">
        <v>0</v>
      </c>
      <c r="K635" s="139">
        <v>0</v>
      </c>
      <c r="L635" s="148">
        <v>0</v>
      </c>
      <c r="M635" s="148">
        <v>0</v>
      </c>
      <c r="N635" s="148">
        <v>0</v>
      </c>
      <c r="O635" s="148">
        <v>0</v>
      </c>
      <c r="P635" s="118"/>
      <c r="Q635" s="377"/>
      <c r="R635" s="381"/>
      <c r="S635" s="381"/>
      <c r="T635" s="379"/>
      <c r="U635" s="379"/>
      <c r="V635" s="379"/>
      <c r="W635" s="379"/>
      <c r="X635" s="380"/>
      <c r="Y635" s="377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tr">
        <f t="shared" si="2"/>
        <v xml:space="preserve">09.004.003.002 </v>
      </c>
      <c r="B636" s="707">
        <v>145</v>
      </c>
      <c r="C636" s="957" t="s">
        <v>2496</v>
      </c>
      <c r="D636" s="957" t="s">
        <v>90</v>
      </c>
      <c r="E636" s="706">
        <v>6</v>
      </c>
      <c r="F636" s="957" t="s">
        <v>2033</v>
      </c>
      <c r="G636" s="957" t="s">
        <v>2492</v>
      </c>
      <c r="H636" s="148">
        <v>0</v>
      </c>
      <c r="I636" s="146">
        <v>14.77</v>
      </c>
      <c r="J636" s="139">
        <v>0</v>
      </c>
      <c r="K636" s="139">
        <v>0</v>
      </c>
      <c r="L636" s="148">
        <v>0</v>
      </c>
      <c r="M636" s="148">
        <v>0</v>
      </c>
      <c r="N636" s="148">
        <v>0</v>
      </c>
      <c r="O636" s="148">
        <v>0</v>
      </c>
      <c r="P636" s="118"/>
      <c r="Q636" s="376"/>
      <c r="R636" s="381"/>
      <c r="S636" s="381"/>
      <c r="T636" s="379"/>
      <c r="U636" s="379"/>
      <c r="V636" s="379"/>
      <c r="W636" s="379"/>
      <c r="X636" s="380"/>
      <c r="Y636" s="376"/>
      <c r="Z636" s="381"/>
      <c r="AA636" s="381"/>
      <c r="AB636" s="379"/>
      <c r="AC636" s="379"/>
      <c r="AD636" s="379"/>
      <c r="AE636" s="379"/>
      <c r="AF636" s="380"/>
    </row>
    <row r="637" spans="1:32" ht="8.4499999999999993" customHeight="1" x14ac:dyDescent="0.2">
      <c r="A637" s="252" t="str">
        <f t="shared" si="2"/>
        <v xml:space="preserve">09.004.004 </v>
      </c>
      <c r="B637" s="116">
        <v>146</v>
      </c>
      <c r="C637" s="137" t="s">
        <v>1570</v>
      </c>
      <c r="D637" s="137"/>
      <c r="E637" s="116">
        <v>246</v>
      </c>
      <c r="F637" s="137" t="s">
        <v>2491</v>
      </c>
      <c r="G637" s="137" t="s">
        <v>2024</v>
      </c>
      <c r="H637" s="138"/>
      <c r="I637" s="138"/>
      <c r="J637" s="138"/>
      <c r="K637" s="138"/>
      <c r="L637" s="138"/>
      <c r="M637" s="138"/>
      <c r="N637" s="138"/>
      <c r="O637" s="138"/>
      <c r="P637" s="138"/>
      <c r="Q637" s="376"/>
      <c r="R637" s="381"/>
      <c r="S637" s="381"/>
      <c r="T637" s="379"/>
      <c r="U637" s="379"/>
      <c r="V637" s="379"/>
      <c r="W637" s="379"/>
      <c r="X637" s="380"/>
      <c r="Y637" s="376"/>
      <c r="Z637" s="381"/>
      <c r="AA637" s="381"/>
      <c r="AB637" s="379"/>
      <c r="AC637" s="379"/>
      <c r="AD637" s="379"/>
      <c r="AE637" s="379"/>
      <c r="AF637" s="380"/>
    </row>
    <row r="638" spans="1:32" ht="8.4499999999999993" customHeight="1" x14ac:dyDescent="0.2">
      <c r="A638" s="252" t="str">
        <f t="shared" si="2"/>
        <v xml:space="preserve">09.004.004.001 </v>
      </c>
      <c r="B638" s="707">
        <v>147</v>
      </c>
      <c r="C638" s="957" t="s">
        <v>1571</v>
      </c>
      <c r="D638" s="957" t="s">
        <v>15</v>
      </c>
      <c r="E638" s="219">
        <v>51</v>
      </c>
      <c r="F638" s="957" t="s">
        <v>2193</v>
      </c>
      <c r="G638" s="957" t="s">
        <v>2008</v>
      </c>
      <c r="H638" s="148">
        <v>0.19</v>
      </c>
      <c r="I638" s="144">
        <v>188.51</v>
      </c>
      <c r="J638" s="139">
        <v>0</v>
      </c>
      <c r="K638" s="139">
        <v>0</v>
      </c>
      <c r="L638" s="148">
        <v>0</v>
      </c>
      <c r="M638" s="148">
        <v>0</v>
      </c>
      <c r="N638" s="148">
        <v>0</v>
      </c>
      <c r="O638" s="148">
        <v>0</v>
      </c>
      <c r="P638" s="118"/>
      <c r="Q638" s="385"/>
      <c r="R638" s="381"/>
      <c r="S638" s="381"/>
      <c r="T638" s="379"/>
      <c r="U638" s="379"/>
      <c r="V638" s="379"/>
      <c r="W638" s="379"/>
      <c r="X638" s="380"/>
      <c r="Y638" s="385"/>
      <c r="Z638" s="381"/>
      <c r="AA638" s="381"/>
      <c r="AB638" s="379"/>
      <c r="AC638" s="379"/>
      <c r="AD638" s="379"/>
      <c r="AE638" s="379"/>
      <c r="AF638" s="380"/>
    </row>
    <row r="639" spans="1:32" ht="8.4499999999999993" customHeight="1" x14ac:dyDescent="0.2">
      <c r="A639" s="252" t="str">
        <f t="shared" si="2"/>
        <v xml:space="preserve">09.004.004.002 </v>
      </c>
      <c r="B639" s="707">
        <v>148</v>
      </c>
      <c r="C639" s="957" t="s">
        <v>2497</v>
      </c>
      <c r="D639" s="957" t="s">
        <v>15</v>
      </c>
      <c r="E639" s="219">
        <v>22</v>
      </c>
      <c r="F639" s="957" t="s">
        <v>2034</v>
      </c>
      <c r="G639" s="957" t="s">
        <v>2024</v>
      </c>
      <c r="H639" s="148">
        <v>7.0000000000000007E-2</v>
      </c>
      <c r="I639" s="144">
        <v>141.6</v>
      </c>
      <c r="J639" s="139">
        <v>0</v>
      </c>
      <c r="K639" s="139">
        <v>0</v>
      </c>
      <c r="L639" s="148">
        <v>0</v>
      </c>
      <c r="M639" s="148">
        <v>0</v>
      </c>
      <c r="N639" s="148">
        <v>0</v>
      </c>
      <c r="O639" s="148">
        <v>0</v>
      </c>
      <c r="P639" s="118"/>
      <c r="Q639" s="375"/>
      <c r="R639" s="375"/>
      <c r="S639" s="375"/>
      <c r="T639" s="375"/>
      <c r="U639" s="375"/>
      <c r="V639" s="375"/>
      <c r="W639" s="375"/>
      <c r="X639" s="375"/>
      <c r="Y639" s="375"/>
      <c r="Z639" s="375"/>
      <c r="AA639" s="375"/>
      <c r="AB639" s="375"/>
      <c r="AC639" s="375"/>
      <c r="AD639" s="375"/>
      <c r="AE639" s="375"/>
      <c r="AF639" s="375"/>
    </row>
    <row r="640" spans="1:32" ht="8.4499999999999993" customHeight="1" x14ac:dyDescent="0.2">
      <c r="A640" s="252" t="str">
        <f t="shared" si="2"/>
        <v xml:space="preserve">09.004.004.003 </v>
      </c>
      <c r="B640" s="707">
        <v>149</v>
      </c>
      <c r="C640" s="957" t="s">
        <v>2498</v>
      </c>
      <c r="D640" s="957" t="s">
        <v>15</v>
      </c>
      <c r="E640" s="219">
        <v>51</v>
      </c>
      <c r="F640" s="957" t="s">
        <v>2193</v>
      </c>
      <c r="G640" s="957" t="s">
        <v>2008</v>
      </c>
      <c r="H640" s="148">
        <v>0.04</v>
      </c>
      <c r="I640" s="146">
        <v>76.7</v>
      </c>
      <c r="J640" s="139">
        <v>0</v>
      </c>
      <c r="K640" s="139">
        <v>0</v>
      </c>
      <c r="L640" s="148">
        <v>0</v>
      </c>
      <c r="M640" s="148">
        <v>0</v>
      </c>
      <c r="N640" s="148">
        <v>0</v>
      </c>
      <c r="O640" s="148">
        <v>0</v>
      </c>
      <c r="P640" s="118"/>
      <c r="Q640" s="381"/>
      <c r="R640" s="381"/>
      <c r="S640" s="381"/>
      <c r="T640" s="379"/>
      <c r="U640" s="379"/>
      <c r="V640" s="379"/>
      <c r="W640" s="379"/>
      <c r="X640" s="380"/>
      <c r="Y640" s="381"/>
      <c r="Z640" s="381"/>
      <c r="AA640" s="381"/>
      <c r="AB640" s="379"/>
      <c r="AC640" s="379"/>
      <c r="AD640" s="379"/>
      <c r="AE640" s="379"/>
      <c r="AF640" s="384"/>
    </row>
    <row r="641" spans="1:32" ht="8.4499999999999993" customHeight="1" x14ac:dyDescent="0.2">
      <c r="A641" s="252" t="str">
        <f t="shared" si="2"/>
        <v xml:space="preserve">09.004.004.004 </v>
      </c>
      <c r="B641" s="707">
        <v>150</v>
      </c>
      <c r="C641" s="957" t="s">
        <v>1572</v>
      </c>
      <c r="D641" s="957" t="s">
        <v>15</v>
      </c>
      <c r="E641" s="707">
        <v>106</v>
      </c>
      <c r="F641" s="957" t="s">
        <v>2491</v>
      </c>
      <c r="G641" s="957" t="s">
        <v>2175</v>
      </c>
      <c r="H641" s="148">
        <v>0.22</v>
      </c>
      <c r="I641" s="144">
        <v>302.14999999999998</v>
      </c>
      <c r="J641" s="139">
        <v>0</v>
      </c>
      <c r="K641" s="139">
        <v>0</v>
      </c>
      <c r="L641" s="148">
        <v>0</v>
      </c>
      <c r="M641" s="148">
        <v>0</v>
      </c>
      <c r="N641" s="148">
        <v>0</v>
      </c>
      <c r="O641" s="148">
        <v>0</v>
      </c>
      <c r="P641" s="118"/>
      <c r="Q641" s="381"/>
      <c r="R641" s="381"/>
      <c r="S641" s="381"/>
      <c r="T641" s="379"/>
      <c r="U641" s="379"/>
      <c r="V641" s="379"/>
      <c r="W641" s="379"/>
      <c r="X641" s="380"/>
      <c r="Y641" s="381"/>
      <c r="Z641" s="381"/>
      <c r="AA641" s="381"/>
      <c r="AB641" s="379"/>
      <c r="AC641" s="379"/>
      <c r="AD641" s="379"/>
      <c r="AE641" s="379"/>
      <c r="AF641" s="380"/>
    </row>
    <row r="642" spans="1:32" ht="8.4499999999999993" customHeight="1" x14ac:dyDescent="0.2">
      <c r="A642" s="252" t="str">
        <f t="shared" si="2"/>
        <v xml:space="preserve">09.004.004.005 </v>
      </c>
      <c r="B642" s="707">
        <v>151</v>
      </c>
      <c r="C642" s="957" t="s">
        <v>1573</v>
      </c>
      <c r="D642" s="957" t="s">
        <v>15</v>
      </c>
      <c r="E642" s="219">
        <v>20</v>
      </c>
      <c r="F642" s="957" t="s">
        <v>2499</v>
      </c>
      <c r="G642" s="957" t="s">
        <v>2500</v>
      </c>
      <c r="H642" s="148">
        <v>7.0000000000000007E-2</v>
      </c>
      <c r="I642" s="146">
        <v>73.209999999999994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81"/>
      <c r="R642" s="381"/>
      <c r="S642" s="381"/>
      <c r="T642" s="379"/>
      <c r="U642" s="379"/>
      <c r="V642" s="379"/>
      <c r="W642" s="379"/>
      <c r="X642" s="380"/>
      <c r="Y642" s="381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tr">
        <f t="shared" si="2"/>
        <v xml:space="preserve">09.004.005 </v>
      </c>
      <c r="B643" s="116">
        <v>152</v>
      </c>
      <c r="C643" s="137" t="s">
        <v>2501</v>
      </c>
      <c r="D643" s="137"/>
      <c r="E643" s="115">
        <v>22</v>
      </c>
      <c r="F643" s="137" t="s">
        <v>2012</v>
      </c>
      <c r="G643" s="137" t="s">
        <v>2013</v>
      </c>
      <c r="H643" s="138"/>
      <c r="I643" s="138"/>
      <c r="J643" s="138"/>
      <c r="K643" s="138"/>
      <c r="L643" s="138"/>
      <c r="M643" s="138"/>
      <c r="N643" s="138"/>
      <c r="O643" s="138"/>
      <c r="P643" s="138"/>
      <c r="Q643" s="375"/>
      <c r="R643" s="375"/>
      <c r="S643" s="375"/>
      <c r="T643" s="375"/>
      <c r="U643" s="375"/>
      <c r="V643" s="375"/>
      <c r="W643" s="375"/>
      <c r="X643" s="375"/>
      <c r="Y643" s="375"/>
      <c r="Z643" s="375"/>
      <c r="AA643" s="375"/>
      <c r="AB643" s="375"/>
      <c r="AC643" s="375"/>
      <c r="AD643" s="375"/>
      <c r="AE643" s="375"/>
      <c r="AF643" s="375"/>
    </row>
    <row r="644" spans="1:32" ht="8.4499999999999993" customHeight="1" x14ac:dyDescent="0.2">
      <c r="A644" s="252" t="str">
        <f t="shared" si="2"/>
        <v xml:space="preserve">09.004.005.001 </v>
      </c>
      <c r="B644" s="707">
        <v>153</v>
      </c>
      <c r="C644" s="957" t="s">
        <v>2502</v>
      </c>
      <c r="D644" s="957" t="s">
        <v>15</v>
      </c>
      <c r="E644" s="219">
        <v>22</v>
      </c>
      <c r="F644" s="957" t="s">
        <v>2012</v>
      </c>
      <c r="G644" s="957" t="s">
        <v>2013</v>
      </c>
      <c r="H644" s="148">
        <v>0.01</v>
      </c>
      <c r="I644" s="139">
        <v>2.8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81"/>
      <c r="R644" s="381"/>
      <c r="S644" s="381"/>
      <c r="T644" s="379"/>
      <c r="U644" s="379"/>
      <c r="V644" s="379"/>
      <c r="W644" s="379"/>
      <c r="X644" s="380"/>
      <c r="Y644" s="381"/>
      <c r="Z644" s="381"/>
      <c r="AA644" s="381"/>
      <c r="AB644" s="378"/>
      <c r="AC644" s="379"/>
      <c r="AD644" s="379"/>
      <c r="AE644" s="379"/>
      <c r="AF644" s="380"/>
    </row>
    <row r="645" spans="1:32" ht="8.4499999999999993" customHeight="1" x14ac:dyDescent="0.2">
      <c r="A645" s="252" t="str">
        <f t="shared" si="2"/>
        <v xml:space="preserve">09.005 </v>
      </c>
      <c r="B645" s="116">
        <v>154</v>
      </c>
      <c r="C645" s="137" t="s">
        <v>264</v>
      </c>
      <c r="D645" s="137"/>
      <c r="E645" s="115">
        <v>31</v>
      </c>
      <c r="F645" s="137" t="s">
        <v>2181</v>
      </c>
      <c r="G645" s="137" t="s">
        <v>2026</v>
      </c>
      <c r="H645" s="138"/>
      <c r="I645" s="138"/>
      <c r="J645" s="138"/>
      <c r="K645" s="138"/>
      <c r="L645" s="138"/>
      <c r="M645" s="138"/>
      <c r="N645" s="138"/>
      <c r="O645" s="138"/>
      <c r="P645" s="138"/>
      <c r="Q645" s="377"/>
      <c r="R645" s="381"/>
      <c r="S645" s="381"/>
      <c r="T645" s="378"/>
      <c r="U645" s="379"/>
      <c r="V645" s="379"/>
      <c r="W645" s="379"/>
      <c r="X645" s="380"/>
      <c r="Y645" s="377"/>
      <c r="Z645" s="377"/>
      <c r="AA645" s="381"/>
      <c r="AB645" s="378"/>
      <c r="AC645" s="379"/>
      <c r="AD645" s="379"/>
      <c r="AE645" s="379"/>
      <c r="AF645" s="380"/>
    </row>
    <row r="646" spans="1:32" ht="8.4499999999999993" customHeight="1" x14ac:dyDescent="0.2">
      <c r="A646" s="252" t="str">
        <f t="shared" si="2"/>
        <v xml:space="preserve">09.005.000.001 </v>
      </c>
      <c r="B646" s="707">
        <v>155</v>
      </c>
      <c r="C646" s="957" t="s">
        <v>2503</v>
      </c>
      <c r="D646" s="957" t="s">
        <v>90</v>
      </c>
      <c r="E646" s="219">
        <v>28</v>
      </c>
      <c r="F646" s="957" t="s">
        <v>2184</v>
      </c>
      <c r="G646" s="957" t="s">
        <v>2026</v>
      </c>
      <c r="H646" s="148">
        <v>0.39</v>
      </c>
      <c r="I646" s="144">
        <v>568.64</v>
      </c>
      <c r="J646" s="139">
        <v>0</v>
      </c>
      <c r="K646" s="139">
        <v>0</v>
      </c>
      <c r="L646" s="148">
        <v>0</v>
      </c>
      <c r="M646" s="148">
        <v>0</v>
      </c>
      <c r="N646" s="148">
        <v>0</v>
      </c>
      <c r="O646" s="148">
        <v>0</v>
      </c>
      <c r="P646" s="118"/>
      <c r="Q646" s="381"/>
      <c r="R646" s="381"/>
      <c r="S646" s="381"/>
      <c r="T646" s="379"/>
      <c r="U646" s="379"/>
      <c r="V646" s="379"/>
      <c r="W646" s="379"/>
      <c r="X646" s="380"/>
      <c r="Y646" s="381"/>
      <c r="Z646" s="381"/>
      <c r="AA646" s="381"/>
      <c r="AB646" s="378"/>
      <c r="AC646" s="379"/>
      <c r="AD646" s="379"/>
      <c r="AE646" s="379"/>
      <c r="AF646" s="380"/>
    </row>
    <row r="647" spans="1:32" ht="8.4499999999999993" customHeight="1" x14ac:dyDescent="0.2">
      <c r="A647" s="252" t="str">
        <f t="shared" si="2"/>
        <v xml:space="preserve">09.005.000.002 </v>
      </c>
      <c r="B647" s="707">
        <v>156</v>
      </c>
      <c r="C647" s="957" t="s">
        <v>2504</v>
      </c>
      <c r="D647" s="957" t="s">
        <v>90</v>
      </c>
      <c r="E647" s="219">
        <v>28</v>
      </c>
      <c r="F647" s="957" t="s">
        <v>2184</v>
      </c>
      <c r="G647" s="957" t="s">
        <v>2026</v>
      </c>
      <c r="H647" s="148">
        <v>7.0000000000000007E-2</v>
      </c>
      <c r="I647" s="144">
        <v>568.64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75"/>
      <c r="R647" s="375"/>
      <c r="S647" s="375"/>
      <c r="T647" s="375"/>
      <c r="U647" s="375"/>
      <c r="V647" s="375"/>
      <c r="W647" s="375"/>
      <c r="X647" s="375"/>
      <c r="Y647" s="375"/>
      <c r="Z647" s="375"/>
      <c r="AA647" s="375"/>
      <c r="AB647" s="375"/>
      <c r="AC647" s="375"/>
      <c r="AD647" s="375"/>
      <c r="AE647" s="375"/>
      <c r="AF647" s="375"/>
    </row>
    <row r="648" spans="1:32" ht="8.4499999999999993" customHeight="1" x14ac:dyDescent="0.2">
      <c r="A648" s="252" t="str">
        <f t="shared" si="2"/>
        <v xml:space="preserve">09.005.000.003 </v>
      </c>
      <c r="B648" s="707">
        <v>157</v>
      </c>
      <c r="C648" s="957" t="s">
        <v>2505</v>
      </c>
      <c r="D648" s="957" t="s">
        <v>90</v>
      </c>
      <c r="E648" s="219">
        <v>10</v>
      </c>
      <c r="F648" s="957" t="s">
        <v>2181</v>
      </c>
      <c r="G648" s="957" t="s">
        <v>2010</v>
      </c>
      <c r="H648" s="148">
        <v>7.0000000000000007E-2</v>
      </c>
      <c r="I648" s="146">
        <v>13.76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75"/>
      <c r="R648" s="375"/>
      <c r="S648" s="375"/>
      <c r="T648" s="375"/>
      <c r="U648" s="375"/>
      <c r="V648" s="375"/>
      <c r="W648" s="375"/>
      <c r="X648" s="375"/>
      <c r="Y648" s="375"/>
      <c r="Z648" s="375"/>
      <c r="AA648" s="375"/>
      <c r="AB648" s="375"/>
      <c r="AC648" s="375"/>
      <c r="AD648" s="375"/>
      <c r="AE648" s="375"/>
      <c r="AF648" s="375"/>
    </row>
    <row r="649" spans="1:32" ht="8.4499999999999993" customHeight="1" x14ac:dyDescent="0.2">
      <c r="A649" s="252" t="str">
        <f t="shared" si="2"/>
        <v xml:space="preserve">09.006 </v>
      </c>
      <c r="B649" s="116">
        <v>158</v>
      </c>
      <c r="C649" s="137" t="s">
        <v>265</v>
      </c>
      <c r="D649" s="137"/>
      <c r="E649" s="116">
        <v>138</v>
      </c>
      <c r="F649" s="137" t="s">
        <v>2193</v>
      </c>
      <c r="G649" s="137" t="s">
        <v>2024</v>
      </c>
      <c r="H649" s="138"/>
      <c r="I649" s="138"/>
      <c r="J649" s="138"/>
      <c r="K649" s="138"/>
      <c r="L649" s="138"/>
      <c r="M649" s="138"/>
      <c r="N649" s="138"/>
      <c r="O649" s="138"/>
      <c r="P649" s="138"/>
      <c r="Q649" s="376"/>
      <c r="R649" s="381"/>
      <c r="S649" s="381"/>
      <c r="T649" s="379"/>
      <c r="U649" s="379"/>
      <c r="V649" s="379"/>
      <c r="W649" s="379"/>
      <c r="X649" s="380"/>
      <c r="Y649" s="376"/>
      <c r="Z649" s="381"/>
      <c r="AA649" s="381"/>
      <c r="AB649" s="379"/>
      <c r="AC649" s="379"/>
      <c r="AD649" s="379"/>
      <c r="AE649" s="379"/>
      <c r="AF649" s="380"/>
    </row>
    <row r="650" spans="1:32" ht="8.4499999999999993" customHeight="1" x14ac:dyDescent="0.2">
      <c r="A650" s="252" t="str">
        <f t="shared" si="2"/>
        <v xml:space="preserve">09.006.000.001 </v>
      </c>
      <c r="B650" s="707">
        <v>159</v>
      </c>
      <c r="C650" s="957" t="s">
        <v>2506</v>
      </c>
      <c r="D650" s="957" t="s">
        <v>15</v>
      </c>
      <c r="E650" s="219">
        <v>20</v>
      </c>
      <c r="F650" s="957" t="s">
        <v>2507</v>
      </c>
      <c r="G650" s="957" t="s">
        <v>2508</v>
      </c>
      <c r="H650" s="148">
        <v>0</v>
      </c>
      <c r="I650" s="139">
        <v>7.2</v>
      </c>
      <c r="J650" s="139">
        <v>0</v>
      </c>
      <c r="K650" s="139">
        <v>0</v>
      </c>
      <c r="L650" s="148">
        <v>0</v>
      </c>
      <c r="M650" s="148">
        <v>0</v>
      </c>
      <c r="N650" s="148">
        <v>0</v>
      </c>
      <c r="O650" s="148">
        <v>0</v>
      </c>
      <c r="P650" s="118"/>
      <c r="Q650" s="381"/>
      <c r="R650" s="381"/>
      <c r="S650" s="381"/>
      <c r="T650" s="379"/>
      <c r="U650" s="379"/>
      <c r="V650" s="379"/>
      <c r="W650" s="379"/>
      <c r="X650" s="380"/>
      <c r="Y650" s="381"/>
      <c r="Z650" s="381"/>
      <c r="AA650" s="381"/>
      <c r="AB650" s="379"/>
      <c r="AC650" s="379"/>
      <c r="AD650" s="379"/>
      <c r="AE650" s="379"/>
      <c r="AF650" s="380"/>
    </row>
    <row r="651" spans="1:32" ht="8.4499999999999993" customHeight="1" x14ac:dyDescent="0.2">
      <c r="A651" s="252" t="str">
        <f t="shared" si="2"/>
        <v xml:space="preserve">09.006.000.002 </v>
      </c>
      <c r="B651" s="707">
        <v>160</v>
      </c>
      <c r="C651" s="957" t="s">
        <v>2509</v>
      </c>
      <c r="D651" s="957" t="s">
        <v>90</v>
      </c>
      <c r="E651" s="219">
        <v>20</v>
      </c>
      <c r="F651" s="957" t="s">
        <v>2507</v>
      </c>
      <c r="G651" s="957" t="s">
        <v>2508</v>
      </c>
      <c r="H651" s="148">
        <v>0.01</v>
      </c>
      <c r="I651" s="139">
        <v>7.32</v>
      </c>
      <c r="J651" s="139">
        <v>0</v>
      </c>
      <c r="K651" s="139">
        <v>0</v>
      </c>
      <c r="L651" s="148">
        <v>0</v>
      </c>
      <c r="M651" s="148">
        <v>0</v>
      </c>
      <c r="N651" s="148">
        <v>0</v>
      </c>
      <c r="O651" s="148">
        <v>0</v>
      </c>
      <c r="P651" s="118"/>
      <c r="Q651" s="375"/>
      <c r="R651" s="375"/>
      <c r="S651" s="375"/>
      <c r="T651" s="375"/>
      <c r="U651" s="375"/>
      <c r="V651" s="375"/>
      <c r="W651" s="375"/>
      <c r="X651" s="375"/>
      <c r="Y651" s="375"/>
      <c r="Z651" s="375"/>
      <c r="AA651" s="375"/>
      <c r="AB651" s="375"/>
      <c r="AC651" s="375"/>
      <c r="AD651" s="375"/>
      <c r="AE651" s="375"/>
      <c r="AF651" s="375"/>
    </row>
    <row r="652" spans="1:32" ht="8.4499999999999993" customHeight="1" x14ac:dyDescent="0.2">
      <c r="A652" s="252" t="str">
        <f t="shared" si="2"/>
        <v xml:space="preserve">09.006.000.003 </v>
      </c>
      <c r="B652" s="707">
        <v>161</v>
      </c>
      <c r="C652" s="957" t="s">
        <v>2510</v>
      </c>
      <c r="D652" s="957" t="s">
        <v>90</v>
      </c>
      <c r="E652" s="219">
        <v>20</v>
      </c>
      <c r="F652" s="957" t="s">
        <v>2507</v>
      </c>
      <c r="G652" s="957" t="s">
        <v>2508</v>
      </c>
      <c r="H652" s="148">
        <v>0</v>
      </c>
      <c r="I652" s="139">
        <v>3.42</v>
      </c>
      <c r="J652" s="139">
        <v>0</v>
      </c>
      <c r="K652" s="139">
        <v>0</v>
      </c>
      <c r="L652" s="148">
        <v>0</v>
      </c>
      <c r="M652" s="148">
        <v>0</v>
      </c>
      <c r="N652" s="148">
        <v>0</v>
      </c>
      <c r="O652" s="148">
        <v>0</v>
      </c>
      <c r="P652" s="118"/>
      <c r="Q652" s="381"/>
      <c r="R652" s="381"/>
      <c r="S652" s="381"/>
      <c r="T652" s="379"/>
      <c r="U652" s="379"/>
      <c r="V652" s="379"/>
      <c r="W652" s="379"/>
      <c r="X652" s="380"/>
      <c r="Y652" s="381"/>
      <c r="Z652" s="381"/>
      <c r="AA652" s="381"/>
      <c r="AB652" s="379"/>
      <c r="AC652" s="379"/>
      <c r="AD652" s="379"/>
      <c r="AE652" s="379"/>
      <c r="AF652" s="380"/>
    </row>
    <row r="653" spans="1:32" ht="8.4499999999999993" customHeight="1" x14ac:dyDescent="0.2">
      <c r="A653" s="252" t="str">
        <f t="shared" si="2"/>
        <v xml:space="preserve">09.006.000.004 </v>
      </c>
      <c r="B653" s="707">
        <v>162</v>
      </c>
      <c r="C653" s="957" t="s">
        <v>2511</v>
      </c>
      <c r="D653" s="957" t="s">
        <v>90</v>
      </c>
      <c r="E653" s="219">
        <v>20</v>
      </c>
      <c r="F653" s="957" t="s">
        <v>2507</v>
      </c>
      <c r="G653" s="957" t="s">
        <v>2508</v>
      </c>
      <c r="H653" s="148">
        <v>0.01</v>
      </c>
      <c r="I653" s="139">
        <v>9.6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77"/>
      <c r="R653" s="381"/>
      <c r="S653" s="381"/>
      <c r="T653" s="379"/>
      <c r="U653" s="379"/>
      <c r="V653" s="379"/>
      <c r="W653" s="379"/>
      <c r="X653" s="380"/>
      <c r="Y653" s="377"/>
      <c r="Z653" s="381"/>
      <c r="AA653" s="381"/>
      <c r="AB653" s="379"/>
      <c r="AC653" s="379"/>
      <c r="AD653" s="379"/>
      <c r="AE653" s="379"/>
      <c r="AF653" s="380"/>
    </row>
    <row r="654" spans="1:32" ht="8.4499999999999993" customHeight="1" x14ac:dyDescent="0.2">
      <c r="A654" s="252" t="str">
        <f t="shared" si="2"/>
        <v xml:space="preserve">09.006.000.005 </v>
      </c>
      <c r="B654" s="707">
        <v>163</v>
      </c>
      <c r="C654" s="957" t="s">
        <v>2512</v>
      </c>
      <c r="D654" s="957" t="s">
        <v>90</v>
      </c>
      <c r="E654" s="219">
        <v>20</v>
      </c>
      <c r="F654" s="957" t="s">
        <v>2507</v>
      </c>
      <c r="G654" s="957" t="s">
        <v>2508</v>
      </c>
      <c r="H654" s="148">
        <v>0.04</v>
      </c>
      <c r="I654" s="146">
        <v>43.2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</row>
    <row r="655" spans="1:32" ht="8.4499999999999993" customHeight="1" x14ac:dyDescent="0.2">
      <c r="A655" s="252" t="str">
        <f t="shared" si="2"/>
        <v xml:space="preserve">09.006.000.006 </v>
      </c>
      <c r="B655" s="707">
        <v>164</v>
      </c>
      <c r="C655" s="957" t="s">
        <v>2513</v>
      </c>
      <c r="D655" s="957" t="s">
        <v>90</v>
      </c>
      <c r="E655" s="219">
        <v>22</v>
      </c>
      <c r="F655" s="957" t="s">
        <v>2034</v>
      </c>
      <c r="G655" s="957" t="s">
        <v>2024</v>
      </c>
      <c r="H655" s="148">
        <v>0.04</v>
      </c>
      <c r="I655" s="146">
        <v>22.41</v>
      </c>
      <c r="J655" s="139">
        <v>0</v>
      </c>
      <c r="K655" s="139">
        <v>0</v>
      </c>
      <c r="L655" s="148">
        <v>0</v>
      </c>
      <c r="M655" s="148">
        <v>0</v>
      </c>
      <c r="N655" s="148">
        <v>0</v>
      </c>
      <c r="O655" s="148">
        <v>0</v>
      </c>
      <c r="P655" s="118"/>
      <c r="Q655" s="376"/>
      <c r="R655" s="381"/>
      <c r="S655" s="381"/>
      <c r="T655" s="379"/>
      <c r="U655" s="379"/>
      <c r="V655" s="379"/>
      <c r="W655" s="379"/>
      <c r="X655" s="380"/>
      <c r="Y655" s="376"/>
      <c r="Z655" s="381"/>
      <c r="AA655" s="381"/>
      <c r="AB655" s="379"/>
      <c r="AC655" s="379"/>
      <c r="AD655" s="379"/>
      <c r="AE655" s="379"/>
      <c r="AF655" s="380"/>
    </row>
    <row r="656" spans="1:32" ht="8.4499999999999993" customHeight="1" x14ac:dyDescent="0.2">
      <c r="A656" s="252" t="str">
        <f t="shared" si="2"/>
        <v xml:space="preserve">09.006.000.007 </v>
      </c>
      <c r="B656" s="707">
        <v>165</v>
      </c>
      <c r="C656" s="957" t="s">
        <v>2514</v>
      </c>
      <c r="D656" s="957" t="s">
        <v>15</v>
      </c>
      <c r="E656" s="219">
        <v>45</v>
      </c>
      <c r="F656" s="957" t="s">
        <v>2193</v>
      </c>
      <c r="G656" s="957" t="s">
        <v>2476</v>
      </c>
      <c r="H656" s="148">
        <v>0.09</v>
      </c>
      <c r="I656" s="144">
        <v>607.07000000000005</v>
      </c>
      <c r="J656" s="139">
        <v>0</v>
      </c>
      <c r="K656" s="139">
        <v>0</v>
      </c>
      <c r="L656" s="148">
        <v>0</v>
      </c>
      <c r="M656" s="148">
        <v>0</v>
      </c>
      <c r="N656" s="148">
        <v>0</v>
      </c>
      <c r="O656" s="148">
        <v>0</v>
      </c>
      <c r="P656" s="118"/>
      <c r="Q656" s="381"/>
      <c r="R656" s="381"/>
      <c r="S656" s="381"/>
      <c r="T656" s="379"/>
      <c r="U656" s="379"/>
      <c r="V656" s="379"/>
      <c r="W656" s="379"/>
      <c r="X656" s="380"/>
      <c r="Y656" s="381"/>
      <c r="Z656" s="381"/>
      <c r="AA656" s="381"/>
      <c r="AB656" s="379"/>
      <c r="AC656" s="379"/>
      <c r="AD656" s="379"/>
      <c r="AE656" s="379"/>
      <c r="AF656" s="380"/>
    </row>
    <row r="657" spans="1:32" ht="8.4499999999999993" customHeight="1" x14ac:dyDescent="0.2">
      <c r="A657" s="252" t="str">
        <f t="shared" si="2"/>
        <v xml:space="preserve">09.006.000.008 </v>
      </c>
      <c r="B657" s="707">
        <v>166</v>
      </c>
      <c r="C657" s="957" t="s">
        <v>2515</v>
      </c>
      <c r="D657" s="957" t="s">
        <v>15</v>
      </c>
      <c r="E657" s="219">
        <v>45</v>
      </c>
      <c r="F657" s="957" t="s">
        <v>2193</v>
      </c>
      <c r="G657" s="957" t="s">
        <v>2476</v>
      </c>
      <c r="H657" s="148">
        <v>0.08</v>
      </c>
      <c r="I657" s="144">
        <v>607.07000000000005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5"/>
      <c r="R657" s="375"/>
      <c r="S657" s="375"/>
      <c r="T657" s="375"/>
      <c r="U657" s="375"/>
      <c r="V657" s="375"/>
      <c r="W657" s="375"/>
      <c r="X657" s="375"/>
      <c r="Y657" s="375"/>
      <c r="Z657" s="375"/>
      <c r="AA657" s="375"/>
      <c r="AB657" s="375"/>
      <c r="AC657" s="375"/>
      <c r="AD657" s="375"/>
      <c r="AE657" s="375"/>
      <c r="AF657" s="375"/>
    </row>
    <row r="658" spans="1:32" ht="8.4499999999999993" customHeight="1" x14ac:dyDescent="0.2">
      <c r="A658" s="252" t="str">
        <f t="shared" si="2"/>
        <v xml:space="preserve">09.006.000.009 </v>
      </c>
      <c r="B658" s="707">
        <v>167</v>
      </c>
      <c r="C658" s="957" t="s">
        <v>2516</v>
      </c>
      <c r="D658" s="957" t="s">
        <v>15</v>
      </c>
      <c r="E658" s="219">
        <v>44</v>
      </c>
      <c r="F658" s="957" t="s">
        <v>2469</v>
      </c>
      <c r="G658" s="957" t="s">
        <v>2483</v>
      </c>
      <c r="H658" s="148">
        <v>0.03</v>
      </c>
      <c r="I658" s="144">
        <v>607.07000000000005</v>
      </c>
      <c r="J658" s="139">
        <v>0</v>
      </c>
      <c r="K658" s="139">
        <v>0</v>
      </c>
      <c r="L658" s="148">
        <v>0</v>
      </c>
      <c r="M658" s="148">
        <v>0</v>
      </c>
      <c r="N658" s="148">
        <v>0</v>
      </c>
      <c r="O658" s="148">
        <v>0</v>
      </c>
      <c r="P658" s="118"/>
      <c r="Q658" s="376"/>
      <c r="R658" s="381"/>
      <c r="S658" s="381"/>
      <c r="T658" s="379"/>
      <c r="U658" s="379"/>
      <c r="V658" s="379"/>
      <c r="W658" s="379"/>
      <c r="X658" s="380"/>
      <c r="Y658" s="376"/>
      <c r="Z658" s="381"/>
      <c r="AA658" s="381"/>
      <c r="AB658" s="379"/>
      <c r="AC658" s="379"/>
      <c r="AD658" s="379"/>
      <c r="AE658" s="379"/>
      <c r="AF658" s="380"/>
    </row>
    <row r="659" spans="1:32" ht="8.4499999999999993" customHeight="1" x14ac:dyDescent="0.2">
      <c r="A659" s="252" t="str">
        <f t="shared" si="2"/>
        <v xml:space="preserve">10 </v>
      </c>
      <c r="B659" s="116">
        <v>168</v>
      </c>
      <c r="C659" s="137" t="s">
        <v>345</v>
      </c>
      <c r="D659" s="137"/>
      <c r="E659" s="116">
        <v>267</v>
      </c>
      <c r="F659" s="137" t="s">
        <v>2031</v>
      </c>
      <c r="G659" s="137" t="s">
        <v>2195</v>
      </c>
      <c r="H659" s="138"/>
      <c r="I659" s="138"/>
      <c r="J659" s="138"/>
      <c r="K659" s="138"/>
      <c r="L659" s="138"/>
      <c r="M659" s="138"/>
      <c r="N659" s="138"/>
      <c r="O659" s="138"/>
      <c r="P659" s="138"/>
      <c r="Q659" s="376"/>
      <c r="R659" s="381"/>
      <c r="S659" s="381"/>
      <c r="T659" s="379"/>
      <c r="U659" s="379"/>
      <c r="V659" s="379"/>
      <c r="W659" s="379"/>
      <c r="X659" s="380"/>
      <c r="Y659" s="376"/>
      <c r="Z659" s="381"/>
      <c r="AA659" s="381"/>
      <c r="AB659" s="379"/>
      <c r="AC659" s="379"/>
      <c r="AD659" s="379"/>
      <c r="AE659" s="379"/>
      <c r="AF659" s="380"/>
    </row>
    <row r="660" spans="1:32" ht="8.4499999999999993" customHeight="1" x14ac:dyDescent="0.2">
      <c r="A660" s="252" t="str">
        <f t="shared" si="2"/>
        <v xml:space="preserve">10.001 </v>
      </c>
      <c r="B660" s="116">
        <v>169</v>
      </c>
      <c r="C660" s="137" t="s">
        <v>346</v>
      </c>
      <c r="D660" s="137"/>
      <c r="E660" s="116">
        <v>135</v>
      </c>
      <c r="F660" s="137" t="s">
        <v>2031</v>
      </c>
      <c r="G660" s="137" t="s">
        <v>2517</v>
      </c>
      <c r="H660" s="138"/>
      <c r="I660" s="138"/>
      <c r="J660" s="138"/>
      <c r="K660" s="138"/>
      <c r="L660" s="138"/>
      <c r="M660" s="138"/>
      <c r="N660" s="138"/>
      <c r="O660" s="138"/>
      <c r="P660" s="138"/>
      <c r="Q660" s="376"/>
      <c r="R660" s="381"/>
      <c r="S660" s="381"/>
      <c r="T660" s="379"/>
      <c r="U660" s="379"/>
      <c r="V660" s="379"/>
      <c r="W660" s="379"/>
      <c r="X660" s="380"/>
      <c r="Y660" s="376"/>
      <c r="Z660" s="381"/>
      <c r="AA660" s="381"/>
      <c r="AB660" s="379"/>
      <c r="AC660" s="379"/>
      <c r="AD660" s="379"/>
      <c r="AE660" s="379"/>
      <c r="AF660" s="380"/>
    </row>
    <row r="661" spans="1:32" ht="8.4499999999999993" customHeight="1" x14ac:dyDescent="0.2">
      <c r="A661" s="252" t="str">
        <f t="shared" si="2"/>
        <v xml:space="preserve">10.001.000.001 </v>
      </c>
      <c r="B661" s="707">
        <v>170</v>
      </c>
      <c r="C661" s="957" t="s">
        <v>2518</v>
      </c>
      <c r="D661" s="957" t="s">
        <v>90</v>
      </c>
      <c r="E661" s="219">
        <v>87</v>
      </c>
      <c r="F661" s="957" t="s">
        <v>2031</v>
      </c>
      <c r="G661" s="957" t="s">
        <v>2028</v>
      </c>
      <c r="H661" s="148">
        <v>0.12</v>
      </c>
      <c r="I661" s="142">
        <v>1926.16</v>
      </c>
      <c r="J661" s="139">
        <v>0</v>
      </c>
      <c r="K661" s="139">
        <v>0</v>
      </c>
      <c r="L661" s="148">
        <v>0</v>
      </c>
      <c r="M661" s="148">
        <v>0</v>
      </c>
      <c r="N661" s="148">
        <v>0</v>
      </c>
      <c r="O661" s="148">
        <v>0</v>
      </c>
      <c r="P661" s="118"/>
      <c r="Q661" s="377"/>
      <c r="R661" s="381"/>
      <c r="S661" s="381"/>
      <c r="T661" s="379"/>
      <c r="U661" s="379"/>
      <c r="V661" s="379"/>
      <c r="W661" s="379"/>
      <c r="X661" s="380"/>
      <c r="Y661" s="377"/>
      <c r="Z661" s="381"/>
      <c r="AA661" s="381"/>
      <c r="AB661" s="379"/>
      <c r="AC661" s="379"/>
      <c r="AD661" s="379"/>
      <c r="AE661" s="379"/>
      <c r="AF661" s="380"/>
    </row>
    <row r="662" spans="1:32" ht="8.4499999999999993" customHeight="1" x14ac:dyDescent="0.2">
      <c r="A662" s="252" t="str">
        <f t="shared" si="2"/>
        <v xml:space="preserve">10.001.000.002 </v>
      </c>
      <c r="B662" s="707">
        <v>171</v>
      </c>
      <c r="C662" s="957" t="s">
        <v>2519</v>
      </c>
      <c r="D662" s="957" t="s">
        <v>90</v>
      </c>
      <c r="E662" s="707">
        <v>113</v>
      </c>
      <c r="F662" s="957" t="s">
        <v>2179</v>
      </c>
      <c r="G662" s="957" t="s">
        <v>2517</v>
      </c>
      <c r="H662" s="148">
        <v>7.0000000000000007E-2</v>
      </c>
      <c r="I662" s="142">
        <v>1106.21</v>
      </c>
      <c r="J662" s="139">
        <v>0</v>
      </c>
      <c r="K662" s="139">
        <v>0</v>
      </c>
      <c r="L662" s="148">
        <v>0</v>
      </c>
      <c r="M662" s="148">
        <v>0</v>
      </c>
      <c r="N662" s="148">
        <v>0</v>
      </c>
      <c r="O662" s="148">
        <v>0</v>
      </c>
      <c r="P662" s="118"/>
      <c r="Q662" s="377"/>
      <c r="R662" s="381"/>
      <c r="S662" s="381"/>
      <c r="T662" s="379"/>
      <c r="U662" s="379"/>
      <c r="V662" s="379"/>
      <c r="W662" s="379"/>
      <c r="X662" s="380"/>
      <c r="Y662" s="377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tr">
        <f t="shared" si="2"/>
        <v xml:space="preserve">10.002 </v>
      </c>
      <c r="B663" s="116">
        <v>172</v>
      </c>
      <c r="C663" s="137" t="s">
        <v>347</v>
      </c>
      <c r="D663" s="137"/>
      <c r="E663" s="115">
        <v>50</v>
      </c>
      <c r="F663" s="137" t="s">
        <v>2029</v>
      </c>
      <c r="G663" s="137" t="s">
        <v>2500</v>
      </c>
      <c r="H663" s="138"/>
      <c r="I663" s="138"/>
      <c r="J663" s="138"/>
      <c r="K663" s="138"/>
      <c r="L663" s="138"/>
      <c r="M663" s="138"/>
      <c r="N663" s="138"/>
      <c r="O663" s="138"/>
      <c r="P663" s="13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tr">
        <f t="shared" si="2"/>
        <v xml:space="preserve">10.002.000.001 </v>
      </c>
      <c r="B664" s="707">
        <v>173</v>
      </c>
      <c r="C664" s="957" t="s">
        <v>2520</v>
      </c>
      <c r="D664" s="957" t="s">
        <v>90</v>
      </c>
      <c r="E664" s="219">
        <v>50</v>
      </c>
      <c r="F664" s="957" t="s">
        <v>2029</v>
      </c>
      <c r="G664" s="957" t="s">
        <v>2500</v>
      </c>
      <c r="H664" s="148">
        <v>0.09</v>
      </c>
      <c r="I664" s="142">
        <v>1223.6300000000001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tr">
        <f t="shared" si="2"/>
        <v xml:space="preserve">10.002.000.002 </v>
      </c>
      <c r="B665" s="707">
        <v>174</v>
      </c>
      <c r="C665" s="957" t="s">
        <v>2521</v>
      </c>
      <c r="D665" s="957" t="s">
        <v>90</v>
      </c>
      <c r="E665" s="219">
        <v>50</v>
      </c>
      <c r="F665" s="957" t="s">
        <v>2029</v>
      </c>
      <c r="G665" s="957" t="s">
        <v>2500</v>
      </c>
      <c r="H665" s="148">
        <v>0.25</v>
      </c>
      <c r="I665" s="142">
        <v>1341.17</v>
      </c>
      <c r="J665" s="139">
        <v>0</v>
      </c>
      <c r="K665" s="139">
        <v>0</v>
      </c>
      <c r="L665" s="148">
        <v>0</v>
      </c>
      <c r="M665" s="148">
        <v>0</v>
      </c>
      <c r="N665" s="148">
        <v>0</v>
      </c>
      <c r="O665" s="148">
        <v>0</v>
      </c>
      <c r="P665" s="118"/>
      <c r="Q665" s="375"/>
      <c r="R665" s="375"/>
      <c r="S665" s="375"/>
      <c r="T665" s="375"/>
      <c r="U665" s="375"/>
      <c r="V665" s="375"/>
      <c r="W665" s="375"/>
      <c r="X665" s="375"/>
      <c r="Y665" s="375"/>
      <c r="Z665" s="375"/>
      <c r="AA665" s="375"/>
      <c r="AB665" s="375"/>
      <c r="AC665" s="375"/>
      <c r="AD665" s="375"/>
      <c r="AE665" s="375"/>
      <c r="AF665" s="375"/>
    </row>
    <row r="666" spans="1:32" ht="8.4499999999999993" customHeight="1" x14ac:dyDescent="0.2">
      <c r="A666" s="252" t="str">
        <f t="shared" si="2"/>
        <v xml:space="preserve">10.002.000.003 </v>
      </c>
      <c r="B666" s="707">
        <v>175</v>
      </c>
      <c r="C666" s="957" t="s">
        <v>2522</v>
      </c>
      <c r="D666" s="957" t="s">
        <v>15</v>
      </c>
      <c r="E666" s="219">
        <v>20</v>
      </c>
      <c r="F666" s="957" t="s">
        <v>2172</v>
      </c>
      <c r="G666" s="957" t="s">
        <v>2011</v>
      </c>
      <c r="H666" s="148">
        <v>0</v>
      </c>
      <c r="I666" s="146">
        <v>10.72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7"/>
      <c r="R666" s="381"/>
      <c r="S666" s="381"/>
      <c r="T666" s="379"/>
      <c r="U666" s="379"/>
      <c r="V666" s="379"/>
      <c r="W666" s="379"/>
      <c r="X666" s="380"/>
      <c r="Y666" s="377"/>
      <c r="Z666" s="381"/>
      <c r="AA666" s="381"/>
      <c r="AB666" s="379"/>
      <c r="AC666" s="379"/>
      <c r="AD666" s="379"/>
      <c r="AE666" s="379"/>
      <c r="AF666" s="380"/>
    </row>
    <row r="667" spans="1:32" ht="8.4499999999999993" customHeight="1" x14ac:dyDescent="0.2">
      <c r="A667" s="252" t="str">
        <f t="shared" si="2"/>
        <v xml:space="preserve">10.003 </v>
      </c>
      <c r="B667" s="116">
        <v>176</v>
      </c>
      <c r="C667" s="137" t="s">
        <v>348</v>
      </c>
      <c r="D667" s="137"/>
      <c r="E667" s="116">
        <v>182</v>
      </c>
      <c r="F667" s="137" t="s">
        <v>2031</v>
      </c>
      <c r="G667" s="137" t="s">
        <v>2174</v>
      </c>
      <c r="H667" s="138"/>
      <c r="I667" s="138"/>
      <c r="J667" s="138"/>
      <c r="K667" s="138"/>
      <c r="L667" s="138"/>
      <c r="M667" s="138"/>
      <c r="N667" s="138"/>
      <c r="O667" s="138"/>
      <c r="P667" s="138"/>
      <c r="Q667" s="377"/>
      <c r="R667" s="381"/>
      <c r="S667" s="381"/>
      <c r="T667" s="379"/>
      <c r="U667" s="379"/>
      <c r="V667" s="379"/>
      <c r="W667" s="379"/>
      <c r="X667" s="380"/>
      <c r="Y667" s="377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tr">
        <f t="shared" si="2"/>
        <v xml:space="preserve">10.003.000.001 </v>
      </c>
      <c r="B668" s="707">
        <v>177</v>
      </c>
      <c r="C668" s="957" t="s">
        <v>2523</v>
      </c>
      <c r="D668" s="957" t="s">
        <v>90</v>
      </c>
      <c r="E668" s="707">
        <v>182</v>
      </c>
      <c r="F668" s="957" t="s">
        <v>2031</v>
      </c>
      <c r="G668" s="957" t="s">
        <v>2174</v>
      </c>
      <c r="H668" s="148">
        <v>0.05</v>
      </c>
      <c r="I668" s="144">
        <v>668.46</v>
      </c>
      <c r="J668" s="139">
        <v>0</v>
      </c>
      <c r="K668" s="139">
        <v>0</v>
      </c>
      <c r="L668" s="148">
        <v>0</v>
      </c>
      <c r="M668" s="148">
        <v>0</v>
      </c>
      <c r="N668" s="148">
        <v>0</v>
      </c>
      <c r="O668" s="148">
        <v>0</v>
      </c>
      <c r="P668" s="118"/>
      <c r="Q668" s="381"/>
      <c r="R668" s="381"/>
      <c r="S668" s="381"/>
      <c r="T668" s="379"/>
      <c r="U668" s="379"/>
      <c r="V668" s="379"/>
      <c r="W668" s="379"/>
      <c r="X668" s="380"/>
      <c r="Y668" s="381"/>
      <c r="Z668" s="381"/>
      <c r="AA668" s="381"/>
      <c r="AB668" s="379"/>
      <c r="AC668" s="379"/>
      <c r="AD668" s="379"/>
      <c r="AE668" s="379"/>
      <c r="AF668" s="380"/>
    </row>
    <row r="669" spans="1:32" ht="8.4499999999999993" customHeight="1" x14ac:dyDescent="0.2">
      <c r="A669" s="252" t="str">
        <f t="shared" si="2"/>
        <v xml:space="preserve">10.003.000.002 </v>
      </c>
      <c r="B669" s="707">
        <v>178</v>
      </c>
      <c r="C669" s="957" t="s">
        <v>2524</v>
      </c>
      <c r="D669" s="957" t="s">
        <v>90</v>
      </c>
      <c r="E669" s="707">
        <v>182</v>
      </c>
      <c r="F669" s="957" t="s">
        <v>2031</v>
      </c>
      <c r="G669" s="957" t="s">
        <v>2174</v>
      </c>
      <c r="H669" s="148">
        <v>0.13</v>
      </c>
      <c r="I669" s="144">
        <v>689.16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6"/>
      <c r="R669" s="381"/>
      <c r="S669" s="381"/>
      <c r="T669" s="379"/>
      <c r="U669" s="379"/>
      <c r="V669" s="379"/>
      <c r="W669" s="379"/>
      <c r="X669" s="380"/>
      <c r="Y669" s="376"/>
      <c r="Z669" s="381"/>
      <c r="AA669" s="381"/>
      <c r="AB669" s="379"/>
      <c r="AC669" s="379"/>
      <c r="AD669" s="379"/>
      <c r="AE669" s="379"/>
      <c r="AF669" s="380"/>
    </row>
    <row r="670" spans="1:32" ht="8.4499999999999993" customHeight="1" x14ac:dyDescent="0.2">
      <c r="A670" s="252" t="str">
        <f t="shared" si="2"/>
        <v xml:space="preserve">10.004 </v>
      </c>
      <c r="B670" s="116">
        <v>179</v>
      </c>
      <c r="C670" s="137" t="s">
        <v>349</v>
      </c>
      <c r="D670" s="137"/>
      <c r="E670" s="115">
        <v>51</v>
      </c>
      <c r="F670" s="137" t="s">
        <v>2172</v>
      </c>
      <c r="G670" s="137" t="s">
        <v>2175</v>
      </c>
      <c r="H670" s="138"/>
      <c r="I670" s="138"/>
      <c r="J670" s="138"/>
      <c r="K670" s="138"/>
      <c r="L670" s="138"/>
      <c r="M670" s="138"/>
      <c r="N670" s="138"/>
      <c r="O670" s="138"/>
      <c r="P670" s="138"/>
      <c r="Q670" s="376"/>
      <c r="R670" s="381"/>
      <c r="S670" s="381"/>
      <c r="T670" s="379"/>
      <c r="U670" s="379"/>
      <c r="V670" s="379"/>
      <c r="W670" s="379"/>
      <c r="X670" s="380"/>
      <c r="Y670" s="376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tr">
        <f t="shared" si="2"/>
        <v xml:space="preserve">10.004.000.001 </v>
      </c>
      <c r="B671" s="707">
        <v>180</v>
      </c>
      <c r="C671" s="957" t="s">
        <v>2525</v>
      </c>
      <c r="D671" s="957" t="s">
        <v>90</v>
      </c>
      <c r="E671" s="219">
        <v>51</v>
      </c>
      <c r="F671" s="957" t="s">
        <v>2172</v>
      </c>
      <c r="G671" s="957" t="s">
        <v>2175</v>
      </c>
      <c r="H671" s="148">
        <v>1.18</v>
      </c>
      <c r="I671" s="142">
        <v>4781.1000000000004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5"/>
      <c r="R671" s="375"/>
      <c r="S671" s="375"/>
      <c r="T671" s="375"/>
      <c r="U671" s="375"/>
      <c r="V671" s="375"/>
      <c r="W671" s="375"/>
      <c r="X671" s="375"/>
      <c r="Y671" s="375"/>
      <c r="Z671" s="375"/>
      <c r="AA671" s="375"/>
      <c r="AB671" s="375"/>
      <c r="AC671" s="375"/>
      <c r="AD671" s="375"/>
      <c r="AE671" s="375"/>
      <c r="AF671" s="375"/>
    </row>
    <row r="672" spans="1:32" ht="8.4499999999999993" customHeight="1" x14ac:dyDescent="0.2">
      <c r="A672" s="252" t="str">
        <f t="shared" si="2"/>
        <v xml:space="preserve">10.005 </v>
      </c>
      <c r="B672" s="116">
        <v>181</v>
      </c>
      <c r="C672" s="137" t="s">
        <v>350</v>
      </c>
      <c r="D672" s="137"/>
      <c r="E672" s="115">
        <v>86</v>
      </c>
      <c r="F672" s="137" t="s">
        <v>2173</v>
      </c>
      <c r="G672" s="137" t="s">
        <v>2013</v>
      </c>
      <c r="H672" s="138"/>
      <c r="I672" s="138"/>
      <c r="J672" s="138"/>
      <c r="K672" s="138"/>
      <c r="L672" s="138"/>
      <c r="M672" s="138"/>
      <c r="N672" s="138"/>
      <c r="O672" s="138"/>
      <c r="P672" s="138"/>
      <c r="Q672" s="377"/>
      <c r="R672" s="381"/>
      <c r="S672" s="381"/>
      <c r="T672" s="379"/>
      <c r="U672" s="379"/>
      <c r="V672" s="379"/>
      <c r="W672" s="379"/>
      <c r="X672" s="380"/>
      <c r="Y672" s="377"/>
      <c r="Z672" s="381"/>
      <c r="AA672" s="381"/>
      <c r="AB672" s="379"/>
      <c r="AC672" s="379"/>
      <c r="AD672" s="379"/>
      <c r="AE672" s="379"/>
      <c r="AF672" s="380"/>
    </row>
    <row r="673" spans="1:32" ht="8.4499999999999993" customHeight="1" x14ac:dyDescent="0.2">
      <c r="A673" s="252" t="str">
        <f t="shared" si="2"/>
        <v xml:space="preserve">10.005.001 </v>
      </c>
      <c r="B673" s="116">
        <v>182</v>
      </c>
      <c r="C673" s="137" t="s">
        <v>1574</v>
      </c>
      <c r="D673" s="137"/>
      <c r="E673" s="115">
        <v>55</v>
      </c>
      <c r="F673" s="137" t="s">
        <v>2173</v>
      </c>
      <c r="G673" s="137" t="s">
        <v>2174</v>
      </c>
      <c r="H673" s="138"/>
      <c r="I673" s="138"/>
      <c r="J673" s="138"/>
      <c r="K673" s="138"/>
      <c r="L673" s="138"/>
      <c r="M673" s="138"/>
      <c r="N673" s="138"/>
      <c r="O673" s="138"/>
      <c r="P673" s="138"/>
      <c r="Q673" s="381"/>
      <c r="R673" s="381"/>
      <c r="S673" s="381"/>
      <c r="T673" s="379"/>
      <c r="U673" s="379"/>
      <c r="V673" s="379"/>
      <c r="W673" s="379"/>
      <c r="X673" s="380"/>
      <c r="Y673" s="381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tr">
        <f t="shared" si="2"/>
        <v xml:space="preserve">10.005.001.001 </v>
      </c>
      <c r="B674" s="707">
        <v>183</v>
      </c>
      <c r="C674" s="957" t="s">
        <v>2526</v>
      </c>
      <c r="D674" s="957" t="s">
        <v>90</v>
      </c>
      <c r="E674" s="219">
        <v>43</v>
      </c>
      <c r="F674" s="957" t="s">
        <v>2173</v>
      </c>
      <c r="G674" s="957" t="s">
        <v>2170</v>
      </c>
      <c r="H674" s="148">
        <v>0.39</v>
      </c>
      <c r="I674" s="142">
        <v>1191.24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5"/>
      <c r="R674" s="375"/>
      <c r="S674" s="375"/>
      <c r="T674" s="375"/>
      <c r="U674" s="375"/>
      <c r="V674" s="375"/>
      <c r="W674" s="375"/>
      <c r="X674" s="375"/>
      <c r="Y674" s="375"/>
      <c r="Z674" s="375"/>
      <c r="AA674" s="375"/>
      <c r="AB674" s="375"/>
      <c r="AC674" s="375"/>
      <c r="AD674" s="375"/>
      <c r="AE674" s="375"/>
      <c r="AF674" s="375"/>
    </row>
    <row r="675" spans="1:32" ht="8.4499999999999993" customHeight="1" x14ac:dyDescent="0.2">
      <c r="A675" s="252" t="str">
        <f t="shared" si="2"/>
        <v xml:space="preserve">10.005.001.002 </v>
      </c>
      <c r="B675" s="707">
        <v>184</v>
      </c>
      <c r="C675" s="957" t="s">
        <v>2527</v>
      </c>
      <c r="D675" s="957" t="s">
        <v>90</v>
      </c>
      <c r="E675" s="219">
        <v>43</v>
      </c>
      <c r="F675" s="957" t="s">
        <v>2173</v>
      </c>
      <c r="G675" s="957" t="s">
        <v>2170</v>
      </c>
      <c r="H675" s="148">
        <v>0.03</v>
      </c>
      <c r="I675" s="146">
        <v>65.5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tr">
        <f t="shared" si="2"/>
        <v xml:space="preserve">10.005.001.003 </v>
      </c>
      <c r="B676" s="707">
        <v>185</v>
      </c>
      <c r="C676" s="957" t="s">
        <v>2528</v>
      </c>
      <c r="D676" s="957" t="s">
        <v>90</v>
      </c>
      <c r="E676" s="219">
        <v>43</v>
      </c>
      <c r="F676" s="957" t="s">
        <v>2173</v>
      </c>
      <c r="G676" s="957" t="s">
        <v>2170</v>
      </c>
      <c r="H676" s="148">
        <v>0.05</v>
      </c>
      <c r="I676" s="146">
        <v>25.2</v>
      </c>
      <c r="J676" s="139">
        <v>0</v>
      </c>
      <c r="K676" s="139">
        <v>0</v>
      </c>
      <c r="L676" s="148">
        <v>0</v>
      </c>
      <c r="M676" s="148">
        <v>0</v>
      </c>
      <c r="N676" s="148">
        <v>0</v>
      </c>
      <c r="O676" s="148">
        <v>0</v>
      </c>
      <c r="P676" s="118"/>
      <c r="Q676" s="375"/>
      <c r="R676" s="375"/>
      <c r="S676" s="375"/>
      <c r="T676" s="375"/>
      <c r="U676" s="375"/>
      <c r="V676" s="375"/>
      <c r="W676" s="375"/>
      <c r="X676" s="375"/>
      <c r="Y676" s="375"/>
      <c r="Z676" s="375"/>
      <c r="AA676" s="375"/>
      <c r="AB676" s="375"/>
      <c r="AC676" s="375"/>
      <c r="AD676" s="375"/>
      <c r="AE676" s="375"/>
      <c r="AF676" s="375"/>
    </row>
    <row r="677" spans="1:32" ht="8.4499999999999993" customHeight="1" x14ac:dyDescent="0.2">
      <c r="A677" s="252" t="str">
        <f t="shared" si="2"/>
        <v xml:space="preserve">10.005.001.004 </v>
      </c>
      <c r="B677" s="707">
        <v>186</v>
      </c>
      <c r="C677" s="957" t="s">
        <v>2529</v>
      </c>
      <c r="D677" s="957" t="s">
        <v>90</v>
      </c>
      <c r="E677" s="219">
        <v>43</v>
      </c>
      <c r="F677" s="957" t="s">
        <v>2173</v>
      </c>
      <c r="G677" s="957" t="s">
        <v>2170</v>
      </c>
      <c r="H677" s="148">
        <v>0.01</v>
      </c>
      <c r="I677" s="146">
        <v>15.16</v>
      </c>
      <c r="J677" s="139">
        <v>0</v>
      </c>
      <c r="K677" s="139">
        <v>0</v>
      </c>
      <c r="L677" s="148">
        <v>0</v>
      </c>
      <c r="M677" s="148">
        <v>0</v>
      </c>
      <c r="N677" s="148">
        <v>0</v>
      </c>
      <c r="O677" s="148">
        <v>0</v>
      </c>
      <c r="P677" s="118"/>
      <c r="Q677" s="377"/>
      <c r="R677" s="381"/>
      <c r="S677" s="381"/>
      <c r="T677" s="379"/>
      <c r="U677" s="379"/>
      <c r="V677" s="379"/>
      <c r="W677" s="379"/>
      <c r="X677" s="380"/>
      <c r="Y677" s="377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tr">
        <f t="shared" si="2"/>
        <v xml:space="preserve">10.005.001.005 </v>
      </c>
      <c r="B678" s="707">
        <v>187</v>
      </c>
      <c r="C678" s="957" t="s">
        <v>1575</v>
      </c>
      <c r="D678" s="957" t="s">
        <v>90</v>
      </c>
      <c r="E678" s="219">
        <v>43</v>
      </c>
      <c r="F678" s="957" t="s">
        <v>2173</v>
      </c>
      <c r="G678" s="957" t="s">
        <v>2170</v>
      </c>
      <c r="H678" s="148">
        <v>0.44</v>
      </c>
      <c r="I678" s="142">
        <v>1411.7</v>
      </c>
      <c r="J678" s="139">
        <v>0</v>
      </c>
      <c r="K678" s="139">
        <v>0</v>
      </c>
      <c r="L678" s="148">
        <v>0</v>
      </c>
      <c r="M678" s="148">
        <v>0</v>
      </c>
      <c r="N678" s="148">
        <v>0</v>
      </c>
      <c r="O678" s="148">
        <v>0</v>
      </c>
      <c r="P678" s="118"/>
      <c r="Q678" s="381"/>
      <c r="R678" s="381"/>
      <c r="S678" s="381"/>
      <c r="T678" s="379"/>
      <c r="U678" s="379"/>
      <c r="V678" s="379"/>
      <c r="W678" s="379"/>
      <c r="X678" s="380"/>
      <c r="Y678" s="381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tr">
        <f t="shared" si="2"/>
        <v xml:space="preserve">10.005.001.006 </v>
      </c>
      <c r="B679" s="707">
        <v>188</v>
      </c>
      <c r="C679" s="957" t="s">
        <v>2530</v>
      </c>
      <c r="D679" s="957" t="s">
        <v>90</v>
      </c>
      <c r="E679" s="219">
        <v>22</v>
      </c>
      <c r="F679" s="957" t="s">
        <v>2168</v>
      </c>
      <c r="G679" s="957" t="s">
        <v>2174</v>
      </c>
      <c r="H679" s="148">
        <v>0.08</v>
      </c>
      <c r="I679" s="146">
        <v>29.96</v>
      </c>
      <c r="J679" s="139">
        <v>0</v>
      </c>
      <c r="K679" s="139">
        <v>0</v>
      </c>
      <c r="L679" s="148">
        <v>0</v>
      </c>
      <c r="M679" s="148">
        <v>0</v>
      </c>
      <c r="N679" s="148">
        <v>0</v>
      </c>
      <c r="O679" s="148">
        <v>0</v>
      </c>
      <c r="P679" s="118"/>
      <c r="Q679" s="375"/>
      <c r="R679" s="375"/>
      <c r="S679" s="375"/>
      <c r="T679" s="375"/>
      <c r="U679" s="375"/>
      <c r="V679" s="375"/>
      <c r="W679" s="375"/>
      <c r="X679" s="375"/>
      <c r="Y679" s="375"/>
      <c r="Z679" s="375"/>
      <c r="AA679" s="375"/>
      <c r="AB679" s="375"/>
      <c r="AC679" s="375"/>
      <c r="AD679" s="375"/>
      <c r="AE679" s="375"/>
      <c r="AF679" s="375"/>
    </row>
    <row r="680" spans="1:32" ht="8.4499999999999993" customHeight="1" x14ac:dyDescent="0.2">
      <c r="A680" s="252" t="str">
        <f t="shared" si="2"/>
        <v xml:space="preserve">10.005.001.007 </v>
      </c>
      <c r="B680" s="707">
        <v>189</v>
      </c>
      <c r="C680" s="957" t="s">
        <v>2531</v>
      </c>
      <c r="D680" s="957" t="s">
        <v>15</v>
      </c>
      <c r="E680" s="219">
        <v>22</v>
      </c>
      <c r="F680" s="957" t="s">
        <v>2168</v>
      </c>
      <c r="G680" s="957" t="s">
        <v>2174</v>
      </c>
      <c r="H680" s="148">
        <v>0.03</v>
      </c>
      <c r="I680" s="146">
        <v>29.96</v>
      </c>
      <c r="J680" s="139">
        <v>0</v>
      </c>
      <c r="K680" s="139">
        <v>0</v>
      </c>
      <c r="L680" s="148">
        <v>0</v>
      </c>
      <c r="M680" s="148">
        <v>0</v>
      </c>
      <c r="N680" s="148">
        <v>0</v>
      </c>
      <c r="O680" s="148">
        <v>0</v>
      </c>
      <c r="P680" s="118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tr">
        <f t="shared" si="2"/>
        <v xml:space="preserve">10.005.001.008 </v>
      </c>
      <c r="B681" s="707">
        <v>190</v>
      </c>
      <c r="C681" s="957" t="s">
        <v>2532</v>
      </c>
      <c r="D681" s="957" t="s">
        <v>90</v>
      </c>
      <c r="E681" s="219">
        <v>22</v>
      </c>
      <c r="F681" s="957" t="s">
        <v>2168</v>
      </c>
      <c r="G681" s="957" t="s">
        <v>2174</v>
      </c>
      <c r="H681" s="148">
        <v>0.01</v>
      </c>
      <c r="I681" s="146">
        <v>29.96</v>
      </c>
      <c r="J681" s="139">
        <v>0</v>
      </c>
      <c r="K681" s="139">
        <v>0</v>
      </c>
      <c r="L681" s="148">
        <v>0</v>
      </c>
      <c r="M681" s="148">
        <v>0</v>
      </c>
      <c r="N681" s="148">
        <v>0</v>
      </c>
      <c r="O681" s="148">
        <v>0</v>
      </c>
      <c r="P681" s="118"/>
      <c r="Q681" s="386"/>
      <c r="R681" s="381"/>
      <c r="S681" s="381"/>
      <c r="T681" s="379"/>
      <c r="U681" s="379"/>
      <c r="V681" s="379"/>
      <c r="W681" s="379"/>
      <c r="X681" s="380"/>
      <c r="Y681" s="386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tr">
        <f t="shared" si="2"/>
        <v xml:space="preserve">10.005.002 </v>
      </c>
      <c r="B682" s="116">
        <v>191</v>
      </c>
      <c r="C682" s="137" t="s">
        <v>1576</v>
      </c>
      <c r="D682" s="137"/>
      <c r="E682" s="115">
        <v>20</v>
      </c>
      <c r="F682" s="137" t="s">
        <v>2171</v>
      </c>
      <c r="G682" s="137" t="s">
        <v>2170</v>
      </c>
      <c r="H682" s="138"/>
      <c r="I682" s="138"/>
      <c r="J682" s="138"/>
      <c r="K682" s="138"/>
      <c r="L682" s="138"/>
      <c r="M682" s="138"/>
      <c r="N682" s="138"/>
      <c r="O682" s="138"/>
      <c r="P682" s="138"/>
      <c r="Q682" s="385"/>
      <c r="R682" s="381"/>
      <c r="S682" s="381"/>
      <c r="T682" s="379"/>
      <c r="U682" s="379"/>
      <c r="V682" s="379"/>
      <c r="W682" s="379"/>
      <c r="X682" s="380"/>
      <c r="Y682" s="385"/>
      <c r="Z682" s="381"/>
      <c r="AA682" s="381"/>
      <c r="AB682" s="379"/>
      <c r="AC682" s="379"/>
      <c r="AD682" s="379"/>
      <c r="AE682" s="379"/>
      <c r="AF682" s="380"/>
    </row>
    <row r="683" spans="1:32" ht="8.4499999999999993" customHeight="1" x14ac:dyDescent="0.2">
      <c r="A683" s="252" t="str">
        <f t="shared" si="2"/>
        <v xml:space="preserve">10.005.002.001 </v>
      </c>
      <c r="B683" s="707">
        <v>192</v>
      </c>
      <c r="C683" s="957" t="s">
        <v>1956</v>
      </c>
      <c r="D683" s="957" t="s">
        <v>15</v>
      </c>
      <c r="E683" s="219">
        <v>20</v>
      </c>
      <c r="F683" s="957" t="s">
        <v>2171</v>
      </c>
      <c r="G683" s="957" t="s">
        <v>2170</v>
      </c>
      <c r="H683" s="148">
        <v>0</v>
      </c>
      <c r="I683" s="146">
        <v>10.72</v>
      </c>
      <c r="J683" s="139">
        <v>0</v>
      </c>
      <c r="K683" s="139">
        <v>0</v>
      </c>
      <c r="L683" s="148">
        <v>0</v>
      </c>
      <c r="M683" s="148">
        <v>0</v>
      </c>
      <c r="N683" s="148">
        <v>0</v>
      </c>
      <c r="O683" s="148">
        <v>0</v>
      </c>
      <c r="P683" s="118"/>
      <c r="Q683" s="377"/>
      <c r="R683" s="381"/>
      <c r="S683" s="381"/>
      <c r="T683" s="379"/>
      <c r="U683" s="379"/>
      <c r="V683" s="379"/>
      <c r="W683" s="379"/>
      <c r="X683" s="380"/>
      <c r="Y683" s="377"/>
      <c r="Z683" s="381"/>
      <c r="AA683" s="381"/>
      <c r="AB683" s="379"/>
      <c r="AC683" s="379"/>
      <c r="AD683" s="379"/>
      <c r="AE683" s="379"/>
      <c r="AF683" s="380"/>
    </row>
    <row r="684" spans="1:32" ht="8.4499999999999993" customHeight="1" x14ac:dyDescent="0.2">
      <c r="A684" s="252" t="str">
        <f t="shared" ref="A684:A747" si="3">VLOOKUP($C684&amp;$B684,$A$2008:$G$2532,2,0)</f>
        <v xml:space="preserve">10.005.002.002 </v>
      </c>
      <c r="B684" s="707">
        <v>193</v>
      </c>
      <c r="C684" s="957" t="s">
        <v>2022</v>
      </c>
      <c r="D684" s="957" t="s">
        <v>15</v>
      </c>
      <c r="E684" s="219">
        <v>20</v>
      </c>
      <c r="F684" s="957" t="s">
        <v>2171</v>
      </c>
      <c r="G684" s="957" t="s">
        <v>2170</v>
      </c>
      <c r="H684" s="148">
        <v>0</v>
      </c>
      <c r="I684" s="146">
        <v>10.72</v>
      </c>
      <c r="J684" s="139">
        <v>0</v>
      </c>
      <c r="K684" s="139">
        <v>0</v>
      </c>
      <c r="L684" s="148">
        <v>0</v>
      </c>
      <c r="M684" s="148">
        <v>0</v>
      </c>
      <c r="N684" s="148">
        <v>0</v>
      </c>
      <c r="O684" s="148">
        <v>0</v>
      </c>
      <c r="P684" s="118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</row>
    <row r="685" spans="1:32" ht="8.4499999999999993" customHeight="1" x14ac:dyDescent="0.2">
      <c r="A685" s="252" t="str">
        <f t="shared" si="3"/>
        <v xml:space="preserve">10.005.003 </v>
      </c>
      <c r="B685" s="116">
        <v>194</v>
      </c>
      <c r="C685" s="137" t="s">
        <v>1577</v>
      </c>
      <c r="D685" s="137"/>
      <c r="E685" s="115">
        <v>50</v>
      </c>
      <c r="F685" s="137" t="s">
        <v>2478</v>
      </c>
      <c r="G685" s="137" t="s">
        <v>2013</v>
      </c>
      <c r="H685" s="138"/>
      <c r="I685" s="138"/>
      <c r="J685" s="138"/>
      <c r="K685" s="138"/>
      <c r="L685" s="138"/>
      <c r="M685" s="138"/>
      <c r="N685" s="138"/>
      <c r="O685" s="138"/>
      <c r="P685" s="138"/>
      <c r="Q685" s="386"/>
      <c r="R685" s="381"/>
      <c r="S685" s="381"/>
      <c r="T685" s="379"/>
      <c r="U685" s="379"/>
      <c r="V685" s="379"/>
      <c r="W685" s="379"/>
      <c r="X685" s="380"/>
      <c r="Y685" s="386"/>
      <c r="Z685" s="381"/>
      <c r="AA685" s="381"/>
      <c r="AB685" s="379"/>
      <c r="AC685" s="379"/>
      <c r="AD685" s="379"/>
      <c r="AE685" s="379"/>
      <c r="AF685" s="380"/>
    </row>
    <row r="686" spans="1:32" ht="8.4499999999999993" customHeight="1" x14ac:dyDescent="0.2">
      <c r="A686" s="252" t="str">
        <f t="shared" si="3"/>
        <v xml:space="preserve">10.005.003.001 </v>
      </c>
      <c r="B686" s="707">
        <v>195</v>
      </c>
      <c r="C686" s="957" t="s">
        <v>1957</v>
      </c>
      <c r="D686" s="957" t="s">
        <v>90</v>
      </c>
      <c r="E686" s="219">
        <v>50</v>
      </c>
      <c r="F686" s="957" t="s">
        <v>2478</v>
      </c>
      <c r="G686" s="957" t="s">
        <v>2013</v>
      </c>
      <c r="H686" s="148">
        <v>0</v>
      </c>
      <c r="I686" s="142">
        <v>1191.24</v>
      </c>
      <c r="J686" s="139">
        <v>0</v>
      </c>
      <c r="K686" s="139">
        <v>0</v>
      </c>
      <c r="L686" s="148">
        <v>0</v>
      </c>
      <c r="M686" s="148">
        <v>0</v>
      </c>
      <c r="N686" s="148">
        <v>0</v>
      </c>
      <c r="O686" s="148">
        <v>0</v>
      </c>
      <c r="P686" s="118"/>
      <c r="Q686" s="385"/>
      <c r="R686" s="381"/>
      <c r="S686" s="381"/>
      <c r="T686" s="379"/>
      <c r="U686" s="379"/>
      <c r="V686" s="379"/>
      <c r="W686" s="379"/>
      <c r="X686" s="380"/>
      <c r="Y686" s="385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tr">
        <f t="shared" si="3"/>
        <v xml:space="preserve">10.005.003.002 </v>
      </c>
      <c r="B687" s="707">
        <v>196</v>
      </c>
      <c r="C687" s="957" t="s">
        <v>2020</v>
      </c>
      <c r="D687" s="957" t="s">
        <v>90</v>
      </c>
      <c r="E687" s="219">
        <v>22</v>
      </c>
      <c r="F687" s="957" t="s">
        <v>2012</v>
      </c>
      <c r="G687" s="957" t="s">
        <v>2013</v>
      </c>
      <c r="H687" s="148">
        <v>0</v>
      </c>
      <c r="I687" s="146">
        <v>29.96</v>
      </c>
      <c r="J687" s="139">
        <v>0</v>
      </c>
      <c r="K687" s="139">
        <v>0</v>
      </c>
      <c r="L687" s="148">
        <v>0</v>
      </c>
      <c r="M687" s="148">
        <v>0</v>
      </c>
      <c r="N687" s="148">
        <v>0</v>
      </c>
      <c r="O687" s="148">
        <v>0</v>
      </c>
      <c r="P687" s="118"/>
      <c r="Q687" s="375"/>
      <c r="R687" s="375"/>
      <c r="S687" s="375"/>
      <c r="T687" s="375"/>
      <c r="U687" s="375"/>
      <c r="V687" s="375"/>
      <c r="W687" s="375"/>
      <c r="X687" s="375"/>
      <c r="Y687" s="375"/>
      <c r="Z687" s="375"/>
      <c r="AA687" s="375"/>
      <c r="AB687" s="375"/>
      <c r="AC687" s="375"/>
      <c r="AD687" s="375"/>
      <c r="AE687" s="375"/>
      <c r="AF687" s="375"/>
    </row>
    <row r="688" spans="1:32" ht="8.4499999999999993" customHeight="1" x14ac:dyDescent="0.2">
      <c r="A688" s="252" t="str">
        <f t="shared" si="3"/>
        <v xml:space="preserve">10.005.003.003 </v>
      </c>
      <c r="B688" s="707">
        <v>197</v>
      </c>
      <c r="C688" s="957" t="s">
        <v>2533</v>
      </c>
      <c r="D688" s="957" t="s">
        <v>90</v>
      </c>
      <c r="E688" s="219">
        <v>22</v>
      </c>
      <c r="F688" s="957" t="s">
        <v>2012</v>
      </c>
      <c r="G688" s="957" t="s">
        <v>2013</v>
      </c>
      <c r="H688" s="148">
        <v>0</v>
      </c>
      <c r="I688" s="146">
        <v>25.2</v>
      </c>
      <c r="J688" s="139">
        <v>0</v>
      </c>
      <c r="K688" s="139">
        <v>0</v>
      </c>
      <c r="L688" s="148">
        <v>0</v>
      </c>
      <c r="M688" s="148">
        <v>0</v>
      </c>
      <c r="N688" s="148">
        <v>0</v>
      </c>
      <c r="O688" s="148">
        <v>0</v>
      </c>
      <c r="P688" s="118"/>
      <c r="Q688" s="376"/>
      <c r="R688" s="381"/>
      <c r="S688" s="381"/>
      <c r="T688" s="379"/>
      <c r="U688" s="379"/>
      <c r="V688" s="379"/>
      <c r="W688" s="379"/>
      <c r="X688" s="380"/>
      <c r="Y688" s="376"/>
      <c r="Z688" s="381"/>
      <c r="AA688" s="381"/>
      <c r="AB688" s="379"/>
      <c r="AC688" s="379"/>
      <c r="AD688" s="379"/>
      <c r="AE688" s="379"/>
      <c r="AF688" s="380"/>
    </row>
    <row r="689" spans="1:32" ht="8.4499999999999993" customHeight="1" x14ac:dyDescent="0.2">
      <c r="A689" s="252" t="str">
        <f t="shared" si="3"/>
        <v xml:space="preserve">10.005.003.004 </v>
      </c>
      <c r="B689" s="707">
        <v>198</v>
      </c>
      <c r="C689" s="957" t="s">
        <v>2534</v>
      </c>
      <c r="D689" s="957" t="s">
        <v>90</v>
      </c>
      <c r="E689" s="219">
        <v>22</v>
      </c>
      <c r="F689" s="957" t="s">
        <v>2012</v>
      </c>
      <c r="G689" s="957" t="s">
        <v>2013</v>
      </c>
      <c r="H689" s="148">
        <v>0</v>
      </c>
      <c r="I689" s="146">
        <v>80.66</v>
      </c>
      <c r="J689" s="139">
        <v>0</v>
      </c>
      <c r="K689" s="139">
        <v>0</v>
      </c>
      <c r="L689" s="148">
        <v>0</v>
      </c>
      <c r="M689" s="148">
        <v>0</v>
      </c>
      <c r="N689" s="148">
        <v>0</v>
      </c>
      <c r="O689" s="148">
        <v>0</v>
      </c>
      <c r="P689" s="118"/>
      <c r="Q689" s="376"/>
      <c r="R689" s="381"/>
      <c r="S689" s="381"/>
      <c r="T689" s="379"/>
      <c r="U689" s="379"/>
      <c r="V689" s="379"/>
      <c r="W689" s="379"/>
      <c r="X689" s="380"/>
      <c r="Y689" s="376"/>
      <c r="Z689" s="381"/>
      <c r="AA689" s="381"/>
      <c r="AB689" s="379"/>
      <c r="AC689" s="379"/>
      <c r="AD689" s="379"/>
      <c r="AE689" s="379"/>
      <c r="AF689" s="380"/>
    </row>
    <row r="690" spans="1:32" ht="8.4499999999999993" customHeight="1" x14ac:dyDescent="0.2">
      <c r="A690" s="252" t="str">
        <f t="shared" si="3"/>
        <v xml:space="preserve">10.005.003.005 </v>
      </c>
      <c r="B690" s="707">
        <v>199</v>
      </c>
      <c r="C690" s="957" t="s">
        <v>2535</v>
      </c>
      <c r="D690" s="957" t="s">
        <v>90</v>
      </c>
      <c r="E690" s="219">
        <v>50</v>
      </c>
      <c r="F690" s="957" t="s">
        <v>2478</v>
      </c>
      <c r="G690" s="957" t="s">
        <v>2013</v>
      </c>
      <c r="H690" s="148">
        <v>0.08</v>
      </c>
      <c r="I690" s="142">
        <v>1327.06</v>
      </c>
      <c r="J690" s="139">
        <v>0</v>
      </c>
      <c r="K690" s="139">
        <v>0</v>
      </c>
      <c r="L690" s="148">
        <v>0</v>
      </c>
      <c r="M690" s="148">
        <v>0</v>
      </c>
      <c r="N690" s="148">
        <v>0</v>
      </c>
      <c r="O690" s="148">
        <v>0</v>
      </c>
      <c r="P690" s="118"/>
      <c r="Q690" s="376"/>
      <c r="R690" s="381"/>
      <c r="S690" s="381"/>
      <c r="T690" s="379"/>
      <c r="U690" s="379"/>
      <c r="V690" s="379"/>
      <c r="W690" s="379"/>
      <c r="X690" s="380"/>
      <c r="Y690" s="376"/>
      <c r="Z690" s="381"/>
      <c r="AA690" s="381"/>
      <c r="AB690" s="379"/>
      <c r="AC690" s="379"/>
      <c r="AD690" s="379"/>
      <c r="AE690" s="379"/>
      <c r="AF690" s="380"/>
    </row>
    <row r="691" spans="1:32" ht="8.4499999999999993" customHeight="1" x14ac:dyDescent="0.2">
      <c r="A691" s="252" t="str">
        <f t="shared" si="3"/>
        <v xml:space="preserve">10.005.004 </v>
      </c>
      <c r="B691" s="116">
        <v>200</v>
      </c>
      <c r="C691" s="137" t="s">
        <v>1578</v>
      </c>
      <c r="D691" s="137"/>
      <c r="E691" s="115">
        <v>43</v>
      </c>
      <c r="F691" s="137" t="s">
        <v>2173</v>
      </c>
      <c r="G691" s="137" t="s">
        <v>2170</v>
      </c>
      <c r="H691" s="138"/>
      <c r="I691" s="138"/>
      <c r="J691" s="138"/>
      <c r="K691" s="138"/>
      <c r="L691" s="138"/>
      <c r="M691" s="138"/>
      <c r="N691" s="138"/>
      <c r="O691" s="138"/>
      <c r="P691" s="138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</row>
    <row r="692" spans="1:32" ht="8.4499999999999993" customHeight="1" x14ac:dyDescent="0.2">
      <c r="A692" s="252" t="str">
        <f t="shared" si="3"/>
        <v xml:space="preserve">10.005.004.001 </v>
      </c>
      <c r="B692" s="707">
        <v>201</v>
      </c>
      <c r="C692" s="957" t="s">
        <v>1579</v>
      </c>
      <c r="D692" s="957" t="s">
        <v>15</v>
      </c>
      <c r="E692" s="219">
        <v>43</v>
      </c>
      <c r="F692" s="957" t="s">
        <v>2173</v>
      </c>
      <c r="G692" s="957" t="s">
        <v>2170</v>
      </c>
      <c r="H692" s="148">
        <v>0</v>
      </c>
      <c r="I692" s="146">
        <v>33.36</v>
      </c>
      <c r="J692" s="139">
        <v>0</v>
      </c>
      <c r="K692" s="139">
        <v>0</v>
      </c>
      <c r="L692" s="148">
        <v>0</v>
      </c>
      <c r="M692" s="148">
        <v>0</v>
      </c>
      <c r="N692" s="148">
        <v>0</v>
      </c>
      <c r="O692" s="148">
        <v>0</v>
      </c>
      <c r="P692" s="118"/>
      <c r="Q692" s="385"/>
      <c r="R692" s="381"/>
      <c r="S692" s="381"/>
      <c r="T692" s="379"/>
      <c r="U692" s="379"/>
      <c r="V692" s="379"/>
      <c r="W692" s="379"/>
      <c r="X692" s="380"/>
      <c r="Y692" s="385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tr">
        <f t="shared" si="3"/>
        <v xml:space="preserve">10.006 </v>
      </c>
      <c r="B693" s="116">
        <v>202</v>
      </c>
      <c r="C693" s="137" t="s">
        <v>351</v>
      </c>
      <c r="D693" s="137"/>
      <c r="E693" s="115">
        <v>30</v>
      </c>
      <c r="F693" s="137" t="s">
        <v>2033</v>
      </c>
      <c r="G693" s="137" t="s">
        <v>2178</v>
      </c>
      <c r="H693" s="138"/>
      <c r="I693" s="138"/>
      <c r="J693" s="138"/>
      <c r="K693" s="138"/>
      <c r="L693" s="138"/>
      <c r="M693" s="138"/>
      <c r="N693" s="138"/>
      <c r="O693" s="138"/>
      <c r="P693" s="138"/>
      <c r="Q693" s="376"/>
      <c r="R693" s="381"/>
      <c r="S693" s="381"/>
      <c r="T693" s="379"/>
      <c r="U693" s="379"/>
      <c r="V693" s="379"/>
      <c r="W693" s="379"/>
      <c r="X693" s="380"/>
      <c r="Y693" s="376"/>
      <c r="Z693" s="381"/>
      <c r="AA693" s="381"/>
      <c r="AB693" s="379"/>
      <c r="AC693" s="379"/>
      <c r="AD693" s="379"/>
      <c r="AE693" s="379"/>
      <c r="AF693" s="380"/>
    </row>
    <row r="694" spans="1:32" ht="8.4499999999999993" customHeight="1" x14ac:dyDescent="0.2">
      <c r="A694" s="252" t="str">
        <f t="shared" si="3"/>
        <v xml:space="preserve">10.006.000.001 </v>
      </c>
      <c r="B694" s="707">
        <v>203</v>
      </c>
      <c r="C694" s="957" t="s">
        <v>2536</v>
      </c>
      <c r="D694" s="957" t="s">
        <v>15</v>
      </c>
      <c r="E694" s="219">
        <v>30</v>
      </c>
      <c r="F694" s="957" t="s">
        <v>2033</v>
      </c>
      <c r="G694" s="957" t="s">
        <v>2178</v>
      </c>
      <c r="H694" s="148">
        <v>0.14000000000000001</v>
      </c>
      <c r="I694" s="146">
        <v>98.1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</row>
    <row r="695" spans="1:32" ht="8.4499999999999993" customHeight="1" x14ac:dyDescent="0.2">
      <c r="A695" s="252" t="str">
        <f t="shared" si="3"/>
        <v xml:space="preserve">10.007 </v>
      </c>
      <c r="B695" s="116">
        <v>204</v>
      </c>
      <c r="C695" s="137" t="s">
        <v>264</v>
      </c>
      <c r="D695" s="137"/>
      <c r="E695" s="115">
        <v>23</v>
      </c>
      <c r="F695" s="137" t="s">
        <v>2196</v>
      </c>
      <c r="G695" s="137" t="s">
        <v>2195</v>
      </c>
      <c r="H695" s="138"/>
      <c r="I695" s="138"/>
      <c r="J695" s="138"/>
      <c r="K695" s="138"/>
      <c r="L695" s="138"/>
      <c r="M695" s="138"/>
      <c r="N695" s="138"/>
      <c r="O695" s="138"/>
      <c r="P695" s="138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</row>
    <row r="696" spans="1:32" ht="8.4499999999999993" customHeight="1" x14ac:dyDescent="0.2">
      <c r="A696" s="252" t="str">
        <f t="shared" si="3"/>
        <v xml:space="preserve">10.007.000.001 </v>
      </c>
      <c r="B696" s="707">
        <v>205</v>
      </c>
      <c r="C696" s="957" t="s">
        <v>2537</v>
      </c>
      <c r="D696" s="957" t="s">
        <v>90</v>
      </c>
      <c r="E696" s="219">
        <v>23</v>
      </c>
      <c r="F696" s="957" t="s">
        <v>2196</v>
      </c>
      <c r="G696" s="957" t="s">
        <v>2195</v>
      </c>
      <c r="H696" s="148">
        <v>0.1</v>
      </c>
      <c r="I696" s="146">
        <v>18.899999999999999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6"/>
      <c r="R696" s="381"/>
      <c r="S696" s="381"/>
      <c r="T696" s="379"/>
      <c r="U696" s="379"/>
      <c r="V696" s="379"/>
      <c r="W696" s="379"/>
      <c r="X696" s="380"/>
      <c r="Y696" s="376"/>
      <c r="Z696" s="381"/>
      <c r="AA696" s="381"/>
      <c r="AB696" s="379"/>
      <c r="AC696" s="379"/>
      <c r="AD696" s="379"/>
      <c r="AE696" s="379"/>
      <c r="AF696" s="380"/>
    </row>
    <row r="697" spans="1:32" ht="8.4499999999999993" customHeight="1" x14ac:dyDescent="0.2">
      <c r="A697" s="252" t="str">
        <f t="shared" si="3"/>
        <v xml:space="preserve">10.007.000.002 </v>
      </c>
      <c r="B697" s="707">
        <v>206</v>
      </c>
      <c r="C697" s="957" t="s">
        <v>2538</v>
      </c>
      <c r="D697" s="957" t="s">
        <v>90</v>
      </c>
      <c r="E697" s="219">
        <v>23</v>
      </c>
      <c r="F697" s="957" t="s">
        <v>2196</v>
      </c>
      <c r="G697" s="957" t="s">
        <v>2195</v>
      </c>
      <c r="H697" s="148">
        <v>0.08</v>
      </c>
      <c r="I697" s="146">
        <v>29.29</v>
      </c>
      <c r="J697" s="139">
        <v>0</v>
      </c>
      <c r="K697" s="139">
        <v>0</v>
      </c>
      <c r="L697" s="148">
        <v>0</v>
      </c>
      <c r="M697" s="148">
        <v>0</v>
      </c>
      <c r="N697" s="148">
        <v>0</v>
      </c>
      <c r="O697" s="148">
        <v>0</v>
      </c>
      <c r="P697" s="11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tr">
        <f t="shared" si="3"/>
        <v xml:space="preserve">11 </v>
      </c>
      <c r="B698" s="116">
        <v>207</v>
      </c>
      <c r="C698" s="137" t="s">
        <v>352</v>
      </c>
      <c r="D698" s="137"/>
      <c r="E698" s="115">
        <v>67</v>
      </c>
      <c r="F698" s="137" t="s">
        <v>2458</v>
      </c>
      <c r="G698" s="137" t="s">
        <v>2181</v>
      </c>
      <c r="H698" s="138"/>
      <c r="I698" s="138"/>
      <c r="J698" s="138"/>
      <c r="K698" s="138"/>
      <c r="L698" s="138"/>
      <c r="M698" s="138"/>
      <c r="N698" s="138"/>
      <c r="O698" s="138"/>
      <c r="P698" s="138"/>
      <c r="Q698" s="381"/>
      <c r="R698" s="381"/>
      <c r="S698" s="381"/>
      <c r="T698" s="379"/>
      <c r="U698" s="379"/>
      <c r="V698" s="379"/>
      <c r="W698" s="379"/>
      <c r="X698" s="380"/>
      <c r="Y698" s="381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tr">
        <f t="shared" si="3"/>
        <v xml:space="preserve">11.001 </v>
      </c>
      <c r="B699" s="116">
        <v>208</v>
      </c>
      <c r="C699" s="137" t="s">
        <v>353</v>
      </c>
      <c r="D699" s="137"/>
      <c r="E699" s="115">
        <v>67</v>
      </c>
      <c r="F699" s="137" t="s">
        <v>2458</v>
      </c>
      <c r="G699" s="137" t="s">
        <v>2181</v>
      </c>
      <c r="H699" s="138"/>
      <c r="I699" s="138"/>
      <c r="J699" s="138"/>
      <c r="K699" s="138"/>
      <c r="L699" s="138"/>
      <c r="M699" s="138"/>
      <c r="N699" s="138"/>
      <c r="O699" s="138"/>
      <c r="P699" s="138"/>
      <c r="Q699" s="377"/>
      <c r="R699" s="381"/>
      <c r="S699" s="381"/>
      <c r="T699" s="379"/>
      <c r="U699" s="379"/>
      <c r="V699" s="379"/>
      <c r="W699" s="379"/>
      <c r="X699" s="380"/>
      <c r="Y699" s="377"/>
      <c r="Z699" s="381"/>
      <c r="AA699" s="381"/>
      <c r="AB699" s="379"/>
      <c r="AC699" s="379"/>
      <c r="AD699" s="379"/>
      <c r="AE699" s="379"/>
      <c r="AF699" s="380"/>
    </row>
    <row r="700" spans="1:32" ht="8.4499999999999993" customHeight="1" x14ac:dyDescent="0.2">
      <c r="A700" s="252" t="str">
        <f t="shared" si="3"/>
        <v xml:space="preserve">11.001.000.001 </v>
      </c>
      <c r="B700" s="707">
        <v>209</v>
      </c>
      <c r="C700" s="957" t="s">
        <v>2539</v>
      </c>
      <c r="D700" s="957" t="s">
        <v>90</v>
      </c>
      <c r="E700" s="219">
        <v>67</v>
      </c>
      <c r="F700" s="957" t="s">
        <v>2458</v>
      </c>
      <c r="G700" s="957" t="s">
        <v>2181</v>
      </c>
      <c r="H700" s="148">
        <v>0.22</v>
      </c>
      <c r="I700" s="144">
        <v>501.94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81"/>
      <c r="R700" s="381"/>
      <c r="S700" s="381"/>
      <c r="T700" s="379"/>
      <c r="U700" s="379"/>
      <c r="V700" s="379"/>
      <c r="W700" s="379"/>
      <c r="X700" s="380"/>
      <c r="Y700" s="381"/>
      <c r="Z700" s="381"/>
      <c r="AA700" s="381"/>
      <c r="AB700" s="379"/>
      <c r="AC700" s="379"/>
      <c r="AD700" s="379"/>
      <c r="AE700" s="379"/>
      <c r="AF700" s="380"/>
    </row>
    <row r="701" spans="1:32" ht="8.4499999999999993" customHeight="1" x14ac:dyDescent="0.2">
      <c r="A701" s="252" t="str">
        <f t="shared" si="3"/>
        <v xml:space="preserve">11.001.000.002 </v>
      </c>
      <c r="B701" s="707">
        <v>210</v>
      </c>
      <c r="C701" s="957" t="s">
        <v>2540</v>
      </c>
      <c r="D701" s="957" t="s">
        <v>90</v>
      </c>
      <c r="E701" s="219">
        <v>18</v>
      </c>
      <c r="F701" s="957" t="s">
        <v>2174</v>
      </c>
      <c r="G701" s="957" t="s">
        <v>2185</v>
      </c>
      <c r="H701" s="148">
        <v>0.15</v>
      </c>
      <c r="I701" s="146">
        <v>65.36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75"/>
      <c r="R701" s="375"/>
      <c r="S701" s="375"/>
      <c r="T701" s="375"/>
      <c r="U701" s="375"/>
      <c r="V701" s="375"/>
      <c r="W701" s="375"/>
      <c r="X701" s="375"/>
      <c r="Y701" s="375"/>
      <c r="Z701" s="375"/>
      <c r="AA701" s="375"/>
      <c r="AB701" s="375"/>
      <c r="AC701" s="375"/>
      <c r="AD701" s="375"/>
      <c r="AE701" s="375"/>
      <c r="AF701" s="375"/>
    </row>
    <row r="702" spans="1:32" ht="8.4499999999999993" customHeight="1" x14ac:dyDescent="0.2">
      <c r="A702" s="252" t="str">
        <f t="shared" si="3"/>
        <v xml:space="preserve">11.001.000.003 </v>
      </c>
      <c r="B702" s="707">
        <v>211</v>
      </c>
      <c r="C702" s="957" t="s">
        <v>2541</v>
      </c>
      <c r="D702" s="957" t="s">
        <v>15</v>
      </c>
      <c r="E702" s="219">
        <v>67</v>
      </c>
      <c r="F702" s="957" t="s">
        <v>2458</v>
      </c>
      <c r="G702" s="957" t="s">
        <v>2181</v>
      </c>
      <c r="H702" s="148">
        <v>0.11</v>
      </c>
      <c r="I702" s="144">
        <v>955.66</v>
      </c>
      <c r="J702" s="139">
        <v>0</v>
      </c>
      <c r="K702" s="139">
        <v>0</v>
      </c>
      <c r="L702" s="148">
        <v>0</v>
      </c>
      <c r="M702" s="148">
        <v>0</v>
      </c>
      <c r="N702" s="148">
        <v>0</v>
      </c>
      <c r="O702" s="148">
        <v>0</v>
      </c>
      <c r="P702" s="118"/>
      <c r="Q702" s="377"/>
      <c r="R702" s="381"/>
      <c r="S702" s="381"/>
      <c r="T702" s="379"/>
      <c r="U702" s="379"/>
      <c r="V702" s="379"/>
      <c r="W702" s="379"/>
      <c r="X702" s="380"/>
      <c r="Y702" s="377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tr">
        <f t="shared" si="3"/>
        <v xml:space="preserve">11.001.000.004 </v>
      </c>
      <c r="B703" s="707">
        <v>212</v>
      </c>
      <c r="C703" s="957" t="s">
        <v>2542</v>
      </c>
      <c r="D703" s="957" t="s">
        <v>15</v>
      </c>
      <c r="E703" s="219">
        <v>44</v>
      </c>
      <c r="F703" s="957" t="s">
        <v>2458</v>
      </c>
      <c r="G703" s="957" t="s">
        <v>2543</v>
      </c>
      <c r="H703" s="148">
        <v>0.03</v>
      </c>
      <c r="I703" s="146">
        <v>78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6"/>
      <c r="R703" s="381"/>
      <c r="S703" s="381"/>
      <c r="T703" s="379"/>
      <c r="U703" s="379"/>
      <c r="V703" s="379"/>
      <c r="W703" s="379"/>
      <c r="X703" s="380"/>
      <c r="Y703" s="376"/>
      <c r="Z703" s="381"/>
      <c r="AA703" s="381"/>
      <c r="AB703" s="379"/>
      <c r="AC703" s="379"/>
      <c r="AD703" s="379"/>
      <c r="AE703" s="379"/>
      <c r="AF703" s="380"/>
    </row>
    <row r="704" spans="1:32" ht="8.4499999999999993" customHeight="1" x14ac:dyDescent="0.2">
      <c r="A704" s="252" t="str">
        <f t="shared" si="3"/>
        <v xml:space="preserve">12 </v>
      </c>
      <c r="B704" s="116">
        <v>213</v>
      </c>
      <c r="C704" s="137" t="s">
        <v>59</v>
      </c>
      <c r="D704" s="137"/>
      <c r="E704" s="116">
        <v>153</v>
      </c>
      <c r="F704" s="137" t="s">
        <v>2491</v>
      </c>
      <c r="G704" s="137" t="s">
        <v>2476</v>
      </c>
      <c r="H704" s="138"/>
      <c r="I704" s="138"/>
      <c r="J704" s="138"/>
      <c r="K704" s="138"/>
      <c r="L704" s="138"/>
      <c r="M704" s="138"/>
      <c r="N704" s="138"/>
      <c r="O704" s="138"/>
      <c r="P704" s="138"/>
      <c r="Q704" s="376"/>
      <c r="R704" s="381"/>
      <c r="S704" s="381"/>
      <c r="T704" s="379"/>
      <c r="U704" s="379"/>
      <c r="V704" s="379"/>
      <c r="W704" s="379"/>
      <c r="X704" s="380"/>
      <c r="Y704" s="376"/>
      <c r="Z704" s="381"/>
      <c r="AA704" s="381"/>
      <c r="AB704" s="379"/>
      <c r="AC704" s="379"/>
      <c r="AD704" s="379"/>
      <c r="AE704" s="379"/>
      <c r="AF704" s="380"/>
    </row>
    <row r="705" spans="1:32" ht="8.4499999999999993" customHeight="1" x14ac:dyDescent="0.2">
      <c r="A705" s="252" t="str">
        <f t="shared" si="3"/>
        <v xml:space="preserve">12.001 </v>
      </c>
      <c r="B705" s="116">
        <v>214</v>
      </c>
      <c r="C705" s="137" t="s">
        <v>1580</v>
      </c>
      <c r="D705" s="137"/>
      <c r="E705" s="116">
        <v>153</v>
      </c>
      <c r="F705" s="137" t="s">
        <v>2491</v>
      </c>
      <c r="G705" s="137" t="s">
        <v>2476</v>
      </c>
      <c r="H705" s="138"/>
      <c r="I705" s="138"/>
      <c r="J705" s="138"/>
      <c r="K705" s="138"/>
      <c r="L705" s="138"/>
      <c r="M705" s="138"/>
      <c r="N705" s="138"/>
      <c r="O705" s="138"/>
      <c r="P705" s="138"/>
      <c r="Q705" s="375"/>
      <c r="R705" s="375"/>
      <c r="S705" s="375"/>
      <c r="T705" s="375"/>
      <c r="U705" s="375"/>
      <c r="V705" s="375"/>
      <c r="W705" s="375"/>
      <c r="X705" s="375"/>
      <c r="Y705" s="375"/>
      <c r="Z705" s="375"/>
      <c r="AA705" s="375"/>
      <c r="AB705" s="375"/>
      <c r="AC705" s="375"/>
      <c r="AD705" s="375"/>
      <c r="AE705" s="375"/>
      <c r="AF705" s="375"/>
    </row>
    <row r="706" spans="1:32" ht="8.4499999999999993" customHeight="1" x14ac:dyDescent="0.2">
      <c r="A706" s="252" t="str">
        <f t="shared" si="3"/>
        <v xml:space="preserve">12.001.000.001 </v>
      </c>
      <c r="B706" s="707">
        <v>215</v>
      </c>
      <c r="C706" s="957" t="s">
        <v>2544</v>
      </c>
      <c r="D706" s="957" t="s">
        <v>90</v>
      </c>
      <c r="E706" s="707">
        <v>153</v>
      </c>
      <c r="F706" s="957" t="s">
        <v>2491</v>
      </c>
      <c r="G706" s="957" t="s">
        <v>2476</v>
      </c>
      <c r="H706" s="148">
        <v>0.1</v>
      </c>
      <c r="I706" s="142">
        <v>1154.52</v>
      </c>
      <c r="J706" s="139">
        <v>0</v>
      </c>
      <c r="K706" s="139">
        <v>0</v>
      </c>
      <c r="L706" s="148">
        <v>0</v>
      </c>
      <c r="M706" s="148">
        <v>0</v>
      </c>
      <c r="N706" s="148">
        <v>0</v>
      </c>
      <c r="O706" s="148">
        <v>0</v>
      </c>
      <c r="P706" s="118"/>
      <c r="Q706" s="381"/>
      <c r="R706" s="381"/>
      <c r="S706" s="381"/>
      <c r="T706" s="379"/>
      <c r="U706" s="379"/>
      <c r="V706" s="379"/>
      <c r="W706" s="379"/>
      <c r="X706" s="380"/>
      <c r="Y706" s="381"/>
      <c r="Z706" s="381"/>
      <c r="AA706" s="381"/>
      <c r="AB706" s="379"/>
      <c r="AC706" s="379"/>
      <c r="AD706" s="379"/>
      <c r="AE706" s="379"/>
      <c r="AF706" s="380"/>
    </row>
    <row r="707" spans="1:32" ht="8.4499999999999993" customHeight="1" x14ac:dyDescent="0.2">
      <c r="A707" s="252" t="str">
        <f t="shared" si="3"/>
        <v xml:space="preserve">12.001.000.002 </v>
      </c>
      <c r="B707" s="707">
        <v>216</v>
      </c>
      <c r="C707" s="957" t="s">
        <v>2545</v>
      </c>
      <c r="D707" s="957" t="s">
        <v>90</v>
      </c>
      <c r="E707" s="219">
        <v>20</v>
      </c>
      <c r="F707" s="957" t="s">
        <v>2172</v>
      </c>
      <c r="G707" s="957" t="s">
        <v>2011</v>
      </c>
      <c r="H707" s="148">
        <v>0.02</v>
      </c>
      <c r="I707" s="144">
        <v>281.56</v>
      </c>
      <c r="J707" s="139">
        <v>0</v>
      </c>
      <c r="K707" s="139">
        <v>0</v>
      </c>
      <c r="L707" s="148">
        <v>0</v>
      </c>
      <c r="M707" s="148">
        <v>0</v>
      </c>
      <c r="N707" s="148">
        <v>0</v>
      </c>
      <c r="O707" s="148">
        <v>0</v>
      </c>
      <c r="P707" s="118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</row>
    <row r="708" spans="1:32" ht="8.4499999999999993" customHeight="1" x14ac:dyDescent="0.2">
      <c r="A708" s="252" t="str">
        <f t="shared" si="3"/>
        <v xml:space="preserve">12.002 </v>
      </c>
      <c r="B708" s="116">
        <v>217</v>
      </c>
      <c r="C708" s="137" t="s">
        <v>354</v>
      </c>
      <c r="D708" s="137"/>
      <c r="E708" s="116">
        <v>153</v>
      </c>
      <c r="F708" s="137" t="s">
        <v>2491</v>
      </c>
      <c r="G708" s="137" t="s">
        <v>2476</v>
      </c>
      <c r="H708" s="138"/>
      <c r="I708" s="138"/>
      <c r="J708" s="138"/>
      <c r="K708" s="138"/>
      <c r="L708" s="138"/>
      <c r="M708" s="138"/>
      <c r="N708" s="138"/>
      <c r="O708" s="138"/>
      <c r="P708" s="138"/>
      <c r="Q708" s="385"/>
      <c r="R708" s="381"/>
      <c r="S708" s="381"/>
      <c r="T708" s="379"/>
      <c r="U708" s="379"/>
      <c r="V708" s="379"/>
      <c r="W708" s="379"/>
      <c r="X708" s="380"/>
      <c r="Y708" s="385"/>
      <c r="Z708" s="381"/>
      <c r="AA708" s="381"/>
      <c r="AB708" s="379"/>
      <c r="AC708" s="379"/>
      <c r="AD708" s="379"/>
      <c r="AE708" s="379"/>
      <c r="AF708" s="380"/>
    </row>
    <row r="709" spans="1:32" ht="8.4499999999999993" customHeight="1" x14ac:dyDescent="0.2">
      <c r="A709" s="252" t="str">
        <f t="shared" si="3"/>
        <v xml:space="preserve">12.002.000.001 </v>
      </c>
      <c r="B709" s="707">
        <v>218</v>
      </c>
      <c r="C709" s="957" t="s">
        <v>2546</v>
      </c>
      <c r="D709" s="957" t="s">
        <v>90</v>
      </c>
      <c r="E709" s="707">
        <v>153</v>
      </c>
      <c r="F709" s="957" t="s">
        <v>2491</v>
      </c>
      <c r="G709" s="957" t="s">
        <v>2476</v>
      </c>
      <c r="H709" s="148">
        <v>0.13</v>
      </c>
      <c r="I709" s="142">
        <v>1484.62</v>
      </c>
      <c r="J709" s="139">
        <v>0</v>
      </c>
      <c r="K709" s="139">
        <v>0</v>
      </c>
      <c r="L709" s="148">
        <v>0</v>
      </c>
      <c r="M709" s="148">
        <v>0</v>
      </c>
      <c r="N709" s="148">
        <v>0</v>
      </c>
      <c r="O709" s="148">
        <v>0</v>
      </c>
      <c r="P709" s="118"/>
      <c r="Q709" s="376"/>
      <c r="R709" s="381"/>
      <c r="S709" s="381"/>
      <c r="T709" s="379"/>
      <c r="U709" s="379"/>
      <c r="V709" s="379"/>
      <c r="W709" s="379"/>
      <c r="X709" s="380"/>
      <c r="Y709" s="376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tr">
        <f t="shared" si="3"/>
        <v xml:space="preserve">12.002.000.002 </v>
      </c>
      <c r="B710" s="707">
        <v>219</v>
      </c>
      <c r="C710" s="957" t="s">
        <v>2547</v>
      </c>
      <c r="D710" s="957" t="s">
        <v>90</v>
      </c>
      <c r="E710" s="219">
        <v>20</v>
      </c>
      <c r="F710" s="957" t="s">
        <v>2499</v>
      </c>
      <c r="G710" s="957" t="s">
        <v>2500</v>
      </c>
      <c r="H710" s="148">
        <v>0.26</v>
      </c>
      <c r="I710" s="144">
        <v>286</v>
      </c>
      <c r="J710" s="139">
        <v>0</v>
      </c>
      <c r="K710" s="139">
        <v>0</v>
      </c>
      <c r="L710" s="148">
        <v>0</v>
      </c>
      <c r="M710" s="148">
        <v>0</v>
      </c>
      <c r="N710" s="148">
        <v>0</v>
      </c>
      <c r="O710" s="148">
        <v>0</v>
      </c>
      <c r="P710" s="118"/>
      <c r="Q710" s="381"/>
      <c r="R710" s="381"/>
      <c r="S710" s="381"/>
      <c r="T710" s="379"/>
      <c r="U710" s="379"/>
      <c r="V710" s="379"/>
      <c r="W710" s="379"/>
      <c r="X710" s="380"/>
      <c r="Y710" s="381"/>
      <c r="Z710" s="381"/>
      <c r="AA710" s="381"/>
      <c r="AB710" s="379"/>
      <c r="AC710" s="379"/>
      <c r="AD710" s="379"/>
      <c r="AE710" s="379"/>
      <c r="AF710" s="380"/>
    </row>
    <row r="711" spans="1:32" ht="8.4499999999999993" customHeight="1" x14ac:dyDescent="0.2">
      <c r="A711" s="252" t="str">
        <f t="shared" si="3"/>
        <v xml:space="preserve">12.002.000.003 </v>
      </c>
      <c r="B711" s="707">
        <v>220</v>
      </c>
      <c r="C711" s="957" t="s">
        <v>2548</v>
      </c>
      <c r="D711" s="957" t="s">
        <v>90</v>
      </c>
      <c r="E711" s="707">
        <v>153</v>
      </c>
      <c r="F711" s="957" t="s">
        <v>2491</v>
      </c>
      <c r="G711" s="957" t="s">
        <v>2476</v>
      </c>
      <c r="H711" s="148">
        <v>0.31</v>
      </c>
      <c r="I711" s="142">
        <v>1485.7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5"/>
      <c r="R711" s="375"/>
      <c r="S711" s="375"/>
      <c r="T711" s="375"/>
      <c r="U711" s="375"/>
      <c r="V711" s="375"/>
      <c r="W711" s="375"/>
      <c r="X711" s="375"/>
      <c r="Y711" s="375"/>
      <c r="Z711" s="375"/>
      <c r="AA711" s="375"/>
      <c r="AB711" s="375"/>
      <c r="AC711" s="375"/>
      <c r="AD711" s="375"/>
      <c r="AE711" s="375"/>
      <c r="AF711" s="375"/>
    </row>
    <row r="712" spans="1:32" ht="8.4499999999999993" customHeight="1" x14ac:dyDescent="0.2">
      <c r="A712" s="252" t="str">
        <f t="shared" si="3"/>
        <v xml:space="preserve">12.002.000.004 </v>
      </c>
      <c r="B712" s="707">
        <v>221</v>
      </c>
      <c r="C712" s="957" t="s">
        <v>2549</v>
      </c>
      <c r="D712" s="957" t="s">
        <v>15</v>
      </c>
      <c r="E712" s="707">
        <v>106</v>
      </c>
      <c r="F712" s="957" t="s">
        <v>2491</v>
      </c>
      <c r="G712" s="957" t="s">
        <v>2175</v>
      </c>
      <c r="H712" s="148">
        <v>0.08</v>
      </c>
      <c r="I712" s="144">
        <v>493.87</v>
      </c>
      <c r="J712" s="139">
        <v>0</v>
      </c>
      <c r="K712" s="139">
        <v>0</v>
      </c>
      <c r="L712" s="148">
        <v>0</v>
      </c>
      <c r="M712" s="148">
        <v>0</v>
      </c>
      <c r="N712" s="148">
        <v>0</v>
      </c>
      <c r="O712" s="148">
        <v>0</v>
      </c>
      <c r="P712" s="118"/>
      <c r="Q712" s="381"/>
      <c r="R712" s="381"/>
      <c r="S712" s="381"/>
      <c r="T712" s="379"/>
      <c r="U712" s="379"/>
      <c r="V712" s="379"/>
      <c r="W712" s="379"/>
      <c r="X712" s="380"/>
      <c r="Y712" s="381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tr">
        <f t="shared" si="3"/>
        <v xml:space="preserve">12.003 </v>
      </c>
      <c r="B713" s="116">
        <v>222</v>
      </c>
      <c r="C713" s="137" t="s">
        <v>841</v>
      </c>
      <c r="D713" s="137"/>
      <c r="E713" s="116">
        <v>106</v>
      </c>
      <c r="F713" s="137" t="s">
        <v>2491</v>
      </c>
      <c r="G713" s="137" t="s">
        <v>2175</v>
      </c>
      <c r="H713" s="138"/>
      <c r="I713" s="138"/>
      <c r="J713" s="138"/>
      <c r="K713" s="138"/>
      <c r="L713" s="138"/>
      <c r="M713" s="138"/>
      <c r="N713" s="138"/>
      <c r="O713" s="138"/>
      <c r="P713" s="138"/>
      <c r="Q713" s="375"/>
      <c r="R713" s="375"/>
      <c r="S713" s="375"/>
      <c r="T713" s="375"/>
      <c r="U713" s="375"/>
      <c r="V713" s="375"/>
      <c r="W713" s="375"/>
      <c r="X713" s="375"/>
      <c r="Y713" s="375"/>
      <c r="Z713" s="375"/>
      <c r="AA713" s="375"/>
      <c r="AB713" s="375"/>
      <c r="AC713" s="375"/>
      <c r="AD713" s="375"/>
      <c r="AE713" s="375"/>
      <c r="AF713" s="375"/>
    </row>
    <row r="714" spans="1:32" ht="8.4499999999999993" customHeight="1" x14ac:dyDescent="0.2">
      <c r="A714" s="252" t="str">
        <f t="shared" si="3"/>
        <v xml:space="preserve">12.003.000.001 </v>
      </c>
      <c r="B714" s="707">
        <v>223</v>
      </c>
      <c r="C714" s="957" t="s">
        <v>2550</v>
      </c>
      <c r="D714" s="957" t="s">
        <v>90</v>
      </c>
      <c r="E714" s="707">
        <v>106</v>
      </c>
      <c r="F714" s="957" t="s">
        <v>2491</v>
      </c>
      <c r="G714" s="957" t="s">
        <v>2175</v>
      </c>
      <c r="H714" s="148">
        <v>0.56999999999999995</v>
      </c>
      <c r="I714" s="144">
        <v>693.34</v>
      </c>
      <c r="J714" s="139">
        <v>0</v>
      </c>
      <c r="K714" s="139">
        <v>0</v>
      </c>
      <c r="L714" s="148">
        <v>0</v>
      </c>
      <c r="M714" s="148">
        <v>0</v>
      </c>
      <c r="N714" s="148">
        <v>0</v>
      </c>
      <c r="O714" s="148">
        <v>0</v>
      </c>
      <c r="P714" s="118"/>
      <c r="Q714" s="381"/>
      <c r="R714" s="381"/>
      <c r="S714" s="381"/>
      <c r="T714" s="379"/>
      <c r="U714" s="379"/>
      <c r="V714" s="379"/>
      <c r="W714" s="379"/>
      <c r="X714" s="380"/>
      <c r="Y714" s="381"/>
      <c r="Z714" s="381"/>
      <c r="AA714" s="381"/>
      <c r="AB714" s="379"/>
      <c r="AC714" s="379"/>
      <c r="AD714" s="379"/>
      <c r="AE714" s="379"/>
      <c r="AF714" s="380"/>
    </row>
    <row r="715" spans="1:32" ht="8.4499999999999993" customHeight="1" x14ac:dyDescent="0.2">
      <c r="A715" s="252" t="str">
        <f t="shared" si="3"/>
        <v xml:space="preserve">12.003.000.002 </v>
      </c>
      <c r="B715" s="707">
        <v>224</v>
      </c>
      <c r="C715" s="957" t="s">
        <v>2551</v>
      </c>
      <c r="D715" s="957" t="s">
        <v>15</v>
      </c>
      <c r="E715" s="707">
        <v>106</v>
      </c>
      <c r="F715" s="957" t="s">
        <v>2491</v>
      </c>
      <c r="G715" s="957" t="s">
        <v>2175</v>
      </c>
      <c r="H715" s="148">
        <v>0.35</v>
      </c>
      <c r="I715" s="144">
        <v>952.43</v>
      </c>
      <c r="J715" s="139">
        <v>0</v>
      </c>
      <c r="K715" s="139">
        <v>0</v>
      </c>
      <c r="L715" s="148">
        <v>0</v>
      </c>
      <c r="M715" s="148">
        <v>0</v>
      </c>
      <c r="N715" s="148">
        <v>0</v>
      </c>
      <c r="O715" s="148">
        <v>0</v>
      </c>
      <c r="P715" s="118"/>
      <c r="Q715" s="381"/>
      <c r="R715" s="381"/>
      <c r="S715" s="381"/>
      <c r="T715" s="379"/>
      <c r="U715" s="379"/>
      <c r="V715" s="379"/>
      <c r="W715" s="379"/>
      <c r="X715" s="380"/>
      <c r="Y715" s="381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tr">
        <f t="shared" si="3"/>
        <v xml:space="preserve">12.003.000.003 </v>
      </c>
      <c r="B716" s="707">
        <v>225</v>
      </c>
      <c r="C716" s="957" t="s">
        <v>2552</v>
      </c>
      <c r="D716" s="957" t="s">
        <v>90</v>
      </c>
      <c r="E716" s="707">
        <v>106</v>
      </c>
      <c r="F716" s="957" t="s">
        <v>2491</v>
      </c>
      <c r="G716" s="957" t="s">
        <v>2175</v>
      </c>
      <c r="H716" s="148">
        <v>0.7</v>
      </c>
      <c r="I716" s="144">
        <v>693.34</v>
      </c>
      <c r="J716" s="139">
        <v>0</v>
      </c>
      <c r="K716" s="139">
        <v>0</v>
      </c>
      <c r="L716" s="148">
        <v>0</v>
      </c>
      <c r="M716" s="148">
        <v>0</v>
      </c>
      <c r="N716" s="148">
        <v>0</v>
      </c>
      <c r="O716" s="148">
        <v>0</v>
      </c>
      <c r="P716" s="118"/>
      <c r="Q716" s="381"/>
      <c r="R716" s="381"/>
      <c r="S716" s="381"/>
      <c r="T716" s="379"/>
      <c r="U716" s="379"/>
      <c r="V716" s="379"/>
      <c r="W716" s="379"/>
      <c r="X716" s="380"/>
      <c r="Y716" s="381"/>
      <c r="Z716" s="381"/>
      <c r="AA716" s="381"/>
      <c r="AB716" s="379"/>
      <c r="AC716" s="379"/>
      <c r="AD716" s="379"/>
      <c r="AE716" s="379"/>
      <c r="AF716" s="380"/>
    </row>
    <row r="717" spans="1:32" ht="8.4499999999999993" customHeight="1" x14ac:dyDescent="0.2">
      <c r="A717" s="252" t="str">
        <f t="shared" si="3"/>
        <v xml:space="preserve">12.003.000.004 </v>
      </c>
      <c r="B717" s="707">
        <v>226</v>
      </c>
      <c r="C717" s="957" t="s">
        <v>2553</v>
      </c>
      <c r="D717" s="957" t="s">
        <v>15</v>
      </c>
      <c r="E717" s="707">
        <v>106</v>
      </c>
      <c r="F717" s="957" t="s">
        <v>2491</v>
      </c>
      <c r="G717" s="957" t="s">
        <v>2175</v>
      </c>
      <c r="H717" s="148">
        <v>0.48</v>
      </c>
      <c r="I717" s="144">
        <v>952.43</v>
      </c>
      <c r="J717" s="139">
        <v>0</v>
      </c>
      <c r="K717" s="139">
        <v>0</v>
      </c>
      <c r="L717" s="148">
        <v>0</v>
      </c>
      <c r="M717" s="148">
        <v>0</v>
      </c>
      <c r="N717" s="148">
        <v>0</v>
      </c>
      <c r="O717" s="148">
        <v>0</v>
      </c>
      <c r="P717" s="118"/>
      <c r="Q717" s="375"/>
      <c r="R717" s="375"/>
      <c r="S717" s="375"/>
      <c r="T717" s="375"/>
      <c r="U717" s="375"/>
      <c r="V717" s="375"/>
      <c r="W717" s="375"/>
      <c r="X717" s="375"/>
      <c r="Y717" s="375"/>
      <c r="Z717" s="375"/>
      <c r="AA717" s="375"/>
      <c r="AB717" s="375"/>
      <c r="AC717" s="375"/>
      <c r="AD717" s="375"/>
      <c r="AE717" s="375"/>
      <c r="AF717" s="375"/>
    </row>
    <row r="718" spans="1:32" ht="8.4499999999999993" customHeight="1" x14ac:dyDescent="0.2">
      <c r="A718" s="252" t="str">
        <f t="shared" si="3"/>
        <v xml:space="preserve">12.004 </v>
      </c>
      <c r="B718" s="116">
        <v>227</v>
      </c>
      <c r="C718" s="137" t="s">
        <v>2554</v>
      </c>
      <c r="D718" s="137"/>
      <c r="E718" s="116">
        <v>128</v>
      </c>
      <c r="F718" s="137" t="s">
        <v>2491</v>
      </c>
      <c r="G718" s="137" t="s">
        <v>2177</v>
      </c>
      <c r="H718" s="138"/>
      <c r="I718" s="138"/>
      <c r="J718" s="138"/>
      <c r="K718" s="138"/>
      <c r="L718" s="138"/>
      <c r="M718" s="138"/>
      <c r="N718" s="138"/>
      <c r="O718" s="138"/>
      <c r="P718" s="138"/>
      <c r="Q718" s="377"/>
      <c r="R718" s="381"/>
      <c r="S718" s="381"/>
      <c r="T718" s="379"/>
      <c r="U718" s="379"/>
      <c r="V718" s="379"/>
      <c r="W718" s="379"/>
      <c r="X718" s="380"/>
      <c r="Y718" s="377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tr">
        <f t="shared" si="3"/>
        <v xml:space="preserve">12.004.000.001 </v>
      </c>
      <c r="B719" s="707">
        <v>228</v>
      </c>
      <c r="C719" s="957" t="s">
        <v>2555</v>
      </c>
      <c r="D719" s="957" t="s">
        <v>90</v>
      </c>
      <c r="E719" s="707">
        <v>106</v>
      </c>
      <c r="F719" s="957" t="s">
        <v>2491</v>
      </c>
      <c r="G719" s="957" t="s">
        <v>2175</v>
      </c>
      <c r="H719" s="148">
        <v>0.05</v>
      </c>
      <c r="I719" s="144">
        <v>123.74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81"/>
      <c r="R719" s="381"/>
      <c r="S719" s="381"/>
      <c r="T719" s="379"/>
      <c r="U719" s="379"/>
      <c r="V719" s="379"/>
      <c r="W719" s="379"/>
      <c r="X719" s="380"/>
      <c r="Y719" s="381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tr">
        <f t="shared" si="3"/>
        <v xml:space="preserve">12.004.000.002 </v>
      </c>
      <c r="B720" s="707">
        <v>229</v>
      </c>
      <c r="C720" s="957" t="s">
        <v>2556</v>
      </c>
      <c r="D720" s="957" t="s">
        <v>15</v>
      </c>
      <c r="E720" s="707">
        <v>106</v>
      </c>
      <c r="F720" s="957" t="s">
        <v>2491</v>
      </c>
      <c r="G720" s="957" t="s">
        <v>2175</v>
      </c>
      <c r="H720" s="148">
        <v>0.03</v>
      </c>
      <c r="I720" s="146">
        <v>77.099999999999994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7"/>
      <c r="R720" s="381"/>
      <c r="S720" s="381"/>
      <c r="T720" s="379"/>
      <c r="U720" s="379"/>
      <c r="V720" s="379"/>
      <c r="W720" s="379"/>
      <c r="X720" s="380"/>
      <c r="Y720" s="377"/>
      <c r="Z720" s="381"/>
      <c r="AA720" s="381"/>
      <c r="AB720" s="379"/>
      <c r="AC720" s="379"/>
      <c r="AD720" s="379"/>
      <c r="AE720" s="379"/>
      <c r="AF720" s="380"/>
    </row>
    <row r="721" spans="1:32" ht="8.4499999999999993" customHeight="1" x14ac:dyDescent="0.2">
      <c r="A721" s="252" t="str">
        <f t="shared" si="3"/>
        <v xml:space="preserve">12.004.000.003 </v>
      </c>
      <c r="B721" s="707">
        <v>230</v>
      </c>
      <c r="C721" s="957" t="s">
        <v>2557</v>
      </c>
      <c r="D721" s="957" t="s">
        <v>90</v>
      </c>
      <c r="E721" s="707">
        <v>128</v>
      </c>
      <c r="F721" s="957" t="s">
        <v>2491</v>
      </c>
      <c r="G721" s="957" t="s">
        <v>2177</v>
      </c>
      <c r="H721" s="148">
        <v>0.8</v>
      </c>
      <c r="I721" s="144">
        <v>584.87</v>
      </c>
      <c r="J721" s="139">
        <v>0</v>
      </c>
      <c r="K721" s="139">
        <v>0</v>
      </c>
      <c r="L721" s="148">
        <v>0</v>
      </c>
      <c r="M721" s="148">
        <v>0</v>
      </c>
      <c r="N721" s="148">
        <v>0</v>
      </c>
      <c r="O721" s="148">
        <v>0</v>
      </c>
      <c r="P721" s="118"/>
      <c r="Q721" s="381"/>
      <c r="R721" s="381"/>
      <c r="S721" s="381"/>
      <c r="T721" s="379"/>
      <c r="U721" s="379"/>
      <c r="V721" s="379"/>
      <c r="W721" s="379"/>
      <c r="X721" s="380"/>
      <c r="Y721" s="381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tr">
        <f t="shared" si="3"/>
        <v xml:space="preserve">12.004.000.004 </v>
      </c>
      <c r="B722" s="707">
        <v>231</v>
      </c>
      <c r="C722" s="957" t="s">
        <v>2558</v>
      </c>
      <c r="D722" s="957" t="s">
        <v>15</v>
      </c>
      <c r="E722" s="707">
        <v>128</v>
      </c>
      <c r="F722" s="957" t="s">
        <v>2491</v>
      </c>
      <c r="G722" s="957" t="s">
        <v>2177</v>
      </c>
      <c r="H722" s="148">
        <v>0.23</v>
      </c>
      <c r="I722" s="144">
        <v>434.18</v>
      </c>
      <c r="J722" s="139">
        <v>0</v>
      </c>
      <c r="K722" s="139">
        <v>0</v>
      </c>
      <c r="L722" s="148">
        <v>0</v>
      </c>
      <c r="M722" s="148">
        <v>0</v>
      </c>
      <c r="N722" s="148">
        <v>0</v>
      </c>
      <c r="O722" s="148">
        <v>0</v>
      </c>
      <c r="P722" s="118"/>
      <c r="Q722" s="381"/>
      <c r="R722" s="381"/>
      <c r="S722" s="381"/>
      <c r="T722" s="379"/>
      <c r="U722" s="379"/>
      <c r="V722" s="379"/>
      <c r="W722" s="379"/>
      <c r="X722" s="380"/>
      <c r="Y722" s="381"/>
      <c r="Z722" s="381"/>
      <c r="AA722" s="381"/>
      <c r="AB722" s="379"/>
      <c r="AC722" s="379"/>
      <c r="AD722" s="379"/>
      <c r="AE722" s="379"/>
      <c r="AF722" s="380"/>
    </row>
    <row r="723" spans="1:32" ht="8.4499999999999993" customHeight="1" x14ac:dyDescent="0.2">
      <c r="A723" s="252" t="str">
        <f t="shared" si="3"/>
        <v xml:space="preserve">12.004.000.005 </v>
      </c>
      <c r="B723" s="707">
        <v>232</v>
      </c>
      <c r="C723" s="957" t="s">
        <v>2559</v>
      </c>
      <c r="D723" s="957" t="s">
        <v>90</v>
      </c>
      <c r="E723" s="707">
        <v>106</v>
      </c>
      <c r="F723" s="957" t="s">
        <v>2491</v>
      </c>
      <c r="G723" s="957" t="s">
        <v>2175</v>
      </c>
      <c r="H723" s="148">
        <v>0</v>
      </c>
      <c r="I723" s="144">
        <v>123.74</v>
      </c>
      <c r="J723" s="139">
        <v>0</v>
      </c>
      <c r="K723" s="139">
        <v>0</v>
      </c>
      <c r="L723" s="148">
        <v>0</v>
      </c>
      <c r="M723" s="148">
        <v>0</v>
      </c>
      <c r="N723" s="148">
        <v>0</v>
      </c>
      <c r="O723" s="148">
        <v>0</v>
      </c>
      <c r="P723" s="118"/>
      <c r="Q723" s="381"/>
      <c r="R723" s="381"/>
      <c r="S723" s="381"/>
      <c r="T723" s="379"/>
      <c r="U723" s="379"/>
      <c r="V723" s="379"/>
      <c r="W723" s="379"/>
      <c r="X723" s="380"/>
      <c r="Y723" s="381"/>
      <c r="Z723" s="381"/>
      <c r="AA723" s="381"/>
      <c r="AB723" s="379"/>
      <c r="AC723" s="379"/>
      <c r="AD723" s="379"/>
      <c r="AE723" s="379"/>
      <c r="AF723" s="380"/>
    </row>
    <row r="724" spans="1:32" ht="9.75" customHeight="1" x14ac:dyDescent="0.2">
      <c r="A724" s="252" t="str">
        <f t="shared" si="3"/>
        <v xml:space="preserve">12.004.000.006 </v>
      </c>
      <c r="B724" s="707">
        <v>233</v>
      </c>
      <c r="C724" s="957" t="s">
        <v>2560</v>
      </c>
      <c r="D724" s="957" t="s">
        <v>90</v>
      </c>
      <c r="E724" s="707">
        <v>106</v>
      </c>
      <c r="F724" s="957" t="s">
        <v>2491</v>
      </c>
      <c r="G724" s="957" t="s">
        <v>2175</v>
      </c>
      <c r="H724" s="148">
        <v>0.01</v>
      </c>
      <c r="I724" s="144">
        <v>123.74</v>
      </c>
      <c r="J724" s="139">
        <v>0</v>
      </c>
      <c r="K724" s="139">
        <v>0</v>
      </c>
      <c r="L724" s="148">
        <v>0</v>
      </c>
      <c r="M724" s="148">
        <v>0</v>
      </c>
      <c r="N724" s="148">
        <v>0</v>
      </c>
      <c r="O724" s="148">
        <v>0</v>
      </c>
      <c r="P724" s="118"/>
      <c r="Q724" s="381"/>
      <c r="R724" s="381"/>
      <c r="S724" s="381"/>
      <c r="T724" s="379"/>
      <c r="U724" s="379"/>
      <c r="V724" s="379"/>
      <c r="W724" s="379"/>
      <c r="X724" s="380"/>
      <c r="Y724" s="381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tr">
        <f t="shared" si="3"/>
        <v xml:space="preserve">12.004.000.007 </v>
      </c>
      <c r="B725" s="707">
        <v>234</v>
      </c>
      <c r="C725" s="957" t="s">
        <v>2561</v>
      </c>
      <c r="D725" s="957" t="s">
        <v>90</v>
      </c>
      <c r="E725" s="707">
        <v>128</v>
      </c>
      <c r="F725" s="957" t="s">
        <v>2491</v>
      </c>
      <c r="G725" s="957" t="s">
        <v>2177</v>
      </c>
      <c r="H725" s="148">
        <v>0</v>
      </c>
      <c r="I725" s="144">
        <v>584.87</v>
      </c>
      <c r="J725" s="139">
        <v>0</v>
      </c>
      <c r="K725" s="139">
        <v>0</v>
      </c>
      <c r="L725" s="148">
        <v>0</v>
      </c>
      <c r="M725" s="148">
        <v>0</v>
      </c>
      <c r="N725" s="148">
        <v>0</v>
      </c>
      <c r="O725" s="148">
        <v>0</v>
      </c>
      <c r="P725" s="118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  <c r="AA725" s="387"/>
      <c r="AB725" s="387"/>
      <c r="AC725" s="387"/>
      <c r="AD725" s="387"/>
      <c r="AE725" s="387"/>
      <c r="AF725" s="387"/>
    </row>
    <row r="726" spans="1:32" ht="8.4499999999999993" customHeight="1" x14ac:dyDescent="0.2">
      <c r="A726" s="252" t="str">
        <f t="shared" si="3"/>
        <v xml:space="preserve">12.004.000.008 </v>
      </c>
      <c r="B726" s="707">
        <v>235</v>
      </c>
      <c r="C726" s="957" t="s">
        <v>2562</v>
      </c>
      <c r="D726" s="957" t="s">
        <v>90</v>
      </c>
      <c r="E726" s="707">
        <v>128</v>
      </c>
      <c r="F726" s="957" t="s">
        <v>2491</v>
      </c>
      <c r="G726" s="957" t="s">
        <v>2177</v>
      </c>
      <c r="H726" s="148">
        <v>0.04</v>
      </c>
      <c r="I726" s="144">
        <v>584.87</v>
      </c>
      <c r="J726" s="139">
        <v>0</v>
      </c>
      <c r="K726" s="139">
        <v>0</v>
      </c>
      <c r="L726" s="148">
        <v>0</v>
      </c>
      <c r="M726" s="148">
        <v>0</v>
      </c>
      <c r="N726" s="148">
        <v>0</v>
      </c>
      <c r="O726" s="148">
        <v>0</v>
      </c>
      <c r="P726" s="118"/>
      <c r="Q726" s="375"/>
      <c r="R726" s="375"/>
      <c r="S726" s="375"/>
      <c r="T726" s="375"/>
      <c r="U726" s="375"/>
      <c r="V726" s="375"/>
      <c r="W726" s="375"/>
      <c r="X726" s="375"/>
      <c r="Y726" s="375"/>
      <c r="Z726" s="375"/>
      <c r="AA726" s="375"/>
      <c r="AB726" s="375"/>
      <c r="AC726" s="375"/>
      <c r="AD726" s="375"/>
      <c r="AE726" s="375"/>
      <c r="AF726" s="375"/>
    </row>
    <row r="727" spans="1:32" ht="8.4499999999999993" customHeight="1" x14ac:dyDescent="0.2">
      <c r="A727" s="252" t="str">
        <f t="shared" si="3"/>
        <v xml:space="preserve">12.004.000.009 </v>
      </c>
      <c r="B727" s="707">
        <v>236</v>
      </c>
      <c r="C727" s="957" t="s">
        <v>2563</v>
      </c>
      <c r="D727" s="957" t="s">
        <v>90</v>
      </c>
      <c r="E727" s="707">
        <v>106</v>
      </c>
      <c r="F727" s="957" t="s">
        <v>2491</v>
      </c>
      <c r="G727" s="957" t="s">
        <v>2175</v>
      </c>
      <c r="H727" s="148">
        <v>0.28000000000000003</v>
      </c>
      <c r="I727" s="144">
        <v>708.6</v>
      </c>
      <c r="J727" s="139">
        <v>0</v>
      </c>
      <c r="K727" s="139">
        <v>0</v>
      </c>
      <c r="L727" s="148">
        <v>0</v>
      </c>
      <c r="M727" s="148">
        <v>0</v>
      </c>
      <c r="N727" s="148">
        <v>0</v>
      </c>
      <c r="O727" s="148">
        <v>0</v>
      </c>
      <c r="P727" s="118"/>
      <c r="Q727" s="381"/>
      <c r="R727" s="381"/>
      <c r="S727" s="381"/>
      <c r="T727" s="379"/>
      <c r="U727" s="379"/>
      <c r="V727" s="379"/>
      <c r="W727" s="379"/>
      <c r="X727" s="380"/>
      <c r="Y727" s="381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tr">
        <f t="shared" si="3"/>
        <v xml:space="preserve">12.004.000.010 </v>
      </c>
      <c r="B728" s="707">
        <v>237</v>
      </c>
      <c r="C728" s="957" t="s">
        <v>2564</v>
      </c>
      <c r="D728" s="957" t="s">
        <v>15</v>
      </c>
      <c r="E728" s="707">
        <v>128</v>
      </c>
      <c r="F728" s="957" t="s">
        <v>2491</v>
      </c>
      <c r="G728" s="957" t="s">
        <v>2177</v>
      </c>
      <c r="H728" s="148">
        <v>0.13</v>
      </c>
      <c r="I728" s="144">
        <v>511.28</v>
      </c>
      <c r="J728" s="139">
        <v>0</v>
      </c>
      <c r="K728" s="139">
        <v>0</v>
      </c>
      <c r="L728" s="148">
        <v>0</v>
      </c>
      <c r="M728" s="148">
        <v>0</v>
      </c>
      <c r="N728" s="148">
        <v>0</v>
      </c>
      <c r="O728" s="148">
        <v>0</v>
      </c>
      <c r="P728" s="118"/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tr">
        <f t="shared" si="3"/>
        <v xml:space="preserve">13 </v>
      </c>
      <c r="B729" s="116">
        <v>238</v>
      </c>
      <c r="C729" s="137" t="s">
        <v>355</v>
      </c>
      <c r="D729" s="137"/>
      <c r="E729" s="116">
        <v>214</v>
      </c>
      <c r="F729" s="137" t="s">
        <v>2565</v>
      </c>
      <c r="G729" s="137" t="s">
        <v>2566</v>
      </c>
      <c r="H729" s="138"/>
      <c r="I729" s="138"/>
      <c r="J729" s="138"/>
      <c r="K729" s="138"/>
      <c r="L729" s="138"/>
      <c r="M729" s="138"/>
      <c r="N729" s="138"/>
      <c r="O729" s="138"/>
      <c r="P729" s="138"/>
      <c r="Q729" s="381"/>
      <c r="R729" s="381"/>
      <c r="S729" s="381"/>
      <c r="T729" s="378"/>
      <c r="U729" s="379"/>
      <c r="V729" s="379"/>
      <c r="W729" s="379"/>
      <c r="X729" s="380"/>
      <c r="Y729" s="381"/>
      <c r="Z729" s="381"/>
      <c r="AA729" s="381"/>
      <c r="AB729" s="378"/>
      <c r="AC729" s="379"/>
      <c r="AD729" s="379"/>
      <c r="AE729" s="379"/>
      <c r="AF729" s="380"/>
    </row>
    <row r="730" spans="1:32" ht="8.4499999999999993" customHeight="1" x14ac:dyDescent="0.2">
      <c r="A730" s="252" t="str">
        <f t="shared" si="3"/>
        <v xml:space="preserve">13.001 </v>
      </c>
      <c r="B730" s="116">
        <v>239</v>
      </c>
      <c r="C730" s="137" t="s">
        <v>2023</v>
      </c>
      <c r="D730" s="137"/>
      <c r="E730" s="116">
        <v>214</v>
      </c>
      <c r="F730" s="137" t="s">
        <v>2565</v>
      </c>
      <c r="G730" s="137" t="s">
        <v>2566</v>
      </c>
      <c r="H730" s="138"/>
      <c r="I730" s="138"/>
      <c r="J730" s="138"/>
      <c r="K730" s="138"/>
      <c r="L730" s="138"/>
      <c r="M730" s="138"/>
      <c r="N730" s="138"/>
      <c r="O730" s="138"/>
      <c r="P730" s="138"/>
      <c r="Q730" s="381"/>
      <c r="R730" s="381"/>
      <c r="S730" s="381"/>
      <c r="T730" s="378"/>
      <c r="U730" s="379"/>
      <c r="V730" s="379"/>
      <c r="W730" s="379"/>
      <c r="X730" s="380"/>
      <c r="Y730" s="381"/>
      <c r="Z730" s="381"/>
      <c r="AA730" s="381"/>
      <c r="AB730" s="378"/>
      <c r="AC730" s="379"/>
      <c r="AD730" s="379"/>
      <c r="AE730" s="379"/>
      <c r="AF730" s="380"/>
    </row>
    <row r="731" spans="1:32" ht="8.4499999999999993" customHeight="1" x14ac:dyDescent="0.2">
      <c r="A731" s="252" t="str">
        <f t="shared" si="3"/>
        <v xml:space="preserve">13.001.000.001 </v>
      </c>
      <c r="B731" s="707">
        <v>240</v>
      </c>
      <c r="C731" s="957" t="s">
        <v>2567</v>
      </c>
      <c r="D731" s="957" t="s">
        <v>7</v>
      </c>
      <c r="E731" s="707">
        <v>188</v>
      </c>
      <c r="F731" s="957" t="s">
        <v>2565</v>
      </c>
      <c r="G731" s="957" t="s">
        <v>2178</v>
      </c>
      <c r="H731" s="148">
        <v>4.6399999999999997</v>
      </c>
      <c r="I731" s="139">
        <v>1</v>
      </c>
      <c r="J731" s="139">
        <v>0</v>
      </c>
      <c r="K731" s="139">
        <v>0</v>
      </c>
      <c r="L731" s="148">
        <v>0</v>
      </c>
      <c r="M731" s="148">
        <v>0</v>
      </c>
      <c r="N731" s="148">
        <v>0</v>
      </c>
      <c r="O731" s="148">
        <v>0</v>
      </c>
      <c r="P731" s="118"/>
      <c r="Q731" s="377"/>
      <c r="R731" s="381"/>
      <c r="S731" s="381"/>
      <c r="T731" s="378"/>
      <c r="U731" s="379"/>
      <c r="V731" s="379"/>
      <c r="W731" s="379"/>
      <c r="X731" s="380"/>
      <c r="Y731" s="377"/>
      <c r="Z731" s="381"/>
      <c r="AA731" s="381"/>
      <c r="AB731" s="378"/>
      <c r="AC731" s="379"/>
      <c r="AD731" s="379"/>
      <c r="AE731" s="379"/>
      <c r="AF731" s="380"/>
    </row>
    <row r="732" spans="1:32" ht="8.4499999999999993" customHeight="1" x14ac:dyDescent="0.2">
      <c r="A732" s="252" t="str">
        <f t="shared" si="3"/>
        <v xml:space="preserve">13.001.000.002 </v>
      </c>
      <c r="B732" s="707">
        <v>241</v>
      </c>
      <c r="C732" s="957" t="s">
        <v>2568</v>
      </c>
      <c r="D732" s="957" t="s">
        <v>7</v>
      </c>
      <c r="E732" s="219">
        <v>79</v>
      </c>
      <c r="F732" s="957" t="s">
        <v>2012</v>
      </c>
      <c r="G732" s="957" t="s">
        <v>2566</v>
      </c>
      <c r="H732" s="148">
        <v>1.91</v>
      </c>
      <c r="I732" s="139">
        <v>1</v>
      </c>
      <c r="J732" s="139">
        <v>0</v>
      </c>
      <c r="K732" s="139">
        <v>0</v>
      </c>
      <c r="L732" s="148">
        <v>0</v>
      </c>
      <c r="M732" s="148">
        <v>0</v>
      </c>
      <c r="N732" s="148">
        <v>0</v>
      </c>
      <c r="O732" s="148">
        <v>0</v>
      </c>
      <c r="P732" s="118"/>
      <c r="Q732" s="376"/>
      <c r="R732" s="377"/>
      <c r="S732" s="381"/>
      <c r="T732" s="378"/>
      <c r="U732" s="379"/>
      <c r="V732" s="379"/>
      <c r="W732" s="379"/>
      <c r="X732" s="380"/>
      <c r="Y732" s="376"/>
      <c r="Z732" s="377"/>
      <c r="AA732" s="381"/>
      <c r="AB732" s="378"/>
      <c r="AC732" s="379"/>
      <c r="AD732" s="379"/>
      <c r="AE732" s="379"/>
      <c r="AF732" s="380"/>
    </row>
    <row r="733" spans="1:32" ht="8.4499999999999993" customHeight="1" x14ac:dyDescent="0.2">
      <c r="A733" s="252" t="str">
        <f t="shared" si="3"/>
        <v xml:space="preserve">14 </v>
      </c>
      <c r="B733" s="116">
        <v>242</v>
      </c>
      <c r="C733" s="137" t="s">
        <v>356</v>
      </c>
      <c r="D733" s="137"/>
      <c r="E733" s="116">
        <v>363</v>
      </c>
      <c r="F733" s="137" t="s">
        <v>2569</v>
      </c>
      <c r="G733" s="137" t="s">
        <v>2195</v>
      </c>
      <c r="H733" s="138"/>
      <c r="I733" s="138"/>
      <c r="J733" s="138"/>
      <c r="K733" s="138"/>
      <c r="L733" s="138"/>
      <c r="M733" s="138"/>
      <c r="N733" s="138"/>
      <c r="O733" s="138"/>
      <c r="P733" s="138"/>
      <c r="Q733" s="381"/>
      <c r="R733" s="381"/>
      <c r="S733" s="381"/>
      <c r="T733" s="378"/>
      <c r="U733" s="379"/>
      <c r="V733" s="379"/>
      <c r="W733" s="379"/>
      <c r="X733" s="380"/>
      <c r="Y733" s="381"/>
      <c r="Z733" s="381"/>
      <c r="AA733" s="381"/>
      <c r="AB733" s="378"/>
      <c r="AC733" s="379"/>
      <c r="AD733" s="379"/>
      <c r="AE733" s="379"/>
      <c r="AF733" s="380"/>
    </row>
    <row r="734" spans="1:32" ht="8.4499999999999993" customHeight="1" x14ac:dyDescent="0.2">
      <c r="A734" s="252" t="str">
        <f t="shared" si="3"/>
        <v xml:space="preserve">14.000.000.001 </v>
      </c>
      <c r="B734" s="707">
        <v>243</v>
      </c>
      <c r="C734" s="957" t="s">
        <v>2570</v>
      </c>
      <c r="D734" s="957" t="s">
        <v>15</v>
      </c>
      <c r="E734" s="219">
        <v>19</v>
      </c>
      <c r="F734" s="957" t="s">
        <v>2543</v>
      </c>
      <c r="G734" s="957" t="s">
        <v>2492</v>
      </c>
      <c r="H734" s="148">
        <v>0.09</v>
      </c>
      <c r="I734" s="146">
        <v>88.09</v>
      </c>
      <c r="J734" s="139">
        <v>0</v>
      </c>
      <c r="K734" s="139">
        <v>0</v>
      </c>
      <c r="L734" s="148">
        <v>0</v>
      </c>
      <c r="M734" s="148">
        <v>0</v>
      </c>
      <c r="N734" s="148">
        <v>0</v>
      </c>
      <c r="O734" s="148">
        <v>0</v>
      </c>
      <c r="P734" s="118"/>
      <c r="Q734" s="381"/>
      <c r="R734" s="381"/>
      <c r="S734" s="381"/>
      <c r="T734" s="378"/>
      <c r="U734" s="379"/>
      <c r="V734" s="379"/>
      <c r="W734" s="379"/>
      <c r="X734" s="380"/>
      <c r="Y734" s="381"/>
      <c r="Z734" s="381"/>
      <c r="AA734" s="381"/>
      <c r="AB734" s="378"/>
      <c r="AC734" s="379"/>
      <c r="AD734" s="379"/>
      <c r="AE734" s="379"/>
      <c r="AF734" s="380"/>
    </row>
    <row r="735" spans="1:32" ht="8.4499999999999993" customHeight="1" x14ac:dyDescent="0.2">
      <c r="A735" s="252" t="str">
        <f t="shared" si="3"/>
        <v xml:space="preserve">14.000.000.002 </v>
      </c>
      <c r="B735" s="707">
        <v>244</v>
      </c>
      <c r="C735" s="957" t="s">
        <v>2571</v>
      </c>
      <c r="D735" s="957" t="s">
        <v>15</v>
      </c>
      <c r="E735" s="219">
        <v>11</v>
      </c>
      <c r="F735" s="957" t="s">
        <v>2569</v>
      </c>
      <c r="G735" s="957" t="s">
        <v>1952</v>
      </c>
      <c r="H735" s="148">
        <v>0.02</v>
      </c>
      <c r="I735" s="146">
        <v>10</v>
      </c>
      <c r="J735" s="139">
        <v>0</v>
      </c>
      <c r="K735" s="139">
        <v>0</v>
      </c>
      <c r="L735" s="148">
        <v>0</v>
      </c>
      <c r="M735" s="148">
        <v>0</v>
      </c>
      <c r="N735" s="148">
        <v>0</v>
      </c>
      <c r="O735" s="148">
        <v>0</v>
      </c>
      <c r="P735" s="118"/>
      <c r="Q735" s="381"/>
      <c r="R735" s="381"/>
      <c r="S735" s="381"/>
      <c r="T735" s="382"/>
      <c r="U735" s="379"/>
      <c r="V735" s="379"/>
      <c r="W735" s="379"/>
      <c r="X735" s="380"/>
      <c r="Y735" s="381"/>
      <c r="Z735" s="381"/>
      <c r="AA735" s="381"/>
      <c r="AB735" s="382"/>
      <c r="AC735" s="379"/>
      <c r="AD735" s="379"/>
      <c r="AE735" s="379"/>
      <c r="AF735" s="380"/>
    </row>
    <row r="736" spans="1:32" ht="8.4499999999999993" customHeight="1" x14ac:dyDescent="0.2">
      <c r="A736" s="252" t="str">
        <f t="shared" si="3"/>
        <v xml:space="preserve">14.000.000.003 </v>
      </c>
      <c r="B736" s="707">
        <v>245</v>
      </c>
      <c r="C736" s="957" t="s">
        <v>2572</v>
      </c>
      <c r="D736" s="957" t="s">
        <v>8</v>
      </c>
      <c r="E736" s="219">
        <v>11</v>
      </c>
      <c r="F736" s="957" t="s">
        <v>2569</v>
      </c>
      <c r="G736" s="957" t="s">
        <v>1952</v>
      </c>
      <c r="H736" s="148">
        <v>0.01</v>
      </c>
      <c r="I736" s="139">
        <v>4</v>
      </c>
      <c r="J736" s="139">
        <v>0</v>
      </c>
      <c r="K736" s="139">
        <v>0</v>
      </c>
      <c r="L736" s="148">
        <v>0</v>
      </c>
      <c r="M736" s="148">
        <v>0</v>
      </c>
      <c r="N736" s="148">
        <v>0</v>
      </c>
      <c r="O736" s="148">
        <v>0</v>
      </c>
      <c r="P736" s="118"/>
      <c r="Q736" s="381"/>
      <c r="R736" s="381"/>
      <c r="S736" s="381"/>
      <c r="T736" s="378"/>
      <c r="U736" s="379"/>
      <c r="V736" s="379"/>
      <c r="W736" s="379"/>
      <c r="X736" s="380"/>
      <c r="Y736" s="381"/>
      <c r="Z736" s="381"/>
      <c r="AA736" s="381"/>
      <c r="AB736" s="378"/>
      <c r="AC736" s="379"/>
      <c r="AD736" s="379"/>
      <c r="AE736" s="379"/>
      <c r="AF736" s="380"/>
    </row>
    <row r="737" spans="1:32" ht="8.4499999999999993" customHeight="1" x14ac:dyDescent="0.2">
      <c r="A737" s="252" t="str">
        <f t="shared" si="3"/>
        <v xml:space="preserve">14.000.000.004 </v>
      </c>
      <c r="B737" s="707">
        <v>246</v>
      </c>
      <c r="C737" s="957" t="s">
        <v>2573</v>
      </c>
      <c r="D737" s="957" t="s">
        <v>8</v>
      </c>
      <c r="E737" s="707">
        <v>200</v>
      </c>
      <c r="F737" s="957" t="s">
        <v>2165</v>
      </c>
      <c r="G737" s="957" t="s">
        <v>2178</v>
      </c>
      <c r="H737" s="148">
        <v>0.13</v>
      </c>
      <c r="I737" s="146">
        <v>15</v>
      </c>
      <c r="J737" s="139">
        <v>0</v>
      </c>
      <c r="K737" s="139">
        <v>0</v>
      </c>
      <c r="L737" s="148">
        <v>0</v>
      </c>
      <c r="M737" s="148">
        <v>0</v>
      </c>
      <c r="N737" s="148">
        <v>0</v>
      </c>
      <c r="O737" s="148">
        <v>0</v>
      </c>
      <c r="P737" s="118"/>
      <c r="Q737" s="375"/>
      <c r="R737" s="375"/>
      <c r="S737" s="375"/>
      <c r="T737" s="375"/>
      <c r="U737" s="375"/>
      <c r="V737" s="375"/>
      <c r="W737" s="375"/>
      <c r="X737" s="375"/>
      <c r="Y737" s="375"/>
      <c r="Z737" s="375"/>
      <c r="AA737" s="375"/>
      <c r="AB737" s="375"/>
      <c r="AC737" s="375"/>
      <c r="AD737" s="375"/>
      <c r="AE737" s="375"/>
      <c r="AF737" s="375"/>
    </row>
    <row r="738" spans="1:32" ht="8.4499999999999993" customHeight="1" x14ac:dyDescent="0.2">
      <c r="A738" s="252" t="str">
        <f t="shared" si="3"/>
        <v xml:space="preserve">14.000.000.005 </v>
      </c>
      <c r="B738" s="707">
        <v>247</v>
      </c>
      <c r="C738" s="957" t="s">
        <v>2574</v>
      </c>
      <c r="D738" s="957" t="s">
        <v>90</v>
      </c>
      <c r="E738" s="219">
        <v>11</v>
      </c>
      <c r="F738" s="957" t="s">
        <v>2196</v>
      </c>
      <c r="G738" s="957" t="s">
        <v>2026</v>
      </c>
      <c r="H738" s="148">
        <v>0.14000000000000001</v>
      </c>
      <c r="I738" s="146">
        <v>38.090000000000003</v>
      </c>
      <c r="J738" s="139">
        <v>0</v>
      </c>
      <c r="K738" s="139">
        <v>0</v>
      </c>
      <c r="L738" s="148">
        <v>0</v>
      </c>
      <c r="M738" s="148">
        <v>0</v>
      </c>
      <c r="N738" s="148">
        <v>0</v>
      </c>
      <c r="O738" s="148">
        <v>0</v>
      </c>
      <c r="P738" s="118"/>
      <c r="Q738" s="381"/>
      <c r="R738" s="381"/>
      <c r="S738" s="381"/>
      <c r="T738" s="379"/>
      <c r="U738" s="379"/>
      <c r="V738" s="379"/>
      <c r="W738" s="379"/>
      <c r="X738" s="380"/>
      <c r="Y738" s="381"/>
      <c r="Z738" s="381"/>
      <c r="AA738" s="381"/>
      <c r="AB738" s="379"/>
      <c r="AC738" s="379"/>
      <c r="AD738" s="379"/>
      <c r="AE738" s="379"/>
      <c r="AF738" s="380"/>
    </row>
    <row r="739" spans="1:32" ht="8.4499999999999993" customHeight="1" x14ac:dyDescent="0.2">
      <c r="A739" s="252" t="str">
        <f t="shared" si="3"/>
        <v xml:space="preserve">14.000.000.006 </v>
      </c>
      <c r="B739" s="707">
        <v>248</v>
      </c>
      <c r="C739" s="957" t="s">
        <v>2575</v>
      </c>
      <c r="D739" s="957" t="s">
        <v>15</v>
      </c>
      <c r="E739" s="219">
        <v>11</v>
      </c>
      <c r="F739" s="957" t="s">
        <v>2196</v>
      </c>
      <c r="G739" s="957" t="s">
        <v>2026</v>
      </c>
      <c r="H739" s="148">
        <v>0.04</v>
      </c>
      <c r="I739" s="139">
        <v>7.32</v>
      </c>
      <c r="J739" s="139">
        <v>0</v>
      </c>
      <c r="K739" s="139">
        <v>0</v>
      </c>
      <c r="L739" s="148">
        <v>0</v>
      </c>
      <c r="M739" s="148">
        <v>0</v>
      </c>
      <c r="N739" s="148">
        <v>0</v>
      </c>
      <c r="O739" s="148">
        <v>0</v>
      </c>
      <c r="P739" s="118"/>
      <c r="Q739" s="381"/>
      <c r="R739" s="381"/>
      <c r="S739" s="381"/>
      <c r="T739" s="379"/>
      <c r="U739" s="379"/>
      <c r="V739" s="379"/>
      <c r="W739" s="379"/>
      <c r="X739" s="380"/>
      <c r="Y739" s="381"/>
      <c r="Z739" s="381"/>
      <c r="AA739" s="381"/>
      <c r="AB739" s="379"/>
      <c r="AC739" s="379"/>
      <c r="AD739" s="379"/>
      <c r="AE739" s="379"/>
      <c r="AF739" s="380"/>
    </row>
    <row r="740" spans="1:32" ht="8.4499999999999993" customHeight="1" x14ac:dyDescent="0.2">
      <c r="A740" s="252" t="str">
        <f t="shared" si="3"/>
        <v xml:space="preserve">14.000.000.007 </v>
      </c>
      <c r="B740" s="707">
        <v>249</v>
      </c>
      <c r="C740" s="957" t="s">
        <v>2576</v>
      </c>
      <c r="D740" s="957" t="s">
        <v>7</v>
      </c>
      <c r="E740" s="219">
        <v>11</v>
      </c>
      <c r="F740" s="957" t="s">
        <v>2034</v>
      </c>
      <c r="G740" s="957" t="s">
        <v>2195</v>
      </c>
      <c r="H740" s="148">
        <v>0.01</v>
      </c>
      <c r="I740" s="139">
        <v>1</v>
      </c>
      <c r="J740" s="139">
        <v>0</v>
      </c>
      <c r="K740" s="139">
        <v>0</v>
      </c>
      <c r="L740" s="148">
        <v>0</v>
      </c>
      <c r="M740" s="148">
        <v>0</v>
      </c>
      <c r="N740" s="148">
        <v>0</v>
      </c>
      <c r="O740" s="148">
        <v>0</v>
      </c>
      <c r="P740" s="118"/>
      <c r="Q740" s="376"/>
      <c r="R740" s="381"/>
      <c r="S740" s="381"/>
      <c r="T740" s="379"/>
      <c r="U740" s="379"/>
      <c r="V740" s="379"/>
      <c r="W740" s="379"/>
      <c r="X740" s="380"/>
      <c r="Y740" s="376"/>
      <c r="Z740" s="377"/>
      <c r="AA740" s="381"/>
      <c r="AB740" s="379"/>
      <c r="AC740" s="379"/>
      <c r="AD740" s="379"/>
      <c r="AE740" s="379"/>
      <c r="AF740" s="380"/>
    </row>
    <row r="741" spans="1:32" ht="8.4499999999999993" customHeight="1" x14ac:dyDescent="0.2">
      <c r="A741" s="252" t="str">
        <f t="shared" si="3"/>
        <v xml:space="preserve">14.000.000.008 </v>
      </c>
      <c r="B741" s="707">
        <v>250</v>
      </c>
      <c r="C741" s="957" t="s">
        <v>2577</v>
      </c>
      <c r="D741" s="957" t="s">
        <v>7</v>
      </c>
      <c r="E741" s="219">
        <v>23</v>
      </c>
      <c r="F741" s="957" t="s">
        <v>2196</v>
      </c>
      <c r="G741" s="957" t="s">
        <v>2195</v>
      </c>
      <c r="H741" s="148">
        <v>0.09</v>
      </c>
      <c r="I741" s="139">
        <v>1</v>
      </c>
      <c r="J741" s="139">
        <v>0</v>
      </c>
      <c r="K741" s="139">
        <v>0</v>
      </c>
      <c r="L741" s="148">
        <v>0</v>
      </c>
      <c r="M741" s="148">
        <v>0</v>
      </c>
      <c r="N741" s="148">
        <v>0</v>
      </c>
      <c r="O741" s="148">
        <v>0</v>
      </c>
      <c r="P741" s="118"/>
      <c r="Q741" s="385"/>
      <c r="R741" s="381"/>
      <c r="S741" s="381"/>
      <c r="T741" s="379"/>
      <c r="U741" s="379"/>
      <c r="V741" s="379"/>
      <c r="W741" s="379"/>
      <c r="X741" s="380"/>
      <c r="Y741" s="385"/>
      <c r="Z741" s="376"/>
      <c r="AA741" s="381"/>
      <c r="AB741" s="378"/>
      <c r="AC741" s="379"/>
      <c r="AD741" s="379"/>
      <c r="AE741" s="379"/>
      <c r="AF741" s="380"/>
    </row>
    <row r="742" spans="1:32" ht="8.4499999999999993" customHeight="1" x14ac:dyDescent="0.2">
      <c r="A742" s="252" t="str">
        <f t="shared" si="3"/>
        <v xml:space="preserve">14.000.000.009 </v>
      </c>
      <c r="B742" s="707">
        <v>251</v>
      </c>
      <c r="C742" s="957" t="s">
        <v>2578</v>
      </c>
      <c r="D742" s="957" t="s">
        <v>8</v>
      </c>
      <c r="E742" s="219">
        <v>21</v>
      </c>
      <c r="F742" s="957" t="s">
        <v>2025</v>
      </c>
      <c r="G742" s="957" t="s">
        <v>2026</v>
      </c>
      <c r="H742" s="148">
        <v>0.12</v>
      </c>
      <c r="I742" s="139">
        <v>2</v>
      </c>
      <c r="J742" s="139">
        <v>0</v>
      </c>
      <c r="K742" s="139">
        <v>0</v>
      </c>
      <c r="L742" s="148">
        <v>0</v>
      </c>
      <c r="M742" s="148">
        <v>0</v>
      </c>
      <c r="N742" s="148">
        <v>0</v>
      </c>
      <c r="O742" s="148">
        <v>0</v>
      </c>
      <c r="P742" s="118"/>
      <c r="Q742" s="385"/>
      <c r="R742" s="381"/>
      <c r="S742" s="381"/>
      <c r="T742" s="379"/>
      <c r="U742" s="379"/>
      <c r="V742" s="379"/>
      <c r="W742" s="379"/>
      <c r="X742" s="380"/>
      <c r="Y742" s="385"/>
      <c r="Z742" s="376"/>
      <c r="AA742" s="381"/>
      <c r="AB742" s="378"/>
      <c r="AC742" s="379"/>
      <c r="AD742" s="379"/>
      <c r="AE742" s="379"/>
      <c r="AF742" s="380"/>
    </row>
    <row r="743" spans="1:32" ht="8.4499999999999993" customHeight="1" x14ac:dyDescent="0.2">
      <c r="A743" s="252" t="str">
        <f t="shared" si="3"/>
        <v xml:space="preserve">15 </v>
      </c>
      <c r="B743" s="116">
        <v>252</v>
      </c>
      <c r="C743" s="137" t="s">
        <v>357</v>
      </c>
      <c r="D743" s="137"/>
      <c r="E743" s="115">
        <v>53</v>
      </c>
      <c r="F743" s="137" t="s">
        <v>2012</v>
      </c>
      <c r="G743" s="137" t="s">
        <v>2178</v>
      </c>
      <c r="H743" s="138"/>
      <c r="I743" s="138"/>
      <c r="J743" s="138"/>
      <c r="K743" s="138"/>
      <c r="L743" s="138"/>
      <c r="M743" s="138"/>
      <c r="N743" s="138"/>
      <c r="O743" s="138"/>
      <c r="P743" s="138"/>
      <c r="Q743" s="381"/>
      <c r="R743" s="381"/>
      <c r="S743" s="381"/>
      <c r="T743" s="378"/>
      <c r="U743" s="379"/>
      <c r="V743" s="379"/>
      <c r="W743" s="379"/>
      <c r="X743" s="380"/>
      <c r="Y743" s="381"/>
      <c r="Z743" s="381"/>
      <c r="AA743" s="381"/>
      <c r="AB743" s="378"/>
      <c r="AC743" s="379"/>
      <c r="AD743" s="379"/>
      <c r="AE743" s="379"/>
      <c r="AF743" s="380"/>
    </row>
    <row r="744" spans="1:32" ht="8.4499999999999993" customHeight="1" x14ac:dyDescent="0.2">
      <c r="A744" s="252" t="str">
        <f t="shared" si="3"/>
        <v xml:space="preserve">15.001 </v>
      </c>
      <c r="B744" s="116">
        <v>253</v>
      </c>
      <c r="C744" s="137" t="s">
        <v>266</v>
      </c>
      <c r="D744" s="137"/>
      <c r="E744" s="115">
        <v>53</v>
      </c>
      <c r="F744" s="137" t="s">
        <v>2012</v>
      </c>
      <c r="G744" s="137" t="s">
        <v>2178</v>
      </c>
      <c r="H744" s="138"/>
      <c r="I744" s="138"/>
      <c r="J744" s="138"/>
      <c r="K744" s="138"/>
      <c r="L744" s="138"/>
      <c r="M744" s="138"/>
      <c r="N744" s="138"/>
      <c r="O744" s="138"/>
      <c r="P744" s="138"/>
      <c r="Q744" s="375"/>
      <c r="R744" s="375"/>
      <c r="S744" s="375"/>
      <c r="T744" s="375"/>
      <c r="U744" s="375"/>
      <c r="V744" s="375"/>
      <c r="W744" s="375"/>
      <c r="X744" s="375"/>
      <c r="Y744" s="375"/>
      <c r="Z744" s="375"/>
      <c r="AA744" s="375"/>
      <c r="AB744" s="375"/>
      <c r="AC744" s="375"/>
      <c r="AD744" s="375"/>
      <c r="AE744" s="375"/>
      <c r="AF744" s="375"/>
    </row>
    <row r="745" spans="1:32" ht="8.4499999999999993" customHeight="1" x14ac:dyDescent="0.2">
      <c r="A745" s="252" t="str">
        <f t="shared" si="3"/>
        <v xml:space="preserve">15.001.000.001 </v>
      </c>
      <c r="B745" s="707">
        <v>254</v>
      </c>
      <c r="C745" s="957" t="s">
        <v>2579</v>
      </c>
      <c r="D745" s="957" t="s">
        <v>8</v>
      </c>
      <c r="E745" s="219">
        <v>53</v>
      </c>
      <c r="F745" s="957" t="s">
        <v>2012</v>
      </c>
      <c r="G745" s="957" t="s">
        <v>2178</v>
      </c>
      <c r="H745" s="148">
        <v>0.12</v>
      </c>
      <c r="I745" s="146">
        <v>29</v>
      </c>
      <c r="J745" s="139">
        <v>0</v>
      </c>
      <c r="K745" s="139">
        <v>0</v>
      </c>
      <c r="L745" s="148">
        <v>0</v>
      </c>
      <c r="M745" s="148">
        <v>0</v>
      </c>
      <c r="N745" s="148">
        <v>0</v>
      </c>
      <c r="O745" s="148">
        <v>0</v>
      </c>
      <c r="P745" s="118"/>
      <c r="Q745" s="377"/>
      <c r="R745" s="381"/>
      <c r="S745" s="381"/>
      <c r="T745" s="378"/>
      <c r="U745" s="379"/>
      <c r="V745" s="379"/>
      <c r="W745" s="379"/>
      <c r="X745" s="380"/>
      <c r="Y745" s="377"/>
      <c r="Z745" s="381"/>
      <c r="AA745" s="381"/>
      <c r="AB745" s="378"/>
      <c r="AC745" s="379"/>
      <c r="AD745" s="379"/>
      <c r="AE745" s="379"/>
      <c r="AF745" s="380"/>
    </row>
    <row r="746" spans="1:32" ht="8.4499999999999993" customHeight="1" x14ac:dyDescent="0.2">
      <c r="A746" s="252" t="str">
        <f t="shared" si="3"/>
        <v xml:space="preserve">15.001.000.002 </v>
      </c>
      <c r="B746" s="707">
        <v>255</v>
      </c>
      <c r="C746" s="957" t="s">
        <v>2580</v>
      </c>
      <c r="D746" s="957" t="s">
        <v>8</v>
      </c>
      <c r="E746" s="219">
        <v>43</v>
      </c>
      <c r="F746" s="957" t="s">
        <v>2012</v>
      </c>
      <c r="G746" s="957" t="s">
        <v>2010</v>
      </c>
      <c r="H746" s="148">
        <v>0.35</v>
      </c>
      <c r="I746" s="146">
        <v>82</v>
      </c>
      <c r="J746" s="139">
        <v>0</v>
      </c>
      <c r="K746" s="139">
        <v>0</v>
      </c>
      <c r="L746" s="148">
        <v>0</v>
      </c>
      <c r="M746" s="148">
        <v>0</v>
      </c>
      <c r="N746" s="148">
        <v>0</v>
      </c>
      <c r="O746" s="148">
        <v>0</v>
      </c>
      <c r="P746" s="118"/>
      <c r="Q746" s="377"/>
      <c r="R746" s="381"/>
      <c r="S746" s="381"/>
      <c r="T746" s="378"/>
      <c r="U746" s="379"/>
      <c r="V746" s="379"/>
      <c r="W746" s="379"/>
      <c r="X746" s="380"/>
      <c r="Y746" s="377"/>
      <c r="Z746" s="381"/>
      <c r="AA746" s="381"/>
      <c r="AB746" s="378"/>
      <c r="AC746" s="379"/>
      <c r="AD746" s="379"/>
      <c r="AE746" s="379"/>
      <c r="AF746" s="380"/>
    </row>
    <row r="747" spans="1:32" ht="8.4499999999999993" customHeight="1" x14ac:dyDescent="0.2">
      <c r="A747" s="252" t="str">
        <f t="shared" si="3"/>
        <v xml:space="preserve">15.001.000.003 </v>
      </c>
      <c r="B747" s="707">
        <v>256</v>
      </c>
      <c r="C747" s="957" t="s">
        <v>2581</v>
      </c>
      <c r="D747" s="957" t="s">
        <v>8</v>
      </c>
      <c r="E747" s="219">
        <v>53</v>
      </c>
      <c r="F747" s="957" t="s">
        <v>2012</v>
      </c>
      <c r="G747" s="957" t="s">
        <v>2178</v>
      </c>
      <c r="H747" s="148">
        <v>0.08</v>
      </c>
      <c r="I747" s="146">
        <v>13</v>
      </c>
      <c r="J747" s="139">
        <v>0</v>
      </c>
      <c r="K747" s="139">
        <v>0</v>
      </c>
      <c r="L747" s="148">
        <v>0</v>
      </c>
      <c r="M747" s="148">
        <v>0</v>
      </c>
      <c r="N747" s="148">
        <v>0</v>
      </c>
      <c r="O747" s="148">
        <v>0</v>
      </c>
      <c r="P747" s="118"/>
      <c r="Q747" s="377"/>
      <c r="R747" s="381"/>
      <c r="S747" s="381"/>
      <c r="T747" s="378"/>
      <c r="U747" s="379"/>
      <c r="V747" s="379"/>
      <c r="W747" s="379"/>
      <c r="X747" s="380"/>
      <c r="Y747" s="377"/>
      <c r="Z747" s="381"/>
      <c r="AA747" s="381"/>
      <c r="AB747" s="378"/>
      <c r="AC747" s="379"/>
      <c r="AD747" s="379"/>
      <c r="AE747" s="379"/>
      <c r="AF747" s="380"/>
    </row>
    <row r="748" spans="1:32" ht="8.4499999999999993" customHeight="1" x14ac:dyDescent="0.2">
      <c r="A748" s="252" t="str">
        <f t="shared" ref="A748:A811" si="4">VLOOKUP($C748&amp;$B748,$A$2008:$G$2532,2,0)</f>
        <v xml:space="preserve">15.001.000.004 </v>
      </c>
      <c r="B748" s="707">
        <v>257</v>
      </c>
      <c r="C748" s="957" t="s">
        <v>2582</v>
      </c>
      <c r="D748" s="957" t="s">
        <v>8</v>
      </c>
      <c r="E748" s="219">
        <v>10</v>
      </c>
      <c r="F748" s="957" t="s">
        <v>2025</v>
      </c>
      <c r="G748" s="957" t="s">
        <v>2178</v>
      </c>
      <c r="H748" s="148">
        <v>0.01</v>
      </c>
      <c r="I748" s="139">
        <v>1</v>
      </c>
      <c r="J748" s="139">
        <v>0</v>
      </c>
      <c r="K748" s="139">
        <v>0</v>
      </c>
      <c r="L748" s="148">
        <v>0</v>
      </c>
      <c r="M748" s="148">
        <v>0</v>
      </c>
      <c r="N748" s="148">
        <v>0</v>
      </c>
      <c r="O748" s="148">
        <v>0</v>
      </c>
      <c r="P748" s="118"/>
      <c r="Q748" s="377"/>
      <c r="R748" s="381"/>
      <c r="S748" s="381"/>
      <c r="T748" s="378"/>
      <c r="U748" s="379"/>
      <c r="V748" s="379"/>
      <c r="W748" s="379"/>
      <c r="X748" s="380"/>
      <c r="Y748" s="377"/>
      <c r="Z748" s="381"/>
      <c r="AA748" s="381"/>
      <c r="AB748" s="378"/>
      <c r="AC748" s="379"/>
      <c r="AD748" s="379"/>
      <c r="AE748" s="379"/>
      <c r="AF748" s="380"/>
    </row>
    <row r="749" spans="1:32" ht="8.4499999999999993" customHeight="1" x14ac:dyDescent="0.2">
      <c r="A749" s="252" t="str">
        <f t="shared" si="4"/>
        <v xml:space="preserve">15.001.000.005 </v>
      </c>
      <c r="B749" s="707">
        <v>258</v>
      </c>
      <c r="C749" s="957" t="s">
        <v>2583</v>
      </c>
      <c r="D749" s="957" t="s">
        <v>8</v>
      </c>
      <c r="E749" s="219">
        <v>43</v>
      </c>
      <c r="F749" s="957" t="s">
        <v>2012</v>
      </c>
      <c r="G749" s="957" t="s">
        <v>2010</v>
      </c>
      <c r="H749" s="148">
        <v>0.15</v>
      </c>
      <c r="I749" s="146">
        <v>24</v>
      </c>
      <c r="J749" s="139">
        <v>0</v>
      </c>
      <c r="K749" s="139">
        <v>0</v>
      </c>
      <c r="L749" s="148">
        <v>0</v>
      </c>
      <c r="M749" s="148">
        <v>0</v>
      </c>
      <c r="N749" s="148">
        <v>0</v>
      </c>
      <c r="O749" s="148">
        <v>0</v>
      </c>
      <c r="P749" s="118"/>
      <c r="Q749" s="377"/>
      <c r="R749" s="381"/>
      <c r="S749" s="381"/>
      <c r="T749" s="378"/>
      <c r="U749" s="379"/>
      <c r="V749" s="379"/>
      <c r="W749" s="379"/>
      <c r="X749" s="380"/>
      <c r="Y749" s="377"/>
      <c r="Z749" s="381"/>
      <c r="AA749" s="381"/>
      <c r="AB749" s="378"/>
      <c r="AC749" s="379"/>
      <c r="AD749" s="379"/>
      <c r="AE749" s="379"/>
      <c r="AF749" s="380"/>
    </row>
    <row r="750" spans="1:32" ht="8.4499999999999993" customHeight="1" x14ac:dyDescent="0.2">
      <c r="A750" s="252" t="str">
        <f t="shared" si="4"/>
        <v xml:space="preserve">15.002 </v>
      </c>
      <c r="B750" s="116">
        <v>259</v>
      </c>
      <c r="C750" s="137" t="s">
        <v>267</v>
      </c>
      <c r="D750" s="137"/>
      <c r="E750" s="115">
        <v>53</v>
      </c>
      <c r="F750" s="137" t="s">
        <v>2012</v>
      </c>
      <c r="G750" s="137" t="s">
        <v>2178</v>
      </c>
      <c r="H750" s="138"/>
      <c r="I750" s="138"/>
      <c r="J750" s="138"/>
      <c r="K750" s="138"/>
      <c r="L750" s="138"/>
      <c r="M750" s="138"/>
      <c r="N750" s="138"/>
      <c r="O750" s="138"/>
      <c r="P750" s="138"/>
      <c r="Q750" s="377"/>
      <c r="R750" s="381"/>
      <c r="S750" s="381"/>
      <c r="T750" s="378"/>
      <c r="U750" s="379"/>
      <c r="V750" s="379"/>
      <c r="W750" s="379"/>
      <c r="X750" s="380"/>
      <c r="Y750" s="377"/>
      <c r="Z750" s="381"/>
      <c r="AA750" s="381"/>
      <c r="AB750" s="378"/>
      <c r="AC750" s="379"/>
      <c r="AD750" s="379"/>
      <c r="AE750" s="379"/>
      <c r="AF750" s="380"/>
    </row>
    <row r="751" spans="1:32" ht="8.4499999999999993" customHeight="1" x14ac:dyDescent="0.2">
      <c r="A751" s="252" t="str">
        <f t="shared" si="4"/>
        <v xml:space="preserve">15.002.000.001 </v>
      </c>
      <c r="B751" s="707">
        <v>260</v>
      </c>
      <c r="C751" s="957" t="s">
        <v>2584</v>
      </c>
      <c r="D751" s="957" t="s">
        <v>8</v>
      </c>
      <c r="E751" s="219">
        <v>53</v>
      </c>
      <c r="F751" s="957" t="s">
        <v>2012</v>
      </c>
      <c r="G751" s="957" t="s">
        <v>2178</v>
      </c>
      <c r="H751" s="148">
        <v>0.01</v>
      </c>
      <c r="I751" s="146">
        <v>13</v>
      </c>
      <c r="J751" s="139">
        <v>0</v>
      </c>
      <c r="K751" s="139">
        <v>0</v>
      </c>
      <c r="L751" s="148">
        <v>0</v>
      </c>
      <c r="M751" s="148">
        <v>0</v>
      </c>
      <c r="N751" s="148">
        <v>0</v>
      </c>
      <c r="O751" s="148">
        <v>0</v>
      </c>
      <c r="P751" s="118"/>
      <c r="Q751" s="377"/>
      <c r="R751" s="381"/>
      <c r="S751" s="381"/>
      <c r="T751" s="378"/>
      <c r="U751" s="379"/>
      <c r="V751" s="379"/>
      <c r="W751" s="379"/>
      <c r="X751" s="380"/>
      <c r="Y751" s="377"/>
      <c r="Z751" s="381"/>
      <c r="AA751" s="381"/>
      <c r="AB751" s="378"/>
      <c r="AC751" s="379"/>
      <c r="AD751" s="379"/>
      <c r="AE751" s="379"/>
      <c r="AF751" s="380"/>
    </row>
    <row r="752" spans="1:32" ht="8.4499999999999993" customHeight="1" x14ac:dyDescent="0.2">
      <c r="A752" s="252" t="str">
        <f t="shared" si="4"/>
        <v xml:space="preserve">15.002.000.002 </v>
      </c>
      <c r="B752" s="707">
        <v>261</v>
      </c>
      <c r="C752" s="957" t="s">
        <v>2585</v>
      </c>
      <c r="D752" s="957" t="s">
        <v>8</v>
      </c>
      <c r="E752" s="219">
        <v>10</v>
      </c>
      <c r="F752" s="957" t="s">
        <v>2025</v>
      </c>
      <c r="G752" s="957" t="s">
        <v>2178</v>
      </c>
      <c r="H752" s="148">
        <v>0</v>
      </c>
      <c r="I752" s="139">
        <v>1</v>
      </c>
      <c r="J752" s="139">
        <v>0</v>
      </c>
      <c r="K752" s="139">
        <v>0</v>
      </c>
      <c r="L752" s="148">
        <v>0</v>
      </c>
      <c r="M752" s="148">
        <v>0</v>
      </c>
      <c r="N752" s="148">
        <v>0</v>
      </c>
      <c r="O752" s="148">
        <v>0</v>
      </c>
      <c r="P752" s="118"/>
      <c r="Q752" s="377"/>
      <c r="R752" s="381"/>
      <c r="S752" s="381"/>
      <c r="T752" s="378"/>
      <c r="U752" s="379"/>
      <c r="V752" s="379"/>
      <c r="W752" s="379"/>
      <c r="X752" s="380"/>
      <c r="Y752" s="377"/>
      <c r="Z752" s="381"/>
      <c r="AA752" s="381"/>
      <c r="AB752" s="378"/>
      <c r="AC752" s="379"/>
      <c r="AD752" s="379"/>
      <c r="AE752" s="379"/>
      <c r="AF752" s="380"/>
    </row>
    <row r="753" spans="1:32" ht="8.4499999999999993" customHeight="1" x14ac:dyDescent="0.2">
      <c r="A753" s="252" t="str">
        <f t="shared" si="4"/>
        <v xml:space="preserve">15.002.000.003 </v>
      </c>
      <c r="B753" s="707">
        <v>262</v>
      </c>
      <c r="C753" s="957" t="s">
        <v>2586</v>
      </c>
      <c r="D753" s="957" t="s">
        <v>8</v>
      </c>
      <c r="E753" s="219">
        <v>43</v>
      </c>
      <c r="F753" s="957" t="s">
        <v>2012</v>
      </c>
      <c r="G753" s="957" t="s">
        <v>2010</v>
      </c>
      <c r="H753" s="148">
        <v>0.03</v>
      </c>
      <c r="I753" s="146">
        <v>60</v>
      </c>
      <c r="J753" s="139">
        <v>0</v>
      </c>
      <c r="K753" s="139">
        <v>0</v>
      </c>
      <c r="L753" s="148">
        <v>0</v>
      </c>
      <c r="M753" s="148">
        <v>0</v>
      </c>
      <c r="N753" s="148">
        <v>0</v>
      </c>
      <c r="O753" s="148">
        <v>0</v>
      </c>
      <c r="P753" s="118"/>
      <c r="Q753" s="377"/>
      <c r="R753" s="381"/>
      <c r="S753" s="381"/>
      <c r="T753" s="378"/>
      <c r="U753" s="379"/>
      <c r="V753" s="379"/>
      <c r="W753" s="379"/>
      <c r="X753" s="380"/>
      <c r="Y753" s="377"/>
      <c r="Z753" s="381"/>
      <c r="AA753" s="381"/>
      <c r="AB753" s="378"/>
      <c r="AC753" s="379"/>
      <c r="AD753" s="379"/>
      <c r="AE753" s="379"/>
      <c r="AF753" s="380"/>
    </row>
    <row r="754" spans="1:32" ht="8.4499999999999993" customHeight="1" x14ac:dyDescent="0.2">
      <c r="A754" s="252" t="str">
        <f t="shared" si="4"/>
        <v xml:space="preserve">15.002.000.004 </v>
      </c>
      <c r="B754" s="707">
        <v>263</v>
      </c>
      <c r="C754" s="957" t="s">
        <v>2587</v>
      </c>
      <c r="D754" s="957" t="s">
        <v>8</v>
      </c>
      <c r="E754" s="219">
        <v>53</v>
      </c>
      <c r="F754" s="957" t="s">
        <v>2012</v>
      </c>
      <c r="G754" s="957" t="s">
        <v>2178</v>
      </c>
      <c r="H754" s="148">
        <v>0.03</v>
      </c>
      <c r="I754" s="146">
        <v>51</v>
      </c>
      <c r="J754" s="139">
        <v>0</v>
      </c>
      <c r="K754" s="139">
        <v>0</v>
      </c>
      <c r="L754" s="148">
        <v>0</v>
      </c>
      <c r="M754" s="148">
        <v>0</v>
      </c>
      <c r="N754" s="148">
        <v>0</v>
      </c>
      <c r="O754" s="148">
        <v>0</v>
      </c>
      <c r="P754" s="118"/>
      <c r="Q754" s="377"/>
      <c r="R754" s="381"/>
      <c r="S754" s="381"/>
      <c r="T754" s="378"/>
      <c r="U754" s="379"/>
      <c r="V754" s="379"/>
      <c r="W754" s="379"/>
      <c r="X754" s="380"/>
      <c r="Y754" s="377"/>
      <c r="Z754" s="381"/>
      <c r="AA754" s="381"/>
      <c r="AB754" s="378"/>
      <c r="AC754" s="379"/>
      <c r="AD754" s="379"/>
      <c r="AE754" s="379"/>
      <c r="AF754" s="380"/>
    </row>
    <row r="755" spans="1:32" ht="8.4499999999999993" customHeight="1" x14ac:dyDescent="0.2">
      <c r="A755" s="252" t="str">
        <f t="shared" si="4"/>
        <v xml:space="preserve">15.002.000.005 </v>
      </c>
      <c r="B755" s="707">
        <v>264</v>
      </c>
      <c r="C755" s="957" t="s">
        <v>2588</v>
      </c>
      <c r="D755" s="957" t="s">
        <v>8</v>
      </c>
      <c r="E755" s="219">
        <v>43</v>
      </c>
      <c r="F755" s="957" t="s">
        <v>2012</v>
      </c>
      <c r="G755" s="957" t="s">
        <v>2010</v>
      </c>
      <c r="H755" s="148">
        <v>0.01</v>
      </c>
      <c r="I755" s="146">
        <v>24</v>
      </c>
      <c r="J755" s="139">
        <v>0</v>
      </c>
      <c r="K755" s="139">
        <v>0</v>
      </c>
      <c r="L755" s="148">
        <v>0</v>
      </c>
      <c r="M755" s="148">
        <v>0</v>
      </c>
      <c r="N755" s="148">
        <v>0</v>
      </c>
      <c r="O755" s="148">
        <v>0</v>
      </c>
      <c r="P755" s="118"/>
      <c r="Q755" s="377"/>
      <c r="R755" s="381"/>
      <c r="S755" s="381"/>
      <c r="T755" s="378"/>
      <c r="U755" s="379"/>
      <c r="V755" s="379"/>
      <c r="W755" s="379"/>
      <c r="X755" s="380"/>
      <c r="Y755" s="377"/>
      <c r="Z755" s="381"/>
      <c r="AA755" s="381"/>
      <c r="AB755" s="378"/>
      <c r="AC755" s="379"/>
      <c r="AD755" s="379"/>
      <c r="AE755" s="379"/>
      <c r="AF755" s="380"/>
    </row>
    <row r="756" spans="1:32" ht="8.4499999999999993" customHeight="1" x14ac:dyDescent="0.2">
      <c r="A756" s="252" t="str">
        <f t="shared" si="4"/>
        <v xml:space="preserve">15.002.000.006 </v>
      </c>
      <c r="B756" s="707">
        <v>265</v>
      </c>
      <c r="C756" s="957" t="s">
        <v>2589</v>
      </c>
      <c r="D756" s="957" t="s">
        <v>1003</v>
      </c>
      <c r="E756" s="219">
        <v>53</v>
      </c>
      <c r="F756" s="957" t="s">
        <v>2012</v>
      </c>
      <c r="G756" s="957" t="s">
        <v>2178</v>
      </c>
      <c r="H756" s="148">
        <v>0.02</v>
      </c>
      <c r="I756" s="144">
        <v>155</v>
      </c>
      <c r="J756" s="139">
        <v>0</v>
      </c>
      <c r="K756" s="139">
        <v>0</v>
      </c>
      <c r="L756" s="148">
        <v>0</v>
      </c>
      <c r="M756" s="148">
        <v>0</v>
      </c>
      <c r="N756" s="148">
        <v>0</v>
      </c>
      <c r="O756" s="148">
        <v>0</v>
      </c>
      <c r="P756" s="118"/>
      <c r="Q756" s="377"/>
      <c r="R756" s="381"/>
      <c r="S756" s="381"/>
      <c r="T756" s="378"/>
      <c r="U756" s="379"/>
      <c r="V756" s="379"/>
      <c r="W756" s="379"/>
      <c r="X756" s="380"/>
      <c r="Y756" s="377"/>
      <c r="Z756" s="381"/>
      <c r="AA756" s="381"/>
      <c r="AB756" s="378"/>
      <c r="AC756" s="379"/>
      <c r="AD756" s="379"/>
      <c r="AE756" s="379"/>
      <c r="AF756" s="380"/>
    </row>
    <row r="757" spans="1:32" ht="8.4499999999999993" customHeight="1" x14ac:dyDescent="0.2">
      <c r="A757" s="252" t="str">
        <f t="shared" si="4"/>
        <v xml:space="preserve">15.002.000.007 </v>
      </c>
      <c r="B757" s="707">
        <v>266</v>
      </c>
      <c r="C757" s="957" t="s">
        <v>2590</v>
      </c>
      <c r="D757" s="957" t="s">
        <v>8</v>
      </c>
      <c r="E757" s="219">
        <v>43</v>
      </c>
      <c r="F757" s="957" t="s">
        <v>2012</v>
      </c>
      <c r="G757" s="957" t="s">
        <v>2010</v>
      </c>
      <c r="H757" s="148">
        <v>0.02</v>
      </c>
      <c r="I757" s="146">
        <v>12</v>
      </c>
      <c r="J757" s="139">
        <v>0</v>
      </c>
      <c r="K757" s="139">
        <v>0</v>
      </c>
      <c r="L757" s="148">
        <v>0</v>
      </c>
      <c r="M757" s="148">
        <v>0</v>
      </c>
      <c r="N757" s="148">
        <v>0</v>
      </c>
      <c r="O757" s="148">
        <v>0</v>
      </c>
      <c r="P757" s="118"/>
      <c r="Q757" s="377"/>
      <c r="R757" s="381"/>
      <c r="S757" s="381"/>
      <c r="T757" s="378"/>
      <c r="U757" s="379"/>
      <c r="V757" s="379"/>
      <c r="W757" s="379"/>
      <c r="X757" s="380"/>
      <c r="Y757" s="377"/>
      <c r="Z757" s="381"/>
      <c r="AA757" s="381"/>
      <c r="AB757" s="378"/>
      <c r="AC757" s="379"/>
      <c r="AD757" s="379"/>
      <c r="AE757" s="379"/>
      <c r="AF757" s="380"/>
    </row>
    <row r="758" spans="1:32" ht="8.4499999999999993" customHeight="1" x14ac:dyDescent="0.2">
      <c r="A758" s="252" t="str">
        <f t="shared" si="4"/>
        <v xml:space="preserve">16 </v>
      </c>
      <c r="B758" s="116">
        <v>267</v>
      </c>
      <c r="C758" s="137" t="s">
        <v>358</v>
      </c>
      <c r="D758" s="137"/>
      <c r="E758" s="116">
        <v>426</v>
      </c>
      <c r="F758" s="137" t="s">
        <v>1950</v>
      </c>
      <c r="G758" s="137" t="s">
        <v>2380</v>
      </c>
      <c r="H758" s="138"/>
      <c r="I758" s="138"/>
      <c r="J758" s="138"/>
      <c r="K758" s="138"/>
      <c r="L758" s="138"/>
      <c r="M758" s="138"/>
      <c r="N758" s="138"/>
      <c r="O758" s="138"/>
      <c r="P758" s="138"/>
      <c r="Q758" s="381"/>
      <c r="R758" s="381"/>
      <c r="S758" s="381"/>
      <c r="T758" s="379"/>
      <c r="U758" s="379"/>
      <c r="V758" s="379"/>
      <c r="W758" s="379"/>
      <c r="X758" s="380"/>
      <c r="Y758" s="381"/>
      <c r="Z758" s="381"/>
      <c r="AA758" s="381"/>
      <c r="AB758" s="379"/>
      <c r="AC758" s="379"/>
      <c r="AD758" s="379"/>
      <c r="AE758" s="379"/>
      <c r="AF758" s="380"/>
    </row>
    <row r="759" spans="1:32" ht="8.4499999999999993" customHeight="1" x14ac:dyDescent="0.2">
      <c r="A759" s="252" t="str">
        <f t="shared" si="4"/>
        <v xml:space="preserve">16.000.000.001 </v>
      </c>
      <c r="B759" s="707">
        <v>268</v>
      </c>
      <c r="C759" s="957" t="s">
        <v>2591</v>
      </c>
      <c r="D759" s="957" t="s">
        <v>7</v>
      </c>
      <c r="E759" s="707">
        <v>394</v>
      </c>
      <c r="F759" s="957" t="s">
        <v>1950</v>
      </c>
      <c r="G759" s="957" t="s">
        <v>2195</v>
      </c>
      <c r="H759" s="148">
        <v>1.88</v>
      </c>
      <c r="I759" s="139">
        <v>1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8"/>
      <c r="U759" s="379"/>
      <c r="V759" s="379"/>
      <c r="W759" s="379"/>
      <c r="X759" s="380"/>
      <c r="Y759" s="377"/>
      <c r="Z759" s="381"/>
      <c r="AA759" s="381"/>
      <c r="AB759" s="378"/>
      <c r="AC759" s="379"/>
      <c r="AD759" s="379"/>
      <c r="AE759" s="379"/>
      <c r="AF759" s="380"/>
    </row>
    <row r="760" spans="1:32" ht="8.4499999999999993" customHeight="1" x14ac:dyDescent="0.2">
      <c r="A760" s="252" t="str">
        <f t="shared" si="4"/>
        <v xml:space="preserve">16.000.000.002 </v>
      </c>
      <c r="B760" s="707">
        <v>269</v>
      </c>
      <c r="C760" s="957" t="s">
        <v>2592</v>
      </c>
      <c r="D760" s="957" t="s">
        <v>7</v>
      </c>
      <c r="E760" s="707">
        <v>394</v>
      </c>
      <c r="F760" s="957" t="s">
        <v>1950</v>
      </c>
      <c r="G760" s="957" t="s">
        <v>2195</v>
      </c>
      <c r="H760" s="148">
        <v>1.06</v>
      </c>
      <c r="I760" s="139">
        <v>1</v>
      </c>
      <c r="J760" s="139">
        <v>0</v>
      </c>
      <c r="K760" s="139">
        <v>0</v>
      </c>
      <c r="L760" s="148">
        <v>0</v>
      </c>
      <c r="M760" s="148">
        <v>0</v>
      </c>
      <c r="N760" s="148">
        <v>0</v>
      </c>
      <c r="O760" s="148">
        <v>0</v>
      </c>
      <c r="P760" s="118"/>
      <c r="Q760" s="375"/>
      <c r="R760" s="375"/>
      <c r="S760" s="375"/>
      <c r="T760" s="375"/>
      <c r="U760" s="375"/>
      <c r="V760" s="375"/>
      <c r="W760" s="375"/>
      <c r="X760" s="375"/>
      <c r="Y760" s="375"/>
      <c r="Z760" s="375"/>
      <c r="AA760" s="375"/>
      <c r="AB760" s="375"/>
      <c r="AC760" s="375"/>
      <c r="AD760" s="375"/>
      <c r="AE760" s="375"/>
      <c r="AF760" s="375"/>
    </row>
    <row r="761" spans="1:32" ht="8.4499999999999993" customHeight="1" x14ac:dyDescent="0.2">
      <c r="A761" s="252" t="str">
        <f t="shared" si="4"/>
        <v xml:space="preserve">16.000.000.003 </v>
      </c>
      <c r="B761" s="707">
        <v>270</v>
      </c>
      <c r="C761" s="957" t="s">
        <v>2593</v>
      </c>
      <c r="D761" s="957" t="s">
        <v>7</v>
      </c>
      <c r="E761" s="707">
        <v>281</v>
      </c>
      <c r="F761" s="957" t="s">
        <v>2594</v>
      </c>
      <c r="G761" s="957" t="s">
        <v>2566</v>
      </c>
      <c r="H761" s="148">
        <v>1.46</v>
      </c>
      <c r="I761" s="139">
        <v>1</v>
      </c>
      <c r="J761" s="139">
        <v>0</v>
      </c>
      <c r="K761" s="139">
        <v>0</v>
      </c>
      <c r="L761" s="148">
        <v>0</v>
      </c>
      <c r="M761" s="148">
        <v>0</v>
      </c>
      <c r="N761" s="148">
        <v>0</v>
      </c>
      <c r="O761" s="148">
        <v>0</v>
      </c>
      <c r="P761" s="118"/>
      <c r="Q761" s="377"/>
      <c r="R761" s="381"/>
      <c r="S761" s="381"/>
      <c r="T761" s="378"/>
      <c r="U761" s="379"/>
      <c r="V761" s="379"/>
      <c r="W761" s="379"/>
      <c r="X761" s="380"/>
      <c r="Y761" s="377"/>
      <c r="Z761" s="381"/>
      <c r="AA761" s="381"/>
      <c r="AB761" s="378"/>
      <c r="AC761" s="379"/>
      <c r="AD761" s="379"/>
      <c r="AE761" s="379"/>
      <c r="AF761" s="380"/>
    </row>
    <row r="762" spans="1:32" ht="8.4499999999999993" customHeight="1" x14ac:dyDescent="0.2">
      <c r="A762" s="252" t="str">
        <f t="shared" si="4"/>
        <v xml:space="preserve">16.000.000.004 </v>
      </c>
      <c r="B762" s="707">
        <v>271</v>
      </c>
      <c r="C762" s="957" t="s">
        <v>2595</v>
      </c>
      <c r="D762" s="957" t="s">
        <v>7</v>
      </c>
      <c r="E762" s="707">
        <v>281</v>
      </c>
      <c r="F762" s="957" t="s">
        <v>2594</v>
      </c>
      <c r="G762" s="957" t="s">
        <v>2566</v>
      </c>
      <c r="H762" s="148">
        <v>0.92</v>
      </c>
      <c r="I762" s="139">
        <v>1</v>
      </c>
      <c r="J762" s="139">
        <v>0</v>
      </c>
      <c r="K762" s="139">
        <v>0</v>
      </c>
      <c r="L762" s="148">
        <v>0</v>
      </c>
      <c r="M762" s="148">
        <v>0</v>
      </c>
      <c r="N762" s="148">
        <v>0</v>
      </c>
      <c r="O762" s="148">
        <v>0</v>
      </c>
      <c r="P762" s="118"/>
      <c r="Q762" s="377"/>
      <c r="R762" s="381"/>
      <c r="S762" s="381"/>
      <c r="T762" s="378"/>
      <c r="U762" s="379"/>
      <c r="V762" s="379"/>
      <c r="W762" s="379"/>
      <c r="X762" s="380"/>
      <c r="Y762" s="377"/>
      <c r="Z762" s="381"/>
      <c r="AA762" s="381"/>
      <c r="AB762" s="378"/>
      <c r="AC762" s="379"/>
      <c r="AD762" s="379"/>
      <c r="AE762" s="379"/>
      <c r="AF762" s="380"/>
    </row>
    <row r="763" spans="1:32" ht="8.4499999999999993" customHeight="1" x14ac:dyDescent="0.2">
      <c r="A763" s="252" t="str">
        <f t="shared" si="4"/>
        <v xml:space="preserve">16.000.000.005 </v>
      </c>
      <c r="B763" s="707">
        <v>272</v>
      </c>
      <c r="C763" s="957" t="s">
        <v>2596</v>
      </c>
      <c r="D763" s="957" t="s">
        <v>7</v>
      </c>
      <c r="E763" s="219">
        <v>57</v>
      </c>
      <c r="F763" s="957" t="s">
        <v>2179</v>
      </c>
      <c r="G763" s="957" t="s">
        <v>2597</v>
      </c>
      <c r="H763" s="148">
        <v>0.16</v>
      </c>
      <c r="I763" s="139">
        <v>1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7"/>
      <c r="R763" s="381"/>
      <c r="S763" s="381"/>
      <c r="T763" s="378"/>
      <c r="U763" s="379"/>
      <c r="V763" s="379"/>
      <c r="W763" s="379"/>
      <c r="X763" s="380"/>
      <c r="Y763" s="377"/>
      <c r="Z763" s="381"/>
      <c r="AA763" s="381"/>
      <c r="AB763" s="378"/>
      <c r="AC763" s="379"/>
      <c r="AD763" s="379"/>
      <c r="AE763" s="379"/>
      <c r="AF763" s="380"/>
    </row>
    <row r="764" spans="1:32" ht="8.4499999999999993" customHeight="1" x14ac:dyDescent="0.2">
      <c r="A764" s="252" t="str">
        <f t="shared" si="4"/>
        <v xml:space="preserve">16.000.000.006 </v>
      </c>
      <c r="B764" s="707">
        <v>273</v>
      </c>
      <c r="C764" s="957" t="s">
        <v>2598</v>
      </c>
      <c r="D764" s="957" t="s">
        <v>7</v>
      </c>
      <c r="E764" s="219">
        <v>31</v>
      </c>
      <c r="F764" s="957" t="s">
        <v>2009</v>
      </c>
      <c r="G764" s="957" t="s">
        <v>2543</v>
      </c>
      <c r="H764" s="148">
        <v>0.18</v>
      </c>
      <c r="I764" s="139">
        <v>1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81"/>
      <c r="R764" s="381"/>
      <c r="S764" s="381"/>
      <c r="T764" s="378"/>
      <c r="U764" s="379"/>
      <c r="V764" s="379"/>
      <c r="W764" s="379"/>
      <c r="X764" s="380"/>
      <c r="Y764" s="381"/>
      <c r="Z764" s="381"/>
      <c r="AA764" s="381"/>
      <c r="AB764" s="382"/>
      <c r="AC764" s="379"/>
      <c r="AD764" s="379"/>
      <c r="AE764" s="379"/>
      <c r="AF764" s="380"/>
    </row>
    <row r="765" spans="1:32" ht="8.4499999999999993" customHeight="1" x14ac:dyDescent="0.2">
      <c r="A765" s="252" t="str">
        <f t="shared" si="4"/>
        <v xml:space="preserve">16.000.000.007 </v>
      </c>
      <c r="B765" s="707">
        <v>274</v>
      </c>
      <c r="C765" s="957" t="s">
        <v>2599</v>
      </c>
      <c r="D765" s="957" t="s">
        <v>7</v>
      </c>
      <c r="E765" s="707">
        <v>113</v>
      </c>
      <c r="F765" s="957" t="s">
        <v>2597</v>
      </c>
      <c r="G765" s="957" t="s">
        <v>2008</v>
      </c>
      <c r="H765" s="148">
        <v>0.26</v>
      </c>
      <c r="I765" s="139">
        <v>1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7"/>
      <c r="R765" s="381"/>
      <c r="S765" s="381"/>
      <c r="T765" s="379"/>
      <c r="U765" s="379"/>
      <c r="V765" s="379"/>
      <c r="W765" s="379"/>
      <c r="X765" s="380"/>
      <c r="Y765" s="377"/>
      <c r="Z765" s="381"/>
      <c r="AA765" s="381"/>
      <c r="AB765" s="378"/>
      <c r="AC765" s="379"/>
      <c r="AD765" s="379"/>
      <c r="AE765" s="379"/>
      <c r="AF765" s="380"/>
    </row>
    <row r="766" spans="1:32" ht="8.4499999999999993" customHeight="1" x14ac:dyDescent="0.2">
      <c r="A766" s="252" t="str">
        <f t="shared" si="4"/>
        <v xml:space="preserve">16.000.000.008 </v>
      </c>
      <c r="B766" s="707">
        <v>275</v>
      </c>
      <c r="C766" s="957" t="s">
        <v>2600</v>
      </c>
      <c r="D766" s="957" t="s">
        <v>7</v>
      </c>
      <c r="E766" s="707">
        <v>151</v>
      </c>
      <c r="F766" s="957" t="s">
        <v>2601</v>
      </c>
      <c r="G766" s="957" t="s">
        <v>2195</v>
      </c>
      <c r="H766" s="148">
        <v>0.36</v>
      </c>
      <c r="I766" s="139">
        <v>1</v>
      </c>
      <c r="J766" s="139">
        <v>0</v>
      </c>
      <c r="K766" s="139">
        <v>0</v>
      </c>
      <c r="L766" s="148">
        <v>0</v>
      </c>
      <c r="M766" s="148">
        <v>0</v>
      </c>
      <c r="N766" s="148">
        <v>0</v>
      </c>
      <c r="O766" s="148">
        <v>0</v>
      </c>
      <c r="P766" s="118"/>
      <c r="Q766" s="381"/>
      <c r="R766" s="381"/>
      <c r="S766" s="381"/>
      <c r="T766" s="379"/>
      <c r="U766" s="379"/>
      <c r="V766" s="379"/>
      <c r="W766" s="379"/>
      <c r="X766" s="380"/>
      <c r="Y766" s="381"/>
      <c r="Z766" s="381"/>
      <c r="AA766" s="381"/>
      <c r="AB766" s="379"/>
      <c r="AC766" s="379"/>
      <c r="AD766" s="379"/>
      <c r="AE766" s="379"/>
      <c r="AF766" s="380"/>
    </row>
    <row r="767" spans="1:32" ht="8.4499999999999993" customHeight="1" x14ac:dyDescent="0.2">
      <c r="A767" s="252" t="str">
        <f t="shared" si="4"/>
        <v xml:space="preserve">16.000.000.009 </v>
      </c>
      <c r="B767" s="707">
        <v>276</v>
      </c>
      <c r="C767" s="957" t="s">
        <v>2602</v>
      </c>
      <c r="D767" s="957" t="s">
        <v>7</v>
      </c>
      <c r="E767" s="219">
        <v>21</v>
      </c>
      <c r="F767" s="957" t="s">
        <v>2388</v>
      </c>
      <c r="G767" s="957" t="s">
        <v>2380</v>
      </c>
      <c r="H767" s="148">
        <v>0.06</v>
      </c>
      <c r="I767" s="139">
        <v>1</v>
      </c>
      <c r="J767" s="139">
        <v>0</v>
      </c>
      <c r="K767" s="139">
        <v>0</v>
      </c>
      <c r="L767" s="148">
        <v>0</v>
      </c>
      <c r="M767" s="148">
        <v>0</v>
      </c>
      <c r="N767" s="148">
        <v>0</v>
      </c>
      <c r="O767" s="148">
        <v>0</v>
      </c>
      <c r="P767" s="118"/>
      <c r="Q767" s="377"/>
      <c r="R767" s="381"/>
      <c r="S767" s="381"/>
      <c r="T767" s="379"/>
      <c r="U767" s="379"/>
      <c r="V767" s="379"/>
      <c r="W767" s="379"/>
      <c r="X767" s="380"/>
      <c r="Y767" s="377"/>
      <c r="Z767" s="381"/>
      <c r="AA767" s="381"/>
      <c r="AB767" s="378"/>
      <c r="AC767" s="379"/>
      <c r="AD767" s="379"/>
      <c r="AE767" s="379"/>
      <c r="AF767" s="380"/>
    </row>
    <row r="768" spans="1:32" ht="8.4499999999999993" customHeight="1" x14ac:dyDescent="0.2">
      <c r="A768" s="252" t="str">
        <f t="shared" si="4"/>
        <v xml:space="preserve">16.000.000.010 </v>
      </c>
      <c r="B768" s="707">
        <v>277</v>
      </c>
      <c r="C768" s="957" t="s">
        <v>2603</v>
      </c>
      <c r="D768" s="957" t="s">
        <v>7</v>
      </c>
      <c r="E768" s="219">
        <v>33</v>
      </c>
      <c r="F768" s="957" t="s">
        <v>2025</v>
      </c>
      <c r="G768" s="957" t="s">
        <v>2195</v>
      </c>
      <c r="H768" s="148">
        <v>0.21</v>
      </c>
      <c r="I768" s="139">
        <v>1</v>
      </c>
      <c r="J768" s="139">
        <v>0</v>
      </c>
      <c r="K768" s="139">
        <v>0</v>
      </c>
      <c r="L768" s="148">
        <v>0</v>
      </c>
      <c r="M768" s="148">
        <v>0</v>
      </c>
      <c r="N768" s="148">
        <v>0</v>
      </c>
      <c r="O768" s="148">
        <v>0</v>
      </c>
      <c r="P768" s="118"/>
      <c r="Q768" s="377"/>
      <c r="R768" s="381"/>
      <c r="S768" s="381"/>
      <c r="T768" s="378"/>
      <c r="U768" s="379"/>
      <c r="V768" s="379"/>
      <c r="W768" s="379"/>
      <c r="X768" s="380"/>
      <c r="Y768" s="377"/>
      <c r="Z768" s="381"/>
      <c r="AA768" s="381"/>
      <c r="AB768" s="378"/>
      <c r="AC768" s="379"/>
      <c r="AD768" s="379"/>
      <c r="AE768" s="379"/>
      <c r="AF768" s="380"/>
    </row>
    <row r="769" spans="1:32" ht="8.4499999999999993" customHeight="1" x14ac:dyDescent="0.2">
      <c r="A769" s="252" t="str">
        <f t="shared" si="4"/>
        <v xml:space="preserve">16.000.000.011 </v>
      </c>
      <c r="B769" s="707">
        <v>278</v>
      </c>
      <c r="C769" s="957" t="s">
        <v>2604</v>
      </c>
      <c r="D769" s="957" t="s">
        <v>8</v>
      </c>
      <c r="E769" s="219">
        <v>65</v>
      </c>
      <c r="F769" s="957" t="s">
        <v>2014</v>
      </c>
      <c r="G769" s="957" t="s">
        <v>2605</v>
      </c>
      <c r="H769" s="148">
        <v>2.33</v>
      </c>
      <c r="I769" s="139">
        <v>2</v>
      </c>
      <c r="J769" s="139">
        <v>0</v>
      </c>
      <c r="K769" s="139">
        <v>0</v>
      </c>
      <c r="L769" s="148">
        <v>0</v>
      </c>
      <c r="M769" s="148">
        <v>0</v>
      </c>
      <c r="N769" s="148">
        <v>0</v>
      </c>
      <c r="O769" s="148">
        <v>0</v>
      </c>
      <c r="P769" s="118"/>
      <c r="Q769" s="376"/>
      <c r="R769" s="381"/>
      <c r="S769" s="381"/>
      <c r="T769" s="379"/>
      <c r="U769" s="379"/>
      <c r="V769" s="379"/>
      <c r="W769" s="379"/>
      <c r="X769" s="380"/>
      <c r="Y769" s="376"/>
      <c r="Z769" s="377"/>
      <c r="AA769" s="381"/>
      <c r="AB769" s="378"/>
      <c r="AC769" s="379"/>
      <c r="AD769" s="379"/>
      <c r="AE769" s="379"/>
      <c r="AF769" s="380"/>
    </row>
    <row r="770" spans="1:32" ht="8.4499999999999993" customHeight="1" x14ac:dyDescent="0.2">
      <c r="A770" s="252" t="str">
        <f t="shared" si="4"/>
        <v xml:space="preserve">16.000.000.012 </v>
      </c>
      <c r="B770" s="707">
        <v>279</v>
      </c>
      <c r="C770" s="957" t="s">
        <v>2606</v>
      </c>
      <c r="D770" s="957" t="s">
        <v>7</v>
      </c>
      <c r="E770" s="957"/>
      <c r="F770" s="957" t="s">
        <v>2607</v>
      </c>
      <c r="G770" s="957" t="s">
        <v>2607</v>
      </c>
      <c r="H770" s="148">
        <v>0.04</v>
      </c>
      <c r="I770" s="139">
        <v>1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76"/>
      <c r="R770" s="381"/>
      <c r="S770" s="381"/>
      <c r="T770" s="379"/>
      <c r="U770" s="379"/>
      <c r="V770" s="379"/>
      <c r="W770" s="379"/>
      <c r="X770" s="380"/>
      <c r="Y770" s="376"/>
      <c r="Z770" s="377"/>
      <c r="AA770" s="381"/>
      <c r="AB770" s="378"/>
      <c r="AC770" s="379"/>
      <c r="AD770" s="379"/>
      <c r="AE770" s="379"/>
      <c r="AF770" s="380"/>
    </row>
    <row r="771" spans="1:32" ht="8.4499999999999993" customHeight="1" x14ac:dyDescent="0.2">
      <c r="A771" s="252" t="str">
        <f t="shared" si="4"/>
        <v xml:space="preserve">16.000.000.013 </v>
      </c>
      <c r="B771" s="707">
        <v>280</v>
      </c>
      <c r="C771" s="957" t="s">
        <v>2608</v>
      </c>
      <c r="D771" s="957" t="s">
        <v>7</v>
      </c>
      <c r="E771" s="957"/>
      <c r="F771" s="957" t="s">
        <v>2607</v>
      </c>
      <c r="G771" s="957" t="s">
        <v>2607</v>
      </c>
      <c r="H771" s="148">
        <v>0.18</v>
      </c>
      <c r="I771" s="139">
        <v>1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81"/>
      <c r="R771" s="381"/>
      <c r="S771" s="381"/>
      <c r="T771" s="379"/>
      <c r="U771" s="379"/>
      <c r="V771" s="379"/>
      <c r="W771" s="379"/>
      <c r="X771" s="380"/>
      <c r="Y771" s="381"/>
      <c r="Z771" s="381"/>
      <c r="AA771" s="381"/>
      <c r="AB771" s="379"/>
      <c r="AC771" s="379"/>
      <c r="AD771" s="379"/>
      <c r="AE771" s="379"/>
      <c r="AF771" s="380"/>
    </row>
    <row r="772" spans="1:32" ht="8.4499999999999993" customHeight="1" x14ac:dyDescent="0.2">
      <c r="A772" s="252" t="str">
        <f t="shared" si="4"/>
        <v xml:space="preserve">16.000.000.014 </v>
      </c>
      <c r="B772" s="707">
        <v>281</v>
      </c>
      <c r="C772" s="957" t="s">
        <v>2609</v>
      </c>
      <c r="D772" s="957" t="s">
        <v>7</v>
      </c>
      <c r="E772" s="957"/>
      <c r="F772" s="957" t="s">
        <v>2607</v>
      </c>
      <c r="G772" s="957" t="s">
        <v>2607</v>
      </c>
      <c r="H772" s="148">
        <v>0.12</v>
      </c>
      <c r="I772" s="139">
        <v>1</v>
      </c>
      <c r="J772" s="139">
        <v>0</v>
      </c>
      <c r="K772" s="139">
        <v>0</v>
      </c>
      <c r="L772" s="148">
        <v>0</v>
      </c>
      <c r="M772" s="148">
        <v>0</v>
      </c>
      <c r="N772" s="148">
        <v>0</v>
      </c>
      <c r="O772" s="148">
        <v>0</v>
      </c>
      <c r="P772" s="118"/>
      <c r="Q772" s="377"/>
      <c r="R772" s="381"/>
      <c r="S772" s="381"/>
      <c r="T772" s="379"/>
      <c r="U772" s="379"/>
      <c r="V772" s="379"/>
      <c r="W772" s="379"/>
      <c r="X772" s="380"/>
      <c r="Y772" s="377"/>
      <c r="Z772" s="381"/>
      <c r="AA772" s="381"/>
      <c r="AB772" s="378"/>
      <c r="AC772" s="379"/>
      <c r="AD772" s="379"/>
      <c r="AE772" s="379"/>
      <c r="AF772" s="380"/>
    </row>
    <row r="773" spans="1:32" ht="8.4499999999999993" customHeight="1" x14ac:dyDescent="0.2">
      <c r="A773" s="252" t="str">
        <f t="shared" si="4"/>
        <v xml:space="preserve">16.000.000.015 </v>
      </c>
      <c r="B773" s="707">
        <v>282</v>
      </c>
      <c r="C773" s="957" t="s">
        <v>2610</v>
      </c>
      <c r="D773" s="957" t="s">
        <v>2035</v>
      </c>
      <c r="E773" s="219">
        <v>81</v>
      </c>
      <c r="F773" s="957" t="s">
        <v>2611</v>
      </c>
      <c r="G773" s="957" t="s">
        <v>2500</v>
      </c>
      <c r="H773" s="148">
        <v>0.15</v>
      </c>
      <c r="I773" s="146">
        <v>62</v>
      </c>
      <c r="J773" s="139">
        <v>0</v>
      </c>
      <c r="K773" s="139">
        <v>0</v>
      </c>
      <c r="L773" s="148">
        <v>0</v>
      </c>
      <c r="M773" s="148">
        <v>0</v>
      </c>
      <c r="N773" s="148">
        <v>0</v>
      </c>
      <c r="O773" s="148">
        <v>0</v>
      </c>
      <c r="P773" s="118"/>
      <c r="Q773" s="377"/>
      <c r="R773" s="381"/>
      <c r="S773" s="381"/>
      <c r="T773" s="378"/>
      <c r="U773" s="379"/>
      <c r="V773" s="379"/>
      <c r="W773" s="379"/>
      <c r="X773" s="380"/>
      <c r="Y773" s="377"/>
      <c r="Z773" s="381"/>
      <c r="AA773" s="381"/>
      <c r="AB773" s="378"/>
      <c r="AC773" s="379"/>
      <c r="AD773" s="379"/>
      <c r="AE773" s="379"/>
      <c r="AF773" s="380"/>
    </row>
    <row r="774" spans="1:32" ht="8.4499999999999993" customHeight="1" x14ac:dyDescent="0.2">
      <c r="A774" s="252" t="str">
        <f t="shared" si="4"/>
        <v xml:space="preserve">16.000.000.016 </v>
      </c>
      <c r="B774" s="707">
        <v>283</v>
      </c>
      <c r="C774" s="957" t="s">
        <v>2612</v>
      </c>
      <c r="D774" s="957" t="s">
        <v>8</v>
      </c>
      <c r="E774" s="957"/>
      <c r="F774" s="957" t="s">
        <v>2607</v>
      </c>
      <c r="G774" s="957" t="s">
        <v>2607</v>
      </c>
      <c r="H774" s="148">
        <v>0.06</v>
      </c>
      <c r="I774" s="146">
        <v>29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81"/>
      <c r="R774" s="381"/>
      <c r="S774" s="381"/>
      <c r="T774" s="378"/>
      <c r="U774" s="379"/>
      <c r="V774" s="379"/>
      <c r="W774" s="379"/>
      <c r="X774" s="380"/>
      <c r="Y774" s="381"/>
      <c r="Z774" s="381"/>
      <c r="AA774" s="381"/>
      <c r="AB774" s="378"/>
      <c r="AC774" s="379"/>
      <c r="AD774" s="379"/>
      <c r="AE774" s="379"/>
      <c r="AF774" s="380"/>
    </row>
    <row r="775" spans="1:32" ht="8.4499999999999993" customHeight="1" x14ac:dyDescent="0.2">
      <c r="A775" s="252" t="str">
        <f t="shared" si="4"/>
        <v xml:space="preserve">16.000.000.017 </v>
      </c>
      <c r="B775" s="707">
        <v>284</v>
      </c>
      <c r="C775" s="957" t="s">
        <v>2613</v>
      </c>
      <c r="D775" s="957" t="s">
        <v>7</v>
      </c>
      <c r="E775" s="957"/>
      <c r="F775" s="957" t="s">
        <v>2607</v>
      </c>
      <c r="G775" s="957" t="s">
        <v>2607</v>
      </c>
      <c r="H775" s="148">
        <v>0.01</v>
      </c>
      <c r="I775" s="139">
        <v>1</v>
      </c>
      <c r="J775" s="139">
        <v>0</v>
      </c>
      <c r="K775" s="139">
        <v>0</v>
      </c>
      <c r="L775" s="148">
        <v>0</v>
      </c>
      <c r="M775" s="148">
        <v>0</v>
      </c>
      <c r="N775" s="148">
        <v>0</v>
      </c>
      <c r="O775" s="148">
        <v>0</v>
      </c>
      <c r="P775" s="118"/>
      <c r="Q775" s="375"/>
      <c r="R775" s="375"/>
      <c r="S775" s="375"/>
      <c r="T775" s="375"/>
      <c r="U775" s="375"/>
      <c r="V775" s="375"/>
      <c r="W775" s="375"/>
      <c r="X775" s="375"/>
      <c r="Y775" s="375"/>
      <c r="Z775" s="375"/>
      <c r="AA775" s="375"/>
      <c r="AB775" s="375"/>
      <c r="AC775" s="375"/>
      <c r="AD775" s="375"/>
      <c r="AE775" s="375"/>
      <c r="AF775" s="375"/>
    </row>
    <row r="776" spans="1:32" ht="8.4499999999999993" customHeight="1" x14ac:dyDescent="0.2">
      <c r="A776" s="252" t="str">
        <f t="shared" si="4"/>
        <v xml:space="preserve">16.000.000.018 </v>
      </c>
      <c r="B776" s="707">
        <v>285</v>
      </c>
      <c r="C776" s="957" t="s">
        <v>2614</v>
      </c>
      <c r="D776" s="957" t="s">
        <v>7</v>
      </c>
      <c r="E776" s="957"/>
      <c r="F776" s="957" t="s">
        <v>2607</v>
      </c>
      <c r="G776" s="957" t="s">
        <v>2607</v>
      </c>
      <c r="H776" s="148">
        <v>0.3</v>
      </c>
      <c r="I776" s="139">
        <v>1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76"/>
      <c r="R776" s="381"/>
      <c r="S776" s="381"/>
      <c r="T776" s="379"/>
      <c r="U776" s="379"/>
      <c r="V776" s="379"/>
      <c r="W776" s="379"/>
      <c r="X776" s="380"/>
      <c r="Y776" s="376"/>
      <c r="Z776" s="377"/>
      <c r="AA776" s="381"/>
      <c r="AB776" s="379"/>
      <c r="AC776" s="379"/>
      <c r="AD776" s="379"/>
      <c r="AE776" s="379"/>
      <c r="AF776" s="380"/>
    </row>
    <row r="777" spans="1:32" ht="8.4499999999999993" customHeight="1" x14ac:dyDescent="0.2">
      <c r="A777" s="252" t="str">
        <f t="shared" si="4"/>
        <v xml:space="preserve">17 </v>
      </c>
      <c r="B777" s="116">
        <v>286</v>
      </c>
      <c r="C777" s="137" t="s">
        <v>359</v>
      </c>
      <c r="D777" s="137"/>
      <c r="E777" s="115">
        <v>50</v>
      </c>
      <c r="F777" s="137" t="s">
        <v>2615</v>
      </c>
      <c r="G777" s="137" t="s">
        <v>2181</v>
      </c>
      <c r="H777" s="138"/>
      <c r="I777" s="138"/>
      <c r="J777" s="138"/>
      <c r="K777" s="138"/>
      <c r="L777" s="138"/>
      <c r="M777" s="138"/>
      <c r="N777" s="138"/>
      <c r="O777" s="138"/>
      <c r="P777" s="138"/>
      <c r="Q777" s="386"/>
      <c r="R777" s="376"/>
      <c r="S777" s="381"/>
      <c r="T777" s="379"/>
      <c r="U777" s="379"/>
      <c r="V777" s="379"/>
      <c r="W777" s="379"/>
      <c r="X777" s="380"/>
      <c r="Y777" s="386"/>
      <c r="Z777" s="385"/>
      <c r="AA777" s="381"/>
      <c r="AB777" s="379"/>
      <c r="AC777" s="379"/>
      <c r="AD777" s="379"/>
      <c r="AE777" s="379"/>
      <c r="AF777" s="380"/>
    </row>
    <row r="778" spans="1:32" ht="8.4499999999999993" customHeight="1" x14ac:dyDescent="0.2">
      <c r="A778" s="252" t="str">
        <f t="shared" si="4"/>
        <v xml:space="preserve">17.000.000.001 </v>
      </c>
      <c r="B778" s="707">
        <v>287</v>
      </c>
      <c r="C778" s="957" t="s">
        <v>2616</v>
      </c>
      <c r="D778" s="957" t="s">
        <v>90</v>
      </c>
      <c r="E778" s="219">
        <v>50</v>
      </c>
      <c r="F778" s="957" t="s">
        <v>2615</v>
      </c>
      <c r="G778" s="957" t="s">
        <v>2181</v>
      </c>
      <c r="H778" s="148">
        <v>0.51</v>
      </c>
      <c r="I778" s="146">
        <v>63.19</v>
      </c>
      <c r="J778" s="139">
        <v>0</v>
      </c>
      <c r="K778" s="139">
        <v>0</v>
      </c>
      <c r="L778" s="148">
        <v>0</v>
      </c>
      <c r="M778" s="148">
        <v>0</v>
      </c>
      <c r="N778" s="148">
        <v>0</v>
      </c>
      <c r="O778" s="148">
        <v>0</v>
      </c>
      <c r="P778" s="118"/>
      <c r="Q778" s="385"/>
      <c r="R778" s="376"/>
      <c r="S778" s="381"/>
      <c r="T778" s="379"/>
      <c r="U778" s="379"/>
      <c r="V778" s="379"/>
      <c r="W778" s="379"/>
      <c r="X778" s="380"/>
      <c r="Y778" s="385"/>
      <c r="Z778" s="376"/>
      <c r="AA778" s="381"/>
      <c r="AB778" s="379"/>
      <c r="AC778" s="379"/>
      <c r="AD778" s="379"/>
      <c r="AE778" s="379"/>
      <c r="AF778" s="380"/>
    </row>
    <row r="779" spans="1:32" ht="8.4499999999999993" customHeight="1" x14ac:dyDescent="0.2">
      <c r="A779" s="252" t="str">
        <f t="shared" si="4"/>
        <v xml:space="preserve">17.000.000.002 </v>
      </c>
      <c r="B779" s="707">
        <v>288</v>
      </c>
      <c r="C779" s="957" t="s">
        <v>2617</v>
      </c>
      <c r="D779" s="957" t="s">
        <v>90</v>
      </c>
      <c r="E779" s="219">
        <v>11</v>
      </c>
      <c r="F779" s="957" t="s">
        <v>2033</v>
      </c>
      <c r="G779" s="957" t="s">
        <v>2181</v>
      </c>
      <c r="H779" s="148">
        <v>0.03</v>
      </c>
      <c r="I779" s="139">
        <v>3.78</v>
      </c>
      <c r="J779" s="139">
        <v>0</v>
      </c>
      <c r="K779" s="139">
        <v>0</v>
      </c>
      <c r="L779" s="148">
        <v>0</v>
      </c>
      <c r="M779" s="148">
        <v>0</v>
      </c>
      <c r="N779" s="148">
        <v>0</v>
      </c>
      <c r="O779" s="148">
        <v>0</v>
      </c>
      <c r="P779" s="118"/>
      <c r="Q779" s="381"/>
      <c r="R779" s="381"/>
      <c r="S779" s="381"/>
      <c r="T779" s="379"/>
      <c r="U779" s="379"/>
      <c r="V779" s="379"/>
      <c r="W779" s="379"/>
      <c r="X779" s="380"/>
      <c r="Y779" s="381"/>
      <c r="Z779" s="381"/>
      <c r="AA779" s="381"/>
      <c r="AB779" s="379"/>
      <c r="AC779" s="379"/>
      <c r="AD779" s="379"/>
      <c r="AE779" s="379"/>
      <c r="AF779" s="380"/>
    </row>
    <row r="780" spans="1:32" ht="8.4499999999999993" customHeight="1" x14ac:dyDescent="0.2">
      <c r="A780" s="252" t="str">
        <f t="shared" si="4"/>
        <v xml:space="preserve">17.000.000.003 </v>
      </c>
      <c r="B780" s="707">
        <v>289</v>
      </c>
      <c r="C780" s="957" t="s">
        <v>2618</v>
      </c>
      <c r="D780" s="957" t="s">
        <v>90</v>
      </c>
      <c r="E780" s="219">
        <v>50</v>
      </c>
      <c r="F780" s="957" t="s">
        <v>2615</v>
      </c>
      <c r="G780" s="957" t="s">
        <v>2181</v>
      </c>
      <c r="H780" s="148">
        <v>0.32</v>
      </c>
      <c r="I780" s="146">
        <v>25.64</v>
      </c>
      <c r="J780" s="139">
        <v>0</v>
      </c>
      <c r="K780" s="139">
        <v>0</v>
      </c>
      <c r="L780" s="148">
        <v>0</v>
      </c>
      <c r="M780" s="148">
        <v>0</v>
      </c>
      <c r="N780" s="148">
        <v>0</v>
      </c>
      <c r="O780" s="148">
        <v>0</v>
      </c>
      <c r="P780" s="118"/>
      <c r="Q780" s="377"/>
      <c r="R780" s="381"/>
      <c r="S780" s="381"/>
      <c r="T780" s="379"/>
      <c r="U780" s="379"/>
      <c r="V780" s="379"/>
      <c r="W780" s="379"/>
      <c r="X780" s="380"/>
      <c r="Y780" s="377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tr">
        <f t="shared" si="4"/>
        <v xml:space="preserve">17.000.000.004 </v>
      </c>
      <c r="B781" s="707">
        <v>290</v>
      </c>
      <c r="C781" s="957" t="s">
        <v>2619</v>
      </c>
      <c r="D781" s="957" t="s">
        <v>8</v>
      </c>
      <c r="E781" s="219">
        <v>50</v>
      </c>
      <c r="F781" s="957" t="s">
        <v>2615</v>
      </c>
      <c r="G781" s="957" t="s">
        <v>2181</v>
      </c>
      <c r="H781" s="148">
        <v>0.13</v>
      </c>
      <c r="I781" s="144">
        <v>110</v>
      </c>
      <c r="J781" s="139">
        <v>0</v>
      </c>
      <c r="K781" s="139">
        <v>0</v>
      </c>
      <c r="L781" s="148">
        <v>0</v>
      </c>
      <c r="M781" s="148">
        <v>0</v>
      </c>
      <c r="N781" s="148">
        <v>0</v>
      </c>
      <c r="O781" s="148">
        <v>0</v>
      </c>
      <c r="P781" s="118"/>
      <c r="Q781" s="381"/>
      <c r="R781" s="381"/>
      <c r="S781" s="381"/>
      <c r="T781" s="379"/>
      <c r="U781" s="379"/>
      <c r="V781" s="379"/>
      <c r="W781" s="379"/>
      <c r="X781" s="380"/>
      <c r="Y781" s="381"/>
      <c r="Z781" s="381"/>
      <c r="AA781" s="381"/>
      <c r="AB781" s="379"/>
      <c r="AC781" s="379"/>
      <c r="AD781" s="379"/>
      <c r="AE781" s="379"/>
      <c r="AF781" s="380"/>
    </row>
    <row r="782" spans="1:32" ht="8.4499999999999993" customHeight="1" x14ac:dyDescent="0.2">
      <c r="A782" s="252" t="str">
        <f t="shared" si="4"/>
        <v xml:space="preserve">18 </v>
      </c>
      <c r="B782" s="116">
        <v>291</v>
      </c>
      <c r="C782" s="137" t="s">
        <v>360</v>
      </c>
      <c r="D782" s="137"/>
      <c r="E782" s="116">
        <v>124</v>
      </c>
      <c r="F782" s="137" t="s">
        <v>2615</v>
      </c>
      <c r="G782" s="137" t="s">
        <v>2380</v>
      </c>
      <c r="H782" s="138"/>
      <c r="I782" s="138"/>
      <c r="J782" s="138"/>
      <c r="K782" s="138"/>
      <c r="L782" s="138"/>
      <c r="M782" s="138"/>
      <c r="N782" s="138"/>
      <c r="O782" s="138"/>
      <c r="P782" s="138"/>
      <c r="Q782" s="377"/>
      <c r="R782" s="381"/>
      <c r="S782" s="381"/>
      <c r="T782" s="379"/>
      <c r="U782" s="379"/>
      <c r="V782" s="379"/>
      <c r="W782" s="379"/>
      <c r="X782" s="380"/>
      <c r="Y782" s="377"/>
      <c r="Z782" s="381"/>
      <c r="AA782" s="381"/>
      <c r="AB782" s="379"/>
      <c r="AC782" s="379"/>
      <c r="AD782" s="379"/>
      <c r="AE782" s="379"/>
      <c r="AF782" s="380"/>
    </row>
    <row r="783" spans="1:32" ht="8.4499999999999993" customHeight="1" x14ac:dyDescent="0.2">
      <c r="A783" s="252" t="str">
        <f t="shared" si="4"/>
        <v xml:space="preserve">18.001 </v>
      </c>
      <c r="B783" s="116">
        <v>292</v>
      </c>
      <c r="C783" s="137" t="s">
        <v>361</v>
      </c>
      <c r="D783" s="137"/>
      <c r="E783" s="115">
        <v>32</v>
      </c>
      <c r="F783" s="137" t="s">
        <v>2620</v>
      </c>
      <c r="G783" s="137" t="s">
        <v>2621</v>
      </c>
      <c r="H783" s="138"/>
      <c r="I783" s="138"/>
      <c r="J783" s="138"/>
      <c r="K783" s="138"/>
      <c r="L783" s="138"/>
      <c r="M783" s="138"/>
      <c r="N783" s="138"/>
      <c r="O783" s="138"/>
      <c r="P783" s="138"/>
      <c r="Q783" s="381"/>
      <c r="R783" s="381"/>
      <c r="S783" s="381"/>
      <c r="T783" s="379"/>
      <c r="U783" s="379"/>
      <c r="V783" s="379"/>
      <c r="W783" s="379"/>
      <c r="X783" s="380"/>
      <c r="Y783" s="381"/>
      <c r="Z783" s="381"/>
      <c r="AA783" s="381"/>
      <c r="AB783" s="379"/>
      <c r="AC783" s="379"/>
      <c r="AD783" s="379"/>
      <c r="AE783" s="379"/>
      <c r="AF783" s="380"/>
    </row>
    <row r="784" spans="1:32" ht="8.4499999999999993" customHeight="1" x14ac:dyDescent="0.2">
      <c r="A784" s="252" t="str">
        <f t="shared" si="4"/>
        <v xml:space="preserve">18.001.000.001 </v>
      </c>
      <c r="B784" s="707">
        <v>293</v>
      </c>
      <c r="C784" s="957" t="s">
        <v>2622</v>
      </c>
      <c r="D784" s="957" t="s">
        <v>8</v>
      </c>
      <c r="E784" s="219">
        <v>32</v>
      </c>
      <c r="F784" s="957" t="s">
        <v>2620</v>
      </c>
      <c r="G784" s="957" t="s">
        <v>2621</v>
      </c>
      <c r="H784" s="148">
        <v>0.22</v>
      </c>
      <c r="I784" s="146">
        <v>51</v>
      </c>
      <c r="J784" s="139">
        <v>0</v>
      </c>
      <c r="K784" s="139">
        <v>0</v>
      </c>
      <c r="L784" s="148">
        <v>0</v>
      </c>
      <c r="M784" s="148">
        <v>0</v>
      </c>
      <c r="N784" s="148">
        <v>0</v>
      </c>
      <c r="O784" s="148">
        <v>0</v>
      </c>
      <c r="P784" s="118"/>
      <c r="Q784" s="377"/>
      <c r="R784" s="381"/>
      <c r="S784" s="381"/>
      <c r="T784" s="379"/>
      <c r="U784" s="379"/>
      <c r="V784" s="379"/>
      <c r="W784" s="379"/>
      <c r="X784" s="380"/>
      <c r="Y784" s="377"/>
      <c r="Z784" s="381"/>
      <c r="AA784" s="381"/>
      <c r="AB784" s="379"/>
      <c r="AC784" s="379"/>
      <c r="AD784" s="379"/>
      <c r="AE784" s="379"/>
      <c r="AF784" s="380"/>
    </row>
    <row r="785" spans="1:32" ht="8.4499999999999993" customHeight="1" x14ac:dyDescent="0.2">
      <c r="A785" s="252" t="str">
        <f t="shared" si="4"/>
        <v xml:space="preserve">18.001.000.002 </v>
      </c>
      <c r="B785" s="707">
        <v>294</v>
      </c>
      <c r="C785" s="957" t="s">
        <v>2623</v>
      </c>
      <c r="D785" s="957" t="s">
        <v>8</v>
      </c>
      <c r="E785" s="219">
        <v>32</v>
      </c>
      <c r="F785" s="957" t="s">
        <v>2620</v>
      </c>
      <c r="G785" s="957" t="s">
        <v>2621</v>
      </c>
      <c r="H785" s="148">
        <v>0.03</v>
      </c>
      <c r="I785" s="146">
        <v>13</v>
      </c>
      <c r="J785" s="139">
        <v>0</v>
      </c>
      <c r="K785" s="139">
        <v>0</v>
      </c>
      <c r="L785" s="148">
        <v>0</v>
      </c>
      <c r="M785" s="148">
        <v>0</v>
      </c>
      <c r="N785" s="148">
        <v>0</v>
      </c>
      <c r="O785" s="148">
        <v>0</v>
      </c>
      <c r="P785" s="118"/>
      <c r="Q785" s="381"/>
      <c r="R785" s="381"/>
      <c r="S785" s="381"/>
      <c r="T785" s="379"/>
      <c r="U785" s="379"/>
      <c r="V785" s="379"/>
      <c r="W785" s="379"/>
      <c r="X785" s="380"/>
      <c r="Y785" s="381"/>
      <c r="Z785" s="381"/>
      <c r="AA785" s="381"/>
      <c r="AB785" s="379"/>
      <c r="AC785" s="379"/>
      <c r="AD785" s="379"/>
      <c r="AE785" s="379"/>
      <c r="AF785" s="380"/>
    </row>
    <row r="786" spans="1:32" ht="8.4499999999999993" customHeight="1" x14ac:dyDescent="0.2">
      <c r="A786" s="252" t="str">
        <f t="shared" si="4"/>
        <v xml:space="preserve">18.001.000.003 </v>
      </c>
      <c r="B786" s="707">
        <v>295</v>
      </c>
      <c r="C786" s="957" t="s">
        <v>2624</v>
      </c>
      <c r="D786" s="957" t="s">
        <v>8</v>
      </c>
      <c r="E786" s="706">
        <v>5</v>
      </c>
      <c r="F786" s="957" t="s">
        <v>2196</v>
      </c>
      <c r="G786" s="957" t="s">
        <v>2621</v>
      </c>
      <c r="H786" s="148">
        <v>0.01</v>
      </c>
      <c r="I786" s="139">
        <v>1</v>
      </c>
      <c r="J786" s="139">
        <v>0</v>
      </c>
      <c r="K786" s="139">
        <v>0</v>
      </c>
      <c r="L786" s="148">
        <v>0</v>
      </c>
      <c r="M786" s="148">
        <v>0</v>
      </c>
      <c r="N786" s="148">
        <v>0</v>
      </c>
      <c r="O786" s="148">
        <v>0</v>
      </c>
      <c r="P786" s="118"/>
      <c r="Q786" s="381"/>
      <c r="R786" s="381"/>
      <c r="S786" s="381"/>
      <c r="T786" s="379"/>
      <c r="U786" s="379"/>
      <c r="V786" s="379"/>
      <c r="W786" s="379"/>
      <c r="X786" s="380"/>
      <c r="Y786" s="381"/>
      <c r="Z786" s="381"/>
      <c r="AA786" s="381"/>
      <c r="AB786" s="379"/>
      <c r="AC786" s="379"/>
      <c r="AD786" s="379"/>
      <c r="AE786" s="379"/>
      <c r="AF786" s="380"/>
    </row>
    <row r="787" spans="1:32" ht="8.4499999999999993" customHeight="1" x14ac:dyDescent="0.2">
      <c r="A787" s="252" t="str">
        <f t="shared" si="4"/>
        <v xml:space="preserve">18.002 </v>
      </c>
      <c r="B787" s="116">
        <v>296</v>
      </c>
      <c r="C787" s="137" t="s">
        <v>362</v>
      </c>
      <c r="D787" s="137"/>
      <c r="E787" s="115">
        <v>74</v>
      </c>
      <c r="F787" s="137" t="s">
        <v>2615</v>
      </c>
      <c r="G787" s="137" t="s">
        <v>2621</v>
      </c>
      <c r="H787" s="138"/>
      <c r="I787" s="138"/>
      <c r="J787" s="138"/>
      <c r="K787" s="138"/>
      <c r="L787" s="138"/>
      <c r="M787" s="138"/>
      <c r="N787" s="138"/>
      <c r="O787" s="138"/>
      <c r="P787" s="138"/>
      <c r="Q787" s="381"/>
      <c r="R787" s="381"/>
      <c r="S787" s="381"/>
      <c r="T787" s="379"/>
      <c r="U787" s="379"/>
      <c r="V787" s="379"/>
      <c r="W787" s="379"/>
      <c r="X787" s="380"/>
      <c r="Y787" s="381"/>
      <c r="Z787" s="381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tr">
        <f t="shared" si="4"/>
        <v xml:space="preserve">18.002.000.001 </v>
      </c>
      <c r="B788" s="707">
        <v>297</v>
      </c>
      <c r="C788" s="957" t="s">
        <v>2625</v>
      </c>
      <c r="D788" s="957" t="s">
        <v>8</v>
      </c>
      <c r="E788" s="219">
        <v>50</v>
      </c>
      <c r="F788" s="957" t="s">
        <v>2615</v>
      </c>
      <c r="G788" s="957" t="s">
        <v>2181</v>
      </c>
      <c r="H788" s="148">
        <v>0.05</v>
      </c>
      <c r="I788" s="146">
        <v>15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tr">
        <f t="shared" si="4"/>
        <v xml:space="preserve">18.002.000.002 </v>
      </c>
      <c r="B789" s="707">
        <v>298</v>
      </c>
      <c r="C789" s="957" t="s">
        <v>2626</v>
      </c>
      <c r="D789" s="957" t="s">
        <v>8</v>
      </c>
      <c r="E789" s="219">
        <v>32</v>
      </c>
      <c r="F789" s="957" t="s">
        <v>2620</v>
      </c>
      <c r="G789" s="957" t="s">
        <v>2621</v>
      </c>
      <c r="H789" s="148">
        <v>0.03</v>
      </c>
      <c r="I789" s="146">
        <v>15</v>
      </c>
      <c r="J789" s="139">
        <v>0</v>
      </c>
      <c r="K789" s="139">
        <v>0</v>
      </c>
      <c r="L789" s="148">
        <v>0</v>
      </c>
      <c r="M789" s="148">
        <v>0</v>
      </c>
      <c r="N789" s="148">
        <v>0</v>
      </c>
      <c r="O789" s="148">
        <v>0</v>
      </c>
      <c r="P789" s="118"/>
      <c r="Q789" s="381"/>
      <c r="R789" s="381"/>
      <c r="S789" s="381"/>
      <c r="T789" s="379"/>
      <c r="U789" s="379"/>
      <c r="V789" s="379"/>
      <c r="W789" s="379"/>
      <c r="X789" s="380"/>
      <c r="Y789" s="381"/>
      <c r="Z789" s="381"/>
      <c r="AA789" s="381"/>
      <c r="AB789" s="379"/>
      <c r="AC789" s="379"/>
      <c r="AD789" s="379"/>
      <c r="AE789" s="379"/>
      <c r="AF789" s="380"/>
    </row>
    <row r="790" spans="1:32" ht="8.4499999999999993" customHeight="1" x14ac:dyDescent="0.2">
      <c r="A790" s="252" t="str">
        <f t="shared" si="4"/>
        <v xml:space="preserve">18.002.000.003 </v>
      </c>
      <c r="B790" s="707">
        <v>299</v>
      </c>
      <c r="C790" s="957" t="s">
        <v>2627</v>
      </c>
      <c r="D790" s="957" t="s">
        <v>8</v>
      </c>
      <c r="E790" s="219">
        <v>32</v>
      </c>
      <c r="F790" s="957" t="s">
        <v>2620</v>
      </c>
      <c r="G790" s="957" t="s">
        <v>2621</v>
      </c>
      <c r="H790" s="148">
        <v>0.18</v>
      </c>
      <c r="I790" s="146">
        <v>49</v>
      </c>
      <c r="J790" s="139">
        <v>0</v>
      </c>
      <c r="K790" s="139">
        <v>0</v>
      </c>
      <c r="L790" s="148">
        <v>0</v>
      </c>
      <c r="M790" s="148">
        <v>0</v>
      </c>
      <c r="N790" s="148">
        <v>0</v>
      </c>
      <c r="O790" s="148">
        <v>0</v>
      </c>
      <c r="P790" s="118"/>
      <c r="Q790" s="381"/>
      <c r="R790" s="381"/>
      <c r="S790" s="381"/>
      <c r="T790" s="379"/>
      <c r="U790" s="379"/>
      <c r="V790" s="379"/>
      <c r="W790" s="379"/>
      <c r="X790" s="380"/>
      <c r="Y790" s="381"/>
      <c r="Z790" s="381"/>
      <c r="AA790" s="381"/>
      <c r="AB790" s="379"/>
      <c r="AC790" s="379"/>
      <c r="AD790" s="379"/>
      <c r="AE790" s="379"/>
      <c r="AF790" s="380"/>
    </row>
    <row r="791" spans="1:32" ht="8.4499999999999993" customHeight="1" x14ac:dyDescent="0.2">
      <c r="A791" s="252" t="str">
        <f t="shared" si="4"/>
        <v xml:space="preserve">18.003 </v>
      </c>
      <c r="B791" s="116">
        <v>300</v>
      </c>
      <c r="C791" s="137" t="s">
        <v>363</v>
      </c>
      <c r="D791" s="137"/>
      <c r="E791" s="115">
        <v>32</v>
      </c>
      <c r="F791" s="137" t="s">
        <v>2620</v>
      </c>
      <c r="G791" s="137" t="s">
        <v>2621</v>
      </c>
      <c r="H791" s="138"/>
      <c r="I791" s="138"/>
      <c r="J791" s="138"/>
      <c r="K791" s="138"/>
      <c r="L791" s="138"/>
      <c r="M791" s="138"/>
      <c r="N791" s="138"/>
      <c r="O791" s="138"/>
      <c r="P791" s="138"/>
      <c r="Q791" s="381"/>
      <c r="R791" s="381"/>
      <c r="S791" s="381"/>
      <c r="T791" s="379"/>
      <c r="U791" s="379"/>
      <c r="V791" s="379"/>
      <c r="W791" s="379"/>
      <c r="X791" s="380"/>
      <c r="Y791" s="381"/>
      <c r="Z791" s="381"/>
      <c r="AA791" s="381"/>
      <c r="AB791" s="379"/>
      <c r="AC791" s="379"/>
      <c r="AD791" s="379"/>
      <c r="AE791" s="379"/>
      <c r="AF791" s="380"/>
    </row>
    <row r="792" spans="1:32" ht="8.4499999999999993" customHeight="1" x14ac:dyDescent="0.2">
      <c r="A792" s="252" t="str">
        <f t="shared" si="4"/>
        <v xml:space="preserve">18.003.000.001 </v>
      </c>
      <c r="B792" s="707">
        <v>301</v>
      </c>
      <c r="C792" s="957" t="s">
        <v>2628</v>
      </c>
      <c r="D792" s="957" t="s">
        <v>8</v>
      </c>
      <c r="E792" s="219">
        <v>32</v>
      </c>
      <c r="F792" s="957" t="s">
        <v>2620</v>
      </c>
      <c r="G792" s="957" t="s">
        <v>2621</v>
      </c>
      <c r="H792" s="148">
        <v>0.03</v>
      </c>
      <c r="I792" s="146">
        <v>13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81"/>
      <c r="R792" s="381"/>
      <c r="S792" s="381"/>
      <c r="T792" s="379"/>
      <c r="U792" s="379"/>
      <c r="V792" s="379"/>
      <c r="W792" s="379"/>
      <c r="X792" s="380"/>
      <c r="Y792" s="381"/>
      <c r="Z792" s="381"/>
      <c r="AA792" s="381"/>
      <c r="AB792" s="379"/>
      <c r="AC792" s="379"/>
      <c r="AD792" s="379"/>
      <c r="AE792" s="379"/>
      <c r="AF792" s="380"/>
    </row>
    <row r="793" spans="1:32" ht="8.4499999999999993" customHeight="1" x14ac:dyDescent="0.2">
      <c r="A793" s="252" t="str">
        <f t="shared" si="4"/>
        <v xml:space="preserve">18.004 </v>
      </c>
      <c r="B793" s="116">
        <v>302</v>
      </c>
      <c r="C793" s="137" t="s">
        <v>364</v>
      </c>
      <c r="D793" s="137"/>
      <c r="E793" s="115">
        <v>32</v>
      </c>
      <c r="F793" s="137" t="s">
        <v>2620</v>
      </c>
      <c r="G793" s="137" t="s">
        <v>2621</v>
      </c>
      <c r="H793" s="138"/>
      <c r="I793" s="138"/>
      <c r="J793" s="138"/>
      <c r="K793" s="138"/>
      <c r="L793" s="138"/>
      <c r="M793" s="138"/>
      <c r="N793" s="138"/>
      <c r="O793" s="138"/>
      <c r="P793" s="138"/>
      <c r="Q793" s="381"/>
      <c r="R793" s="381"/>
      <c r="S793" s="381"/>
      <c r="T793" s="379"/>
      <c r="U793" s="379"/>
      <c r="V793" s="379"/>
      <c r="W793" s="379"/>
      <c r="X793" s="380"/>
      <c r="Y793" s="381"/>
      <c r="Z793" s="381"/>
      <c r="AA793" s="381"/>
      <c r="AB793" s="379"/>
      <c r="AC793" s="379"/>
      <c r="AD793" s="379"/>
      <c r="AE793" s="379"/>
      <c r="AF793" s="380"/>
    </row>
    <row r="794" spans="1:32" ht="8.4499999999999993" customHeight="1" x14ac:dyDescent="0.2">
      <c r="A794" s="252" t="str">
        <f t="shared" si="4"/>
        <v xml:space="preserve">18.004.000.001 </v>
      </c>
      <c r="B794" s="707">
        <v>303</v>
      </c>
      <c r="C794" s="957" t="s">
        <v>2629</v>
      </c>
      <c r="D794" s="957" t="s">
        <v>8</v>
      </c>
      <c r="E794" s="219">
        <v>32</v>
      </c>
      <c r="F794" s="957" t="s">
        <v>2620</v>
      </c>
      <c r="G794" s="957" t="s">
        <v>2621</v>
      </c>
      <c r="H794" s="148">
        <v>0.01</v>
      </c>
      <c r="I794" s="146">
        <v>13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9"/>
      <c r="U794" s="379"/>
      <c r="V794" s="379"/>
      <c r="W794" s="379"/>
      <c r="X794" s="380"/>
      <c r="Y794" s="381"/>
      <c r="Z794" s="381"/>
      <c r="AA794" s="381"/>
      <c r="AB794" s="379"/>
      <c r="AC794" s="379"/>
      <c r="AD794" s="379"/>
      <c r="AE794" s="379"/>
      <c r="AF794" s="380"/>
    </row>
    <row r="795" spans="1:32" ht="8.4499999999999993" customHeight="1" x14ac:dyDescent="0.2">
      <c r="A795" s="252" t="str">
        <f t="shared" si="4"/>
        <v xml:space="preserve">18.005 </v>
      </c>
      <c r="B795" s="116">
        <v>304</v>
      </c>
      <c r="C795" s="137" t="s">
        <v>365</v>
      </c>
      <c r="D795" s="137"/>
      <c r="E795" s="115">
        <v>26</v>
      </c>
      <c r="F795" s="137" t="s">
        <v>2196</v>
      </c>
      <c r="G795" s="137" t="s">
        <v>2566</v>
      </c>
      <c r="H795" s="138"/>
      <c r="I795" s="138"/>
      <c r="J795" s="138"/>
      <c r="K795" s="138"/>
      <c r="L795" s="138"/>
      <c r="M795" s="138"/>
      <c r="N795" s="138"/>
      <c r="O795" s="138"/>
      <c r="P795" s="138"/>
      <c r="Q795" s="381"/>
      <c r="R795" s="381"/>
      <c r="S795" s="381"/>
      <c r="T795" s="379"/>
      <c r="U795" s="379"/>
      <c r="V795" s="379"/>
      <c r="W795" s="379"/>
      <c r="X795" s="380"/>
      <c r="Y795" s="381"/>
      <c r="Z795" s="381"/>
      <c r="AA795" s="381"/>
      <c r="AB795" s="379"/>
      <c r="AC795" s="379"/>
      <c r="AD795" s="379"/>
      <c r="AE795" s="379"/>
      <c r="AF795" s="380"/>
    </row>
    <row r="796" spans="1:32" ht="8.4499999999999993" customHeight="1" x14ac:dyDescent="0.2">
      <c r="A796" s="252" t="str">
        <f t="shared" si="4"/>
        <v xml:space="preserve">18.005.000.001 </v>
      </c>
      <c r="B796" s="707">
        <v>305</v>
      </c>
      <c r="C796" s="957" t="s">
        <v>2630</v>
      </c>
      <c r="D796" s="957" t="s">
        <v>8</v>
      </c>
      <c r="E796" s="219">
        <v>26</v>
      </c>
      <c r="F796" s="957" t="s">
        <v>2196</v>
      </c>
      <c r="G796" s="957" t="s">
        <v>2566</v>
      </c>
      <c r="H796" s="148">
        <v>0.01</v>
      </c>
      <c r="I796" s="146">
        <v>13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9"/>
      <c r="U796" s="379"/>
      <c r="V796" s="379"/>
      <c r="W796" s="379"/>
      <c r="X796" s="380"/>
      <c r="Y796" s="381"/>
      <c r="Z796" s="381"/>
      <c r="AA796" s="381"/>
      <c r="AB796" s="379"/>
      <c r="AC796" s="379"/>
      <c r="AD796" s="379"/>
      <c r="AE796" s="379"/>
      <c r="AF796" s="380"/>
    </row>
    <row r="797" spans="1:32" ht="8.4499999999999993" customHeight="1" x14ac:dyDescent="0.2">
      <c r="A797" s="252" t="str">
        <f t="shared" si="4"/>
        <v xml:space="preserve">18.005.000.002 </v>
      </c>
      <c r="B797" s="707">
        <v>306</v>
      </c>
      <c r="C797" s="957" t="s">
        <v>2631</v>
      </c>
      <c r="D797" s="957" t="s">
        <v>8</v>
      </c>
      <c r="E797" s="219">
        <v>26</v>
      </c>
      <c r="F797" s="957" t="s">
        <v>2196</v>
      </c>
      <c r="G797" s="957" t="s">
        <v>2566</v>
      </c>
      <c r="H797" s="148">
        <v>0.01</v>
      </c>
      <c r="I797" s="146">
        <v>13</v>
      </c>
      <c r="J797" s="139">
        <v>0</v>
      </c>
      <c r="K797" s="139">
        <v>0</v>
      </c>
      <c r="L797" s="148">
        <v>0</v>
      </c>
      <c r="M797" s="148">
        <v>0</v>
      </c>
      <c r="N797" s="148">
        <v>0</v>
      </c>
      <c r="O797" s="148">
        <v>0</v>
      </c>
      <c r="P797" s="118"/>
      <c r="Q797" s="381"/>
      <c r="R797" s="381"/>
      <c r="S797" s="381"/>
      <c r="T797" s="379"/>
      <c r="U797" s="379"/>
      <c r="V797" s="379"/>
      <c r="W797" s="379"/>
      <c r="X797" s="380"/>
      <c r="Y797" s="381"/>
      <c r="Z797" s="381"/>
      <c r="AA797" s="381"/>
      <c r="AB797" s="379"/>
      <c r="AC797" s="379"/>
      <c r="AD797" s="379"/>
      <c r="AE797" s="379"/>
      <c r="AF797" s="380"/>
    </row>
    <row r="798" spans="1:32" ht="8.4499999999999993" customHeight="1" x14ac:dyDescent="0.2">
      <c r="A798" s="252" t="str">
        <f t="shared" si="4"/>
        <v xml:space="preserve">18.005.000.003 </v>
      </c>
      <c r="B798" s="707">
        <v>307</v>
      </c>
      <c r="C798" s="957" t="s">
        <v>2632</v>
      </c>
      <c r="D798" s="957" t="s">
        <v>8</v>
      </c>
      <c r="E798" s="219">
        <v>26</v>
      </c>
      <c r="F798" s="957" t="s">
        <v>2196</v>
      </c>
      <c r="G798" s="957" t="s">
        <v>2566</v>
      </c>
      <c r="H798" s="148">
        <v>0.04</v>
      </c>
      <c r="I798" s="146">
        <v>15</v>
      </c>
      <c r="J798" s="139">
        <v>0</v>
      </c>
      <c r="K798" s="139">
        <v>0</v>
      </c>
      <c r="L798" s="148">
        <v>0</v>
      </c>
      <c r="M798" s="148">
        <v>0</v>
      </c>
      <c r="N798" s="148">
        <v>0</v>
      </c>
      <c r="O798" s="148">
        <v>0</v>
      </c>
      <c r="P798" s="11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tr">
        <f t="shared" si="4"/>
        <v xml:space="preserve">18.005.000.004 </v>
      </c>
      <c r="B799" s="707">
        <v>308</v>
      </c>
      <c r="C799" s="957" t="s">
        <v>2633</v>
      </c>
      <c r="D799" s="957" t="s">
        <v>8</v>
      </c>
      <c r="E799" s="219">
        <v>26</v>
      </c>
      <c r="F799" s="957" t="s">
        <v>2196</v>
      </c>
      <c r="G799" s="957" t="s">
        <v>2566</v>
      </c>
      <c r="H799" s="148">
        <v>0</v>
      </c>
      <c r="I799" s="139">
        <v>7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tr">
        <f t="shared" si="4"/>
        <v xml:space="preserve">18.005.000.005 </v>
      </c>
      <c r="B800" s="707">
        <v>309</v>
      </c>
      <c r="C800" s="957" t="s">
        <v>2634</v>
      </c>
      <c r="D800" s="957" t="s">
        <v>8</v>
      </c>
      <c r="E800" s="219">
        <v>26</v>
      </c>
      <c r="F800" s="957" t="s">
        <v>2196</v>
      </c>
      <c r="G800" s="957" t="s">
        <v>2566</v>
      </c>
      <c r="H800" s="148">
        <v>0.14000000000000001</v>
      </c>
      <c r="I800" s="146">
        <v>49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81"/>
      <c r="R800" s="381"/>
      <c r="S800" s="381"/>
      <c r="T800" s="379"/>
      <c r="U800" s="379"/>
      <c r="V800" s="379"/>
      <c r="W800" s="379"/>
      <c r="X800" s="380"/>
      <c r="Y800" s="381"/>
      <c r="Z800" s="381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tr">
        <f t="shared" si="4"/>
        <v xml:space="preserve">18.005.000.006 </v>
      </c>
      <c r="B801" s="707">
        <v>310</v>
      </c>
      <c r="C801" s="957" t="s">
        <v>2635</v>
      </c>
      <c r="D801" s="957" t="s">
        <v>8</v>
      </c>
      <c r="E801" s="219">
        <v>26</v>
      </c>
      <c r="F801" s="957" t="s">
        <v>2196</v>
      </c>
      <c r="G801" s="957" t="s">
        <v>2566</v>
      </c>
      <c r="H801" s="148">
        <v>0.05</v>
      </c>
      <c r="I801" s="146">
        <v>15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1"/>
      <c r="R801" s="381"/>
      <c r="S801" s="381"/>
      <c r="T801" s="379"/>
      <c r="U801" s="379"/>
      <c r="V801" s="379"/>
      <c r="W801" s="379"/>
      <c r="X801" s="380"/>
      <c r="Y801" s="381"/>
      <c r="Z801" s="381"/>
      <c r="AA801" s="381"/>
      <c r="AB801" s="379"/>
      <c r="AC801" s="379"/>
      <c r="AD801" s="379"/>
      <c r="AE801" s="379"/>
      <c r="AF801" s="380"/>
    </row>
    <row r="802" spans="1:32" ht="8.4499999999999993" customHeight="1" x14ac:dyDescent="0.2">
      <c r="A802" s="252" t="str">
        <f t="shared" si="4"/>
        <v xml:space="preserve">18.005.000.007 </v>
      </c>
      <c r="B802" s="707">
        <v>311</v>
      </c>
      <c r="C802" s="957" t="s">
        <v>2636</v>
      </c>
      <c r="D802" s="957" t="s">
        <v>8</v>
      </c>
      <c r="E802" s="219">
        <v>26</v>
      </c>
      <c r="F802" s="957" t="s">
        <v>2196</v>
      </c>
      <c r="G802" s="957" t="s">
        <v>2566</v>
      </c>
      <c r="H802" s="148">
        <v>0.08</v>
      </c>
      <c r="I802" s="146">
        <v>36</v>
      </c>
      <c r="J802" s="139">
        <v>0</v>
      </c>
      <c r="K802" s="139">
        <v>0</v>
      </c>
      <c r="L802" s="148">
        <v>0</v>
      </c>
      <c r="M802" s="148">
        <v>0</v>
      </c>
      <c r="N802" s="148">
        <v>0</v>
      </c>
      <c r="O802" s="148">
        <v>0</v>
      </c>
      <c r="P802" s="118"/>
      <c r="Q802" s="381"/>
      <c r="R802" s="381"/>
      <c r="S802" s="381"/>
      <c r="T802" s="379"/>
      <c r="U802" s="379"/>
      <c r="V802" s="379"/>
      <c r="W802" s="379"/>
      <c r="X802" s="380"/>
      <c r="Y802" s="381"/>
      <c r="Z802" s="381"/>
      <c r="AA802" s="381"/>
      <c r="AB802" s="379"/>
      <c r="AC802" s="379"/>
      <c r="AD802" s="379"/>
      <c r="AE802" s="379"/>
      <c r="AF802" s="380"/>
    </row>
    <row r="803" spans="1:32" ht="8.4499999999999993" customHeight="1" x14ac:dyDescent="0.2">
      <c r="A803" s="252" t="str">
        <f t="shared" si="4"/>
        <v xml:space="preserve">18.006 </v>
      </c>
      <c r="B803" s="116">
        <v>312</v>
      </c>
      <c r="C803" s="137" t="s">
        <v>366</v>
      </c>
      <c r="D803" s="137"/>
      <c r="E803" s="115">
        <v>26</v>
      </c>
      <c r="F803" s="137" t="s">
        <v>2196</v>
      </c>
      <c r="G803" s="137" t="s">
        <v>2566</v>
      </c>
      <c r="H803" s="138"/>
      <c r="I803" s="138"/>
      <c r="J803" s="138"/>
      <c r="K803" s="138"/>
      <c r="L803" s="138"/>
      <c r="M803" s="138"/>
      <c r="N803" s="138"/>
      <c r="O803" s="138"/>
      <c r="P803" s="138"/>
      <c r="Q803" s="381"/>
      <c r="R803" s="381"/>
      <c r="S803" s="381"/>
      <c r="T803" s="379"/>
      <c r="U803" s="379"/>
      <c r="V803" s="379"/>
      <c r="W803" s="379"/>
      <c r="X803" s="380"/>
      <c r="Y803" s="381"/>
      <c r="Z803" s="381"/>
      <c r="AA803" s="381"/>
      <c r="AB803" s="379"/>
      <c r="AC803" s="379"/>
      <c r="AD803" s="379"/>
      <c r="AE803" s="379"/>
      <c r="AF803" s="380"/>
    </row>
    <row r="804" spans="1:32" ht="8.4499999999999993" customHeight="1" x14ac:dyDescent="0.2">
      <c r="A804" s="252" t="str">
        <f t="shared" si="4"/>
        <v xml:space="preserve">18.006.000.001 </v>
      </c>
      <c r="B804" s="707">
        <v>313</v>
      </c>
      <c r="C804" s="957" t="s">
        <v>2637</v>
      </c>
      <c r="D804" s="957" t="s">
        <v>8</v>
      </c>
      <c r="E804" s="219">
        <v>26</v>
      </c>
      <c r="F804" s="957" t="s">
        <v>2196</v>
      </c>
      <c r="G804" s="957" t="s">
        <v>2566</v>
      </c>
      <c r="H804" s="148">
        <v>0.06</v>
      </c>
      <c r="I804" s="144">
        <v>140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81"/>
      <c r="R804" s="381"/>
      <c r="S804" s="381"/>
      <c r="T804" s="379"/>
      <c r="U804" s="379"/>
      <c r="V804" s="379"/>
      <c r="W804" s="379"/>
      <c r="X804" s="380"/>
      <c r="Y804" s="381"/>
      <c r="Z804" s="381"/>
      <c r="AA804" s="381"/>
      <c r="AB804" s="379"/>
      <c r="AC804" s="379"/>
      <c r="AD804" s="379"/>
      <c r="AE804" s="379"/>
      <c r="AF804" s="380"/>
    </row>
    <row r="805" spans="1:32" ht="8.4499999999999993" customHeight="1" x14ac:dyDescent="0.2">
      <c r="A805" s="252" t="str">
        <f t="shared" si="4"/>
        <v xml:space="preserve">18.007 </v>
      </c>
      <c r="B805" s="116">
        <v>314</v>
      </c>
      <c r="C805" s="137" t="s">
        <v>367</v>
      </c>
      <c r="D805" s="137"/>
      <c r="E805" s="115">
        <v>85</v>
      </c>
      <c r="F805" s="137" t="s">
        <v>2033</v>
      </c>
      <c r="G805" s="137" t="s">
        <v>2380</v>
      </c>
      <c r="H805" s="138"/>
      <c r="I805" s="138"/>
      <c r="J805" s="138"/>
      <c r="K805" s="138"/>
      <c r="L805" s="138"/>
      <c r="M805" s="138"/>
      <c r="N805" s="138"/>
      <c r="O805" s="138"/>
      <c r="P805" s="138"/>
      <c r="Q805" s="381"/>
      <c r="R805" s="381"/>
      <c r="S805" s="381"/>
      <c r="T805" s="379"/>
      <c r="U805" s="379"/>
      <c r="V805" s="379"/>
      <c r="W805" s="379"/>
      <c r="X805" s="380"/>
      <c r="Y805" s="381"/>
      <c r="Z805" s="381"/>
      <c r="AA805" s="381"/>
      <c r="AB805" s="379"/>
      <c r="AC805" s="379"/>
      <c r="AD805" s="379"/>
      <c r="AE805" s="379"/>
      <c r="AF805" s="380"/>
    </row>
    <row r="806" spans="1:32" ht="8.4499999999999993" customHeight="1" x14ac:dyDescent="0.2">
      <c r="A806" s="252" t="str">
        <f t="shared" si="4"/>
        <v xml:space="preserve">18.007.000.001 </v>
      </c>
      <c r="B806" s="707">
        <v>315</v>
      </c>
      <c r="C806" s="957" t="s">
        <v>2638</v>
      </c>
      <c r="D806" s="957" t="s">
        <v>8</v>
      </c>
      <c r="E806" s="219">
        <v>11</v>
      </c>
      <c r="F806" s="957" t="s">
        <v>2639</v>
      </c>
      <c r="G806" s="957" t="s">
        <v>2380</v>
      </c>
      <c r="H806" s="148">
        <v>0</v>
      </c>
      <c r="I806" s="139">
        <v>1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81"/>
      <c r="R806" s="381"/>
      <c r="S806" s="381"/>
      <c r="T806" s="379"/>
      <c r="U806" s="379"/>
      <c r="V806" s="379"/>
      <c r="W806" s="379"/>
      <c r="X806" s="380"/>
      <c r="Y806" s="381"/>
      <c r="Z806" s="381"/>
      <c r="AA806" s="381"/>
      <c r="AB806" s="379"/>
      <c r="AC806" s="379"/>
      <c r="AD806" s="379"/>
      <c r="AE806" s="379"/>
      <c r="AF806" s="380"/>
    </row>
    <row r="807" spans="1:32" ht="8.4499999999999993" customHeight="1" x14ac:dyDescent="0.2">
      <c r="A807" s="252" t="str">
        <f t="shared" si="4"/>
        <v xml:space="preserve">18.007.000.002 </v>
      </c>
      <c r="B807" s="707">
        <v>316</v>
      </c>
      <c r="C807" s="957" t="s">
        <v>2640</v>
      </c>
      <c r="D807" s="957" t="s">
        <v>8</v>
      </c>
      <c r="E807" s="219">
        <v>20</v>
      </c>
      <c r="F807" s="957" t="s">
        <v>2033</v>
      </c>
      <c r="G807" s="957" t="s">
        <v>2010</v>
      </c>
      <c r="H807" s="148">
        <v>0.37</v>
      </c>
      <c r="I807" s="139">
        <v>2</v>
      </c>
      <c r="J807" s="139">
        <v>0</v>
      </c>
      <c r="K807" s="139">
        <v>0</v>
      </c>
      <c r="L807" s="148">
        <v>0</v>
      </c>
      <c r="M807" s="148">
        <v>0</v>
      </c>
      <c r="N807" s="148">
        <v>0</v>
      </c>
      <c r="O807" s="148">
        <v>0</v>
      </c>
      <c r="P807" s="118"/>
      <c r="Q807" s="381"/>
      <c r="R807" s="381"/>
      <c r="S807" s="381"/>
      <c r="T807" s="379"/>
      <c r="U807" s="379"/>
      <c r="V807" s="379"/>
      <c r="W807" s="379"/>
      <c r="X807" s="380"/>
      <c r="Y807" s="381"/>
      <c r="Z807" s="381"/>
      <c r="AA807" s="381"/>
      <c r="AB807" s="379"/>
      <c r="AC807" s="379"/>
      <c r="AD807" s="379"/>
      <c r="AE807" s="379"/>
      <c r="AF807" s="380"/>
    </row>
    <row r="808" spans="1:32" ht="8.4499999999999993" customHeight="1" x14ac:dyDescent="0.2">
      <c r="A808" s="252" t="str">
        <f t="shared" si="4"/>
        <v xml:space="preserve">19 </v>
      </c>
      <c r="B808" s="116">
        <v>317</v>
      </c>
      <c r="C808" s="137" t="s">
        <v>61</v>
      </c>
      <c r="D808" s="137"/>
      <c r="E808" s="116">
        <v>216</v>
      </c>
      <c r="F808" s="137" t="s">
        <v>2182</v>
      </c>
      <c r="G808" s="137" t="s">
        <v>2566</v>
      </c>
      <c r="H808" s="138"/>
      <c r="I808" s="138"/>
      <c r="J808" s="138"/>
      <c r="K808" s="138"/>
      <c r="L808" s="138"/>
      <c r="M808" s="138"/>
      <c r="N808" s="138"/>
      <c r="O808" s="138"/>
      <c r="P808" s="138"/>
      <c r="Q808" s="381"/>
      <c r="R808" s="381"/>
      <c r="S808" s="381"/>
      <c r="T808" s="379"/>
      <c r="U808" s="379"/>
      <c r="V808" s="379"/>
      <c r="W808" s="379"/>
      <c r="X808" s="380"/>
      <c r="Y808" s="381"/>
      <c r="Z808" s="381"/>
      <c r="AA808" s="381"/>
      <c r="AB808" s="379"/>
      <c r="AC808" s="379"/>
      <c r="AD808" s="379"/>
      <c r="AE808" s="379"/>
      <c r="AF808" s="380"/>
    </row>
    <row r="809" spans="1:32" ht="8.4499999999999993" customHeight="1" x14ac:dyDescent="0.2">
      <c r="A809" s="252" t="str">
        <f t="shared" si="4"/>
        <v xml:space="preserve">19.000.000.001 </v>
      </c>
      <c r="B809" s="707">
        <v>318</v>
      </c>
      <c r="C809" s="957" t="s">
        <v>2641</v>
      </c>
      <c r="D809" s="957" t="s">
        <v>7</v>
      </c>
      <c r="E809" s="957"/>
      <c r="F809" s="957" t="s">
        <v>2607</v>
      </c>
      <c r="G809" s="957" t="s">
        <v>2607</v>
      </c>
      <c r="H809" s="148">
        <v>1.49</v>
      </c>
      <c r="I809" s="139">
        <v>1</v>
      </c>
      <c r="J809" s="139">
        <v>0</v>
      </c>
      <c r="K809" s="139">
        <v>0</v>
      </c>
      <c r="L809" s="148">
        <v>0</v>
      </c>
      <c r="M809" s="148">
        <v>0</v>
      </c>
      <c r="N809" s="148">
        <v>0</v>
      </c>
      <c r="O809" s="148">
        <v>0</v>
      </c>
      <c r="P809" s="118"/>
      <c r="Q809" s="381"/>
      <c r="R809" s="381"/>
      <c r="S809" s="381"/>
      <c r="T809" s="379"/>
      <c r="U809" s="379"/>
      <c r="V809" s="379"/>
      <c r="W809" s="379"/>
      <c r="X809" s="380"/>
      <c r="Y809" s="381"/>
      <c r="Z809" s="381"/>
      <c r="AA809" s="381"/>
      <c r="AB809" s="379"/>
      <c r="AC809" s="379"/>
      <c r="AD809" s="379"/>
      <c r="AE809" s="379"/>
      <c r="AF809" s="380"/>
    </row>
    <row r="810" spans="1:32" ht="8.4499999999999993" customHeight="1" x14ac:dyDescent="0.2">
      <c r="A810" s="252" t="str">
        <f t="shared" si="4"/>
        <v xml:space="preserve">19.001 </v>
      </c>
      <c r="B810" s="116">
        <v>319</v>
      </c>
      <c r="C810" s="137" t="s">
        <v>368</v>
      </c>
      <c r="D810" s="137"/>
      <c r="E810" s="115">
        <v>86</v>
      </c>
      <c r="F810" s="137" t="s">
        <v>2174</v>
      </c>
      <c r="G810" s="137" t="s">
        <v>2195</v>
      </c>
      <c r="H810" s="138"/>
      <c r="I810" s="138"/>
      <c r="J810" s="138"/>
      <c r="K810" s="138"/>
      <c r="L810" s="138"/>
      <c r="M810" s="138"/>
      <c r="N810" s="138"/>
      <c r="O810" s="138"/>
      <c r="P810" s="138"/>
      <c r="Q810" s="381"/>
      <c r="R810" s="381"/>
      <c r="S810" s="381"/>
      <c r="T810" s="379"/>
      <c r="U810" s="379"/>
      <c r="V810" s="379"/>
      <c r="W810" s="379"/>
      <c r="X810" s="380"/>
      <c r="Y810" s="381"/>
      <c r="Z810" s="381"/>
      <c r="AA810" s="381"/>
      <c r="AB810" s="379"/>
      <c r="AC810" s="379"/>
      <c r="AD810" s="379"/>
      <c r="AE810" s="379"/>
      <c r="AF810" s="380"/>
    </row>
    <row r="811" spans="1:32" ht="8.4499999999999993" customHeight="1" x14ac:dyDescent="0.2">
      <c r="A811" s="252" t="str">
        <f t="shared" si="4"/>
        <v xml:space="preserve">19.001.000.001 </v>
      </c>
      <c r="B811" s="707">
        <v>320</v>
      </c>
      <c r="C811" s="957" t="s">
        <v>2642</v>
      </c>
      <c r="D811" s="957" t="s">
        <v>90</v>
      </c>
      <c r="E811" s="219">
        <v>86</v>
      </c>
      <c r="F811" s="957" t="s">
        <v>2174</v>
      </c>
      <c r="G811" s="957" t="s">
        <v>2195</v>
      </c>
      <c r="H811" s="148">
        <v>0.23</v>
      </c>
      <c r="I811" s="142">
        <v>4600.5</v>
      </c>
      <c r="J811" s="139">
        <v>0</v>
      </c>
      <c r="K811" s="139">
        <v>0</v>
      </c>
      <c r="L811" s="148">
        <v>0</v>
      </c>
      <c r="M811" s="148">
        <v>0</v>
      </c>
      <c r="N811" s="148">
        <v>0</v>
      </c>
      <c r="O811" s="148">
        <v>0</v>
      </c>
      <c r="P811" s="118"/>
      <c r="Q811" s="381"/>
      <c r="R811" s="381"/>
      <c r="S811" s="381"/>
      <c r="T811" s="379"/>
      <c r="U811" s="379"/>
      <c r="V811" s="379"/>
      <c r="W811" s="379"/>
      <c r="X811" s="380"/>
      <c r="Y811" s="381"/>
      <c r="Z811" s="381"/>
      <c r="AA811" s="381"/>
      <c r="AB811" s="379"/>
      <c r="AC811" s="379"/>
      <c r="AD811" s="379"/>
      <c r="AE811" s="379"/>
      <c r="AF811" s="380"/>
    </row>
    <row r="812" spans="1:32" ht="8.4499999999999993" customHeight="1" x14ac:dyDescent="0.2">
      <c r="A812" s="252" t="str">
        <f t="shared" ref="A812:A858" si="5">VLOOKUP($C812&amp;$B812,$A$2008:$G$2532,2,0)</f>
        <v xml:space="preserve">19.002 </v>
      </c>
      <c r="B812" s="116">
        <v>321</v>
      </c>
      <c r="C812" s="137" t="s">
        <v>268</v>
      </c>
      <c r="D812" s="137"/>
      <c r="E812" s="115">
        <v>68</v>
      </c>
      <c r="F812" s="137" t="s">
        <v>2174</v>
      </c>
      <c r="G812" s="137" t="s">
        <v>2621</v>
      </c>
      <c r="H812" s="138"/>
      <c r="I812" s="138"/>
      <c r="J812" s="138"/>
      <c r="K812" s="138"/>
      <c r="L812" s="138"/>
      <c r="M812" s="138"/>
      <c r="N812" s="138"/>
      <c r="O812" s="138"/>
      <c r="P812" s="138"/>
      <c r="Q812" s="381"/>
      <c r="R812" s="381"/>
      <c r="S812" s="381"/>
      <c r="T812" s="379"/>
      <c r="U812" s="379"/>
      <c r="V812" s="379"/>
      <c r="W812" s="379"/>
      <c r="X812" s="380"/>
      <c r="Y812" s="381"/>
      <c r="Z812" s="381"/>
      <c r="AA812" s="381"/>
      <c r="AB812" s="379"/>
      <c r="AC812" s="379"/>
      <c r="AD812" s="379"/>
      <c r="AE812" s="379"/>
      <c r="AF812" s="380"/>
    </row>
    <row r="813" spans="1:32" ht="8.4499999999999993" customHeight="1" x14ac:dyDescent="0.2">
      <c r="A813" s="252" t="str">
        <f t="shared" si="5"/>
        <v xml:space="preserve">19.002.000.001 </v>
      </c>
      <c r="B813" s="707">
        <v>322</v>
      </c>
      <c r="C813" s="957" t="s">
        <v>2643</v>
      </c>
      <c r="D813" s="957" t="s">
        <v>90</v>
      </c>
      <c r="E813" s="219">
        <v>68</v>
      </c>
      <c r="F813" s="957" t="s">
        <v>2174</v>
      </c>
      <c r="G813" s="957" t="s">
        <v>2621</v>
      </c>
      <c r="H813" s="148">
        <v>7.0000000000000007E-2</v>
      </c>
      <c r="I813" s="142">
        <v>4386.21</v>
      </c>
      <c r="J813" s="139">
        <v>0</v>
      </c>
      <c r="K813" s="139">
        <v>0</v>
      </c>
      <c r="L813" s="148">
        <v>0</v>
      </c>
      <c r="M813" s="148">
        <v>0</v>
      </c>
      <c r="N813" s="148">
        <v>0</v>
      </c>
      <c r="O813" s="148">
        <v>0</v>
      </c>
      <c r="P813" s="118"/>
      <c r="Q813" s="381"/>
      <c r="R813" s="381"/>
      <c r="S813" s="381"/>
      <c r="T813" s="379"/>
      <c r="U813" s="379"/>
      <c r="V813" s="379"/>
      <c r="W813" s="379"/>
      <c r="X813" s="380"/>
      <c r="Y813" s="381"/>
      <c r="Z813" s="381"/>
      <c r="AA813" s="381"/>
      <c r="AB813" s="379"/>
      <c r="AC813" s="379"/>
      <c r="AD813" s="379"/>
      <c r="AE813" s="379"/>
      <c r="AF813" s="380"/>
    </row>
    <row r="814" spans="1:32" ht="8.4499999999999993" customHeight="1" x14ac:dyDescent="0.2">
      <c r="A814" s="252" t="str">
        <f t="shared" si="5"/>
        <v xml:space="preserve">19.003 </v>
      </c>
      <c r="B814" s="116">
        <v>323</v>
      </c>
      <c r="C814" s="137" t="s">
        <v>369</v>
      </c>
      <c r="D814" s="137"/>
      <c r="E814" s="115">
        <v>20</v>
      </c>
      <c r="F814" s="137" t="s">
        <v>2644</v>
      </c>
      <c r="G814" s="137" t="s">
        <v>2194</v>
      </c>
      <c r="H814" s="138"/>
      <c r="I814" s="138"/>
      <c r="J814" s="138"/>
      <c r="K814" s="138"/>
      <c r="L814" s="138"/>
      <c r="M814" s="138"/>
      <c r="N814" s="138"/>
      <c r="O814" s="138"/>
      <c r="P814" s="138"/>
      <c r="Q814" s="381"/>
      <c r="R814" s="381"/>
      <c r="S814" s="381"/>
      <c r="T814" s="379"/>
      <c r="U814" s="379"/>
      <c r="V814" s="379"/>
      <c r="W814" s="379"/>
      <c r="X814" s="380"/>
      <c r="Y814" s="381"/>
      <c r="Z814" s="381"/>
      <c r="AA814" s="381"/>
      <c r="AB814" s="379"/>
      <c r="AC814" s="379"/>
      <c r="AD814" s="379"/>
      <c r="AE814" s="379"/>
      <c r="AF814" s="380"/>
    </row>
    <row r="815" spans="1:32" ht="8.4499999999999993" customHeight="1" x14ac:dyDescent="0.2">
      <c r="A815" s="252" t="str">
        <f t="shared" si="5"/>
        <v xml:space="preserve">19.003.000.001 </v>
      </c>
      <c r="B815" s="707">
        <v>324</v>
      </c>
      <c r="C815" s="957" t="s">
        <v>2645</v>
      </c>
      <c r="D815" s="957" t="s">
        <v>90</v>
      </c>
      <c r="E815" s="219">
        <v>20</v>
      </c>
      <c r="F815" s="957" t="s">
        <v>2644</v>
      </c>
      <c r="G815" s="957" t="s">
        <v>2194</v>
      </c>
      <c r="H815" s="148">
        <v>0.02</v>
      </c>
      <c r="I815" s="144">
        <v>165.38</v>
      </c>
      <c r="J815" s="139">
        <v>0</v>
      </c>
      <c r="K815" s="139">
        <v>0</v>
      </c>
      <c r="L815" s="148">
        <v>0</v>
      </c>
      <c r="M815" s="148">
        <v>0</v>
      </c>
      <c r="N815" s="148">
        <v>0</v>
      </c>
      <c r="O815" s="148">
        <v>0</v>
      </c>
      <c r="P815" s="118"/>
      <c r="Q815" s="381"/>
      <c r="R815" s="381"/>
      <c r="S815" s="381"/>
      <c r="T815" s="379"/>
      <c r="U815" s="379"/>
      <c r="V815" s="379"/>
      <c r="W815" s="379"/>
      <c r="X815" s="380"/>
      <c r="Y815" s="381"/>
      <c r="Z815" s="381"/>
      <c r="AA815" s="381"/>
      <c r="AB815" s="379"/>
      <c r="AC815" s="379"/>
      <c r="AD815" s="379"/>
      <c r="AE815" s="379"/>
      <c r="AF815" s="380"/>
    </row>
    <row r="816" spans="1:32" ht="8.4499999999999993" customHeight="1" x14ac:dyDescent="0.2">
      <c r="A816" s="252" t="str">
        <f t="shared" si="5"/>
        <v xml:space="preserve">19.004 </v>
      </c>
      <c r="B816" s="116">
        <v>325</v>
      </c>
      <c r="C816" s="137" t="s">
        <v>269</v>
      </c>
      <c r="D816" s="137"/>
      <c r="E816" s="115">
        <v>14</v>
      </c>
      <c r="F816" s="137" t="s">
        <v>2034</v>
      </c>
      <c r="G816" s="137" t="s">
        <v>2566</v>
      </c>
      <c r="H816" s="138"/>
      <c r="I816" s="138"/>
      <c r="J816" s="138"/>
      <c r="K816" s="138"/>
      <c r="L816" s="138"/>
      <c r="M816" s="138"/>
      <c r="N816" s="138"/>
      <c r="O816" s="138"/>
      <c r="P816" s="138"/>
      <c r="Q816" s="381"/>
      <c r="R816" s="381"/>
      <c r="S816" s="381"/>
      <c r="T816" s="379"/>
      <c r="U816" s="379"/>
      <c r="V816" s="379"/>
      <c r="W816" s="379"/>
      <c r="X816" s="380"/>
      <c r="Y816" s="381"/>
      <c r="Z816" s="381"/>
      <c r="AA816" s="381"/>
      <c r="AB816" s="379"/>
      <c r="AC816" s="379"/>
      <c r="AD816" s="379"/>
      <c r="AE816" s="379"/>
      <c r="AF816" s="380"/>
    </row>
    <row r="817" spans="1:32" ht="8.4499999999999993" customHeight="1" x14ac:dyDescent="0.2">
      <c r="A817" s="252" t="str">
        <f t="shared" si="5"/>
        <v xml:space="preserve">19.004.000.001 </v>
      </c>
      <c r="B817" s="707">
        <v>326</v>
      </c>
      <c r="C817" s="957" t="s">
        <v>2646</v>
      </c>
      <c r="D817" s="957" t="s">
        <v>15</v>
      </c>
      <c r="E817" s="219">
        <v>14</v>
      </c>
      <c r="F817" s="957" t="s">
        <v>2034</v>
      </c>
      <c r="G817" s="957" t="s">
        <v>2566</v>
      </c>
      <c r="H817" s="148">
        <v>0.01</v>
      </c>
      <c r="I817" s="144">
        <v>481.07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81"/>
      <c r="R817" s="381"/>
      <c r="S817" s="381"/>
      <c r="T817" s="379"/>
      <c r="U817" s="379"/>
      <c r="V817" s="379"/>
      <c r="W817" s="379"/>
      <c r="X817" s="380"/>
      <c r="Y817" s="381"/>
      <c r="Z817" s="381"/>
      <c r="AA817" s="381"/>
      <c r="AB817" s="379"/>
      <c r="AC817" s="379"/>
      <c r="AD817" s="379"/>
      <c r="AE817" s="379"/>
      <c r="AF817" s="380"/>
    </row>
    <row r="818" spans="1:32" ht="8.4499999999999993" customHeight="1" x14ac:dyDescent="0.2">
      <c r="A818" s="252" t="str">
        <f t="shared" si="5"/>
        <v xml:space="preserve">19.004.000.002 </v>
      </c>
      <c r="B818" s="707">
        <v>327</v>
      </c>
      <c r="C818" s="957" t="s">
        <v>2647</v>
      </c>
      <c r="D818" s="957" t="s">
        <v>15</v>
      </c>
      <c r="E818" s="219">
        <v>14</v>
      </c>
      <c r="F818" s="957" t="s">
        <v>2034</v>
      </c>
      <c r="G818" s="957" t="s">
        <v>2566</v>
      </c>
      <c r="H818" s="148">
        <v>0.02</v>
      </c>
      <c r="I818" s="144">
        <v>257.18</v>
      </c>
      <c r="J818" s="139">
        <v>0</v>
      </c>
      <c r="K818" s="139">
        <v>0</v>
      </c>
      <c r="L818" s="148">
        <v>0</v>
      </c>
      <c r="M818" s="148">
        <v>0</v>
      </c>
      <c r="N818" s="148">
        <v>0</v>
      </c>
      <c r="O818" s="148">
        <v>0</v>
      </c>
      <c r="P818" s="11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tr">
        <f t="shared" si="5"/>
        <v xml:space="preserve">19.004.000.003 </v>
      </c>
      <c r="B819" s="707">
        <v>328</v>
      </c>
      <c r="C819" s="957" t="s">
        <v>2648</v>
      </c>
      <c r="D819" s="957" t="s">
        <v>7</v>
      </c>
      <c r="E819" s="219">
        <v>14</v>
      </c>
      <c r="F819" s="957" t="s">
        <v>2034</v>
      </c>
      <c r="G819" s="957" t="s">
        <v>2566</v>
      </c>
      <c r="H819" s="148">
        <v>0.01</v>
      </c>
      <c r="I819" s="139">
        <v>1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81"/>
      <c r="R819" s="381"/>
      <c r="S819" s="381"/>
      <c r="T819" s="379"/>
      <c r="U819" s="379"/>
      <c r="V819" s="379"/>
      <c r="W819" s="379"/>
      <c r="X819" s="380"/>
      <c r="Y819" s="381"/>
      <c r="Z819" s="381"/>
      <c r="AA819" s="381"/>
      <c r="AB819" s="379"/>
      <c r="AC819" s="379"/>
      <c r="AD819" s="379"/>
      <c r="AE819" s="379"/>
      <c r="AF819" s="380"/>
    </row>
    <row r="820" spans="1:32" ht="8.4499999999999993" customHeight="1" x14ac:dyDescent="0.2">
      <c r="A820" s="252" t="str">
        <f t="shared" si="5"/>
        <v xml:space="preserve">19.005 </v>
      </c>
      <c r="B820" s="116">
        <v>329</v>
      </c>
      <c r="C820" s="137" t="s">
        <v>370</v>
      </c>
      <c r="D820" s="137"/>
      <c r="E820" s="115">
        <v>22</v>
      </c>
      <c r="F820" s="137" t="s">
        <v>2182</v>
      </c>
      <c r="G820" s="137" t="s">
        <v>2014</v>
      </c>
      <c r="H820" s="138"/>
      <c r="I820" s="138"/>
      <c r="J820" s="138"/>
      <c r="K820" s="138"/>
      <c r="L820" s="138"/>
      <c r="M820" s="138"/>
      <c r="N820" s="138"/>
      <c r="O820" s="138"/>
      <c r="P820" s="138"/>
      <c r="Q820" s="381"/>
      <c r="R820" s="381"/>
      <c r="S820" s="381"/>
      <c r="T820" s="379"/>
      <c r="U820" s="379"/>
      <c r="V820" s="379"/>
      <c r="W820" s="379"/>
      <c r="X820" s="380"/>
      <c r="Y820" s="381"/>
      <c r="Z820" s="381"/>
      <c r="AA820" s="381"/>
      <c r="AB820" s="379"/>
      <c r="AC820" s="379"/>
      <c r="AD820" s="379"/>
      <c r="AE820" s="379"/>
      <c r="AF820" s="380"/>
    </row>
    <row r="821" spans="1:32" ht="8.4499999999999993" customHeight="1" x14ac:dyDescent="0.2">
      <c r="A821" s="252" t="str">
        <f t="shared" si="5"/>
        <v xml:space="preserve">19.005.000.001 </v>
      </c>
      <c r="B821" s="707">
        <v>330</v>
      </c>
      <c r="C821" s="957" t="s">
        <v>2649</v>
      </c>
      <c r="D821" s="957" t="s">
        <v>90</v>
      </c>
      <c r="E821" s="219">
        <v>22</v>
      </c>
      <c r="F821" s="957" t="s">
        <v>2182</v>
      </c>
      <c r="G821" s="957" t="s">
        <v>2014</v>
      </c>
      <c r="H821" s="148">
        <v>0.01</v>
      </c>
      <c r="I821" s="144">
        <v>244.98</v>
      </c>
      <c r="J821" s="139">
        <v>0</v>
      </c>
      <c r="K821" s="139">
        <v>0</v>
      </c>
      <c r="L821" s="148">
        <v>0</v>
      </c>
      <c r="M821" s="148">
        <v>0</v>
      </c>
      <c r="N821" s="148">
        <v>0</v>
      </c>
      <c r="O821" s="148">
        <v>0</v>
      </c>
      <c r="P821" s="118"/>
      <c r="Q821" s="381"/>
      <c r="R821" s="381"/>
      <c r="S821" s="381"/>
      <c r="T821" s="379"/>
      <c r="U821" s="379"/>
      <c r="V821" s="379"/>
      <c r="W821" s="379"/>
      <c r="X821" s="380"/>
      <c r="Y821" s="381"/>
      <c r="Z821" s="381"/>
      <c r="AA821" s="381"/>
      <c r="AB821" s="379"/>
      <c r="AC821" s="379"/>
      <c r="AD821" s="379"/>
      <c r="AE821" s="379"/>
      <c r="AF821" s="380"/>
    </row>
    <row r="822" spans="1:32" ht="8.4499999999999993" customHeight="1" x14ac:dyDescent="0.2">
      <c r="A822" s="252" t="str">
        <f t="shared" si="5"/>
        <v xml:space="preserve">19.006 </v>
      </c>
      <c r="B822" s="116">
        <v>331</v>
      </c>
      <c r="C822" s="137" t="s">
        <v>2650</v>
      </c>
      <c r="D822" s="137"/>
      <c r="E822" s="115">
        <v>40</v>
      </c>
      <c r="F822" s="137" t="s">
        <v>2171</v>
      </c>
      <c r="G822" s="137" t="s">
        <v>2169</v>
      </c>
      <c r="H822" s="138"/>
      <c r="I822" s="138"/>
      <c r="J822" s="138"/>
      <c r="K822" s="138"/>
      <c r="L822" s="138"/>
      <c r="M822" s="138"/>
      <c r="N822" s="138"/>
      <c r="O822" s="138"/>
      <c r="P822" s="138"/>
      <c r="Q822" s="381"/>
      <c r="R822" s="381"/>
      <c r="S822" s="381"/>
      <c r="T822" s="379"/>
      <c r="U822" s="379"/>
      <c r="V822" s="379"/>
      <c r="W822" s="379"/>
      <c r="X822" s="380"/>
      <c r="Y822" s="381"/>
      <c r="Z822" s="381"/>
      <c r="AA822" s="381"/>
      <c r="AB822" s="379"/>
      <c r="AC822" s="379"/>
      <c r="AD822" s="379"/>
      <c r="AE822" s="379"/>
      <c r="AF822" s="380"/>
    </row>
    <row r="823" spans="1:32" ht="8.4499999999999993" customHeight="1" x14ac:dyDescent="0.2">
      <c r="A823" s="252" t="str">
        <f t="shared" si="5"/>
        <v xml:space="preserve">19.006.000.001 </v>
      </c>
      <c r="B823" s="707">
        <v>332</v>
      </c>
      <c r="C823" s="957" t="s">
        <v>2651</v>
      </c>
      <c r="D823" s="957" t="s">
        <v>90</v>
      </c>
      <c r="E823" s="219">
        <v>40</v>
      </c>
      <c r="F823" s="957" t="s">
        <v>2171</v>
      </c>
      <c r="G823" s="957" t="s">
        <v>2169</v>
      </c>
      <c r="H823" s="148">
        <v>0.01</v>
      </c>
      <c r="I823" s="144">
        <v>278.02999999999997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81"/>
      <c r="R823" s="381"/>
      <c r="S823" s="381"/>
      <c r="T823" s="379"/>
      <c r="U823" s="379"/>
      <c r="V823" s="379"/>
      <c r="W823" s="379"/>
      <c r="X823" s="380"/>
      <c r="Y823" s="381"/>
      <c r="Z823" s="381"/>
      <c r="AA823" s="381"/>
      <c r="AB823" s="379"/>
      <c r="AC823" s="379"/>
      <c r="AD823" s="379"/>
      <c r="AE823" s="379"/>
      <c r="AF823" s="380"/>
    </row>
    <row r="824" spans="1:32" ht="8.4499999999999993" customHeight="1" x14ac:dyDescent="0.2">
      <c r="A824" s="252" t="str">
        <f t="shared" si="5"/>
        <v xml:space="preserve">19.007 </v>
      </c>
      <c r="B824" s="116">
        <v>333</v>
      </c>
      <c r="C824" s="137" t="s">
        <v>1581</v>
      </c>
      <c r="D824" s="137"/>
      <c r="E824" s="115">
        <v>96</v>
      </c>
      <c r="F824" s="137" t="s">
        <v>2009</v>
      </c>
      <c r="G824" s="137" t="s">
        <v>2195</v>
      </c>
      <c r="H824" s="138"/>
      <c r="I824" s="138"/>
      <c r="J824" s="138"/>
      <c r="K824" s="138"/>
      <c r="L824" s="138"/>
      <c r="M824" s="138"/>
      <c r="N824" s="138"/>
      <c r="O824" s="138"/>
      <c r="P824" s="138"/>
      <c r="Q824" s="381"/>
      <c r="R824" s="381"/>
      <c r="S824" s="381"/>
      <c r="T824" s="379"/>
      <c r="U824" s="379"/>
      <c r="V824" s="379"/>
      <c r="W824" s="379"/>
      <c r="X824" s="380"/>
      <c r="Y824" s="381"/>
      <c r="Z824" s="381"/>
      <c r="AA824" s="381"/>
      <c r="AB824" s="379"/>
      <c r="AC824" s="379"/>
      <c r="AD824" s="379"/>
      <c r="AE824" s="379"/>
      <c r="AF824" s="380"/>
    </row>
    <row r="825" spans="1:32" ht="8.4499999999999993" customHeight="1" x14ac:dyDescent="0.2">
      <c r="A825" s="252" t="str">
        <f t="shared" si="5"/>
        <v xml:space="preserve">19.007.000.001 </v>
      </c>
      <c r="B825" s="707">
        <v>334</v>
      </c>
      <c r="C825" s="957" t="s">
        <v>2652</v>
      </c>
      <c r="D825" s="957" t="s">
        <v>90</v>
      </c>
      <c r="E825" s="219">
        <v>40</v>
      </c>
      <c r="F825" s="957" t="s">
        <v>2033</v>
      </c>
      <c r="G825" s="957" t="s">
        <v>2508</v>
      </c>
      <c r="H825" s="148">
        <v>0.05</v>
      </c>
      <c r="I825" s="144">
        <v>224.05</v>
      </c>
      <c r="J825" s="139">
        <v>0</v>
      </c>
      <c r="K825" s="139">
        <v>0</v>
      </c>
      <c r="L825" s="148">
        <v>0</v>
      </c>
      <c r="M825" s="148">
        <v>0</v>
      </c>
      <c r="N825" s="148">
        <v>0</v>
      </c>
      <c r="O825" s="148">
        <v>0</v>
      </c>
      <c r="P825" s="118"/>
      <c r="Q825" s="381"/>
      <c r="R825" s="381"/>
      <c r="S825" s="381"/>
      <c r="T825" s="379"/>
      <c r="U825" s="379"/>
      <c r="V825" s="379"/>
      <c r="W825" s="379"/>
      <c r="X825" s="380"/>
      <c r="Y825" s="381"/>
      <c r="Z825" s="381"/>
      <c r="AA825" s="381"/>
      <c r="AB825" s="379"/>
      <c r="AC825" s="379"/>
      <c r="AD825" s="379"/>
      <c r="AE825" s="379"/>
      <c r="AF825" s="380"/>
    </row>
    <row r="826" spans="1:32" ht="8.4499999999999993" customHeight="1" x14ac:dyDescent="0.2">
      <c r="A826" s="252" t="str">
        <f t="shared" si="5"/>
        <v xml:space="preserve">19.007.000.002 </v>
      </c>
      <c r="B826" s="707">
        <v>335</v>
      </c>
      <c r="C826" s="957" t="s">
        <v>2653</v>
      </c>
      <c r="D826" s="957" t="s">
        <v>90</v>
      </c>
      <c r="E826" s="219">
        <v>27</v>
      </c>
      <c r="F826" s="957" t="s">
        <v>2654</v>
      </c>
      <c r="G826" s="957" t="s">
        <v>2195</v>
      </c>
      <c r="H826" s="148">
        <v>0.06</v>
      </c>
      <c r="I826" s="144">
        <v>288.20999999999998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tr">
        <f t="shared" si="5"/>
        <v xml:space="preserve">19.007.000.003 </v>
      </c>
      <c r="B827" s="707">
        <v>336</v>
      </c>
      <c r="C827" s="957" t="s">
        <v>2655</v>
      </c>
      <c r="D827" s="957" t="s">
        <v>90</v>
      </c>
      <c r="E827" s="219">
        <v>19</v>
      </c>
      <c r="F827" s="957" t="s">
        <v>2009</v>
      </c>
      <c r="G827" s="957" t="s">
        <v>2169</v>
      </c>
      <c r="H827" s="118"/>
      <c r="I827" s="139">
        <v>0</v>
      </c>
      <c r="J827" s="139">
        <v>0</v>
      </c>
      <c r="K827" s="139">
        <v>0</v>
      </c>
      <c r="L827" s="148">
        <v>0</v>
      </c>
      <c r="M827" s="148">
        <v>0</v>
      </c>
      <c r="N827" s="148">
        <v>0</v>
      </c>
      <c r="O827" s="148">
        <v>0</v>
      </c>
      <c r="P827" s="118"/>
      <c r="Q827" s="381"/>
      <c r="R827" s="381"/>
      <c r="S827" s="381"/>
      <c r="T827" s="379"/>
      <c r="U827" s="379"/>
      <c r="V827" s="379"/>
      <c r="W827" s="379"/>
      <c r="X827" s="380"/>
      <c r="Y827" s="381"/>
      <c r="Z827" s="381"/>
      <c r="AA827" s="381"/>
      <c r="AB827" s="379"/>
      <c r="AC827" s="379"/>
      <c r="AD827" s="379"/>
      <c r="AE827" s="379"/>
      <c r="AF827" s="380"/>
    </row>
    <row r="828" spans="1:32" ht="8.4499999999999993" customHeight="1" x14ac:dyDescent="0.2">
      <c r="A828" s="252" t="str">
        <f t="shared" si="5"/>
        <v xml:space="preserve">19.007.000.004 </v>
      </c>
      <c r="B828" s="707">
        <v>337</v>
      </c>
      <c r="C828" s="957" t="s">
        <v>2656</v>
      </c>
      <c r="D828" s="957" t="s">
        <v>90</v>
      </c>
      <c r="E828" s="219">
        <v>21</v>
      </c>
      <c r="F828" s="957" t="s">
        <v>2025</v>
      </c>
      <c r="G828" s="957" t="s">
        <v>2026</v>
      </c>
      <c r="H828" s="148">
        <v>0.01</v>
      </c>
      <c r="I828" s="144">
        <v>365.74</v>
      </c>
      <c r="J828" s="139">
        <v>0</v>
      </c>
      <c r="K828" s="139">
        <v>0</v>
      </c>
      <c r="L828" s="148">
        <v>0</v>
      </c>
      <c r="M828" s="148">
        <v>0</v>
      </c>
      <c r="N828" s="148">
        <v>0</v>
      </c>
      <c r="O828" s="148">
        <v>0</v>
      </c>
      <c r="P828" s="118"/>
      <c r="Q828" s="381"/>
      <c r="R828" s="381"/>
      <c r="S828" s="381"/>
      <c r="T828" s="379"/>
      <c r="U828" s="379"/>
      <c r="V828" s="379"/>
      <c r="W828" s="379"/>
      <c r="X828" s="380"/>
      <c r="Y828" s="381"/>
      <c r="Z828" s="381"/>
      <c r="AA828" s="381"/>
      <c r="AB828" s="379"/>
      <c r="AC828" s="379"/>
      <c r="AD828" s="379"/>
      <c r="AE828" s="379"/>
      <c r="AF828" s="380"/>
    </row>
    <row r="829" spans="1:32" ht="8.4499999999999993" customHeight="1" x14ac:dyDescent="0.2">
      <c r="A829" s="252" t="str">
        <f t="shared" si="5"/>
        <v xml:space="preserve">19.007.000.005 </v>
      </c>
      <c r="B829" s="707">
        <v>338</v>
      </c>
      <c r="C829" s="957" t="s">
        <v>2657</v>
      </c>
      <c r="D829" s="957" t="s">
        <v>15</v>
      </c>
      <c r="E829" s="219">
        <v>21</v>
      </c>
      <c r="F829" s="957" t="s">
        <v>2025</v>
      </c>
      <c r="G829" s="957" t="s">
        <v>2026</v>
      </c>
      <c r="H829" s="148">
        <v>0</v>
      </c>
      <c r="I829" s="139">
        <v>2.8</v>
      </c>
      <c r="J829" s="139">
        <v>0</v>
      </c>
      <c r="K829" s="139">
        <v>0</v>
      </c>
      <c r="L829" s="148">
        <v>0</v>
      </c>
      <c r="M829" s="148">
        <v>0</v>
      </c>
      <c r="N829" s="148">
        <v>0</v>
      </c>
      <c r="O829" s="148">
        <v>0</v>
      </c>
      <c r="P829" s="118"/>
      <c r="Q829" s="381"/>
      <c r="R829" s="381"/>
      <c r="S829" s="381"/>
      <c r="T829" s="379"/>
      <c r="U829" s="379"/>
      <c r="V829" s="379"/>
      <c r="W829" s="379"/>
      <c r="X829" s="380"/>
      <c r="Y829" s="381"/>
      <c r="Z829" s="381"/>
      <c r="AA829" s="381"/>
      <c r="AB829" s="379"/>
      <c r="AC829" s="379"/>
      <c r="AD829" s="379"/>
      <c r="AE829" s="379"/>
      <c r="AF829" s="380"/>
    </row>
    <row r="830" spans="1:32" ht="8.4499999999999993" customHeight="1" x14ac:dyDescent="0.2">
      <c r="A830" s="252" t="str">
        <f t="shared" si="5"/>
        <v xml:space="preserve">19.007.000.006 </v>
      </c>
      <c r="B830" s="707">
        <v>339</v>
      </c>
      <c r="C830" s="957" t="s">
        <v>2658</v>
      </c>
      <c r="D830" s="957" t="s">
        <v>90</v>
      </c>
      <c r="E830" s="219">
        <v>41</v>
      </c>
      <c r="F830" s="957" t="s">
        <v>2033</v>
      </c>
      <c r="G830" s="957" t="s">
        <v>2026</v>
      </c>
      <c r="H830" s="148">
        <v>0.02</v>
      </c>
      <c r="I830" s="144">
        <v>670.54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81"/>
      <c r="R830" s="381"/>
      <c r="S830" s="381"/>
      <c r="T830" s="379"/>
      <c r="U830" s="379"/>
      <c r="V830" s="379"/>
      <c r="W830" s="379"/>
      <c r="X830" s="380"/>
      <c r="Y830" s="381"/>
      <c r="Z830" s="381"/>
      <c r="AA830" s="381"/>
      <c r="AB830" s="379"/>
      <c r="AC830" s="379"/>
      <c r="AD830" s="379"/>
      <c r="AE830" s="379"/>
      <c r="AF830" s="380"/>
    </row>
    <row r="831" spans="1:32" ht="8.4499999999999993" customHeight="1" x14ac:dyDescent="0.2">
      <c r="A831" s="252" t="str">
        <f t="shared" si="5"/>
        <v xml:space="preserve">19.007.000.007 </v>
      </c>
      <c r="B831" s="707">
        <v>340</v>
      </c>
      <c r="C831" s="957" t="s">
        <v>2659</v>
      </c>
      <c r="D831" s="957" t="s">
        <v>15</v>
      </c>
      <c r="E831" s="219">
        <v>41</v>
      </c>
      <c r="F831" s="957" t="s">
        <v>2033</v>
      </c>
      <c r="G831" s="957" t="s">
        <v>2026</v>
      </c>
      <c r="H831" s="148">
        <v>0</v>
      </c>
      <c r="I831" s="144">
        <v>249.57</v>
      </c>
      <c r="J831" s="139">
        <v>0</v>
      </c>
      <c r="K831" s="139">
        <v>0</v>
      </c>
      <c r="L831" s="148">
        <v>0</v>
      </c>
      <c r="M831" s="148">
        <v>0</v>
      </c>
      <c r="N831" s="148">
        <v>0</v>
      </c>
      <c r="O831" s="148">
        <v>0</v>
      </c>
      <c r="P831" s="11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tr">
        <f t="shared" si="5"/>
        <v xml:space="preserve">19.007.000.008 </v>
      </c>
      <c r="B832" s="707">
        <v>341</v>
      </c>
      <c r="C832" s="957" t="s">
        <v>2660</v>
      </c>
      <c r="D832" s="957" t="s">
        <v>90</v>
      </c>
      <c r="E832" s="219">
        <v>43</v>
      </c>
      <c r="F832" s="957" t="s">
        <v>2012</v>
      </c>
      <c r="G832" s="957" t="s">
        <v>2010</v>
      </c>
      <c r="H832" s="148">
        <v>0.06</v>
      </c>
      <c r="I832" s="144">
        <v>264.36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81"/>
      <c r="R832" s="381"/>
      <c r="S832" s="381"/>
      <c r="T832" s="379"/>
      <c r="U832" s="379"/>
      <c r="V832" s="379"/>
      <c r="W832" s="379"/>
      <c r="X832" s="380"/>
      <c r="Y832" s="381"/>
      <c r="Z832" s="381"/>
      <c r="AA832" s="381"/>
      <c r="AB832" s="379"/>
      <c r="AC832" s="379"/>
      <c r="AD832" s="379"/>
      <c r="AE832" s="379"/>
      <c r="AF832" s="380"/>
    </row>
    <row r="833" spans="1:32" ht="8.4499999999999993" customHeight="1" x14ac:dyDescent="0.2">
      <c r="A833" s="252" t="str">
        <f t="shared" si="5"/>
        <v xml:space="preserve">19.008 </v>
      </c>
      <c r="B833" s="116">
        <v>342</v>
      </c>
      <c r="C833" s="137" t="s">
        <v>1582</v>
      </c>
      <c r="D833" s="137"/>
      <c r="E833" s="115">
        <v>22</v>
      </c>
      <c r="F833" s="137" t="s">
        <v>2012</v>
      </c>
      <c r="G833" s="137" t="s">
        <v>2013</v>
      </c>
      <c r="H833" s="138"/>
      <c r="I833" s="138"/>
      <c r="J833" s="138"/>
      <c r="K833" s="138"/>
      <c r="L833" s="138"/>
      <c r="M833" s="138"/>
      <c r="N833" s="138"/>
      <c r="O833" s="138"/>
      <c r="P833" s="138"/>
      <c r="Q833" s="381"/>
      <c r="R833" s="381"/>
      <c r="S833" s="381"/>
      <c r="T833" s="379"/>
      <c r="U833" s="379"/>
      <c r="V833" s="379"/>
      <c r="W833" s="379"/>
      <c r="X833" s="380"/>
      <c r="Y833" s="381"/>
      <c r="Z833" s="381"/>
      <c r="AA833" s="381"/>
      <c r="AB833" s="379"/>
      <c r="AC833" s="379"/>
      <c r="AD833" s="379"/>
      <c r="AE833" s="379"/>
      <c r="AF833" s="380"/>
    </row>
    <row r="834" spans="1:32" ht="8.4499999999999993" customHeight="1" x14ac:dyDescent="0.2">
      <c r="A834" s="252" t="str">
        <f t="shared" si="5"/>
        <v xml:space="preserve">19.008.000.001 </v>
      </c>
      <c r="B834" s="707">
        <v>343</v>
      </c>
      <c r="C834" s="957" t="s">
        <v>2661</v>
      </c>
      <c r="D834" s="957" t="s">
        <v>90</v>
      </c>
      <c r="E834" s="219">
        <v>22</v>
      </c>
      <c r="F834" s="957" t="s">
        <v>2012</v>
      </c>
      <c r="G834" s="957" t="s">
        <v>2013</v>
      </c>
      <c r="H834" s="148">
        <v>0.01</v>
      </c>
      <c r="I834" s="144">
        <v>344.08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9"/>
      <c r="U834" s="379"/>
      <c r="V834" s="379"/>
      <c r="W834" s="379"/>
      <c r="X834" s="380"/>
      <c r="Y834" s="381"/>
      <c r="Z834" s="381"/>
      <c r="AA834" s="381"/>
      <c r="AB834" s="379"/>
      <c r="AC834" s="379"/>
      <c r="AD834" s="379"/>
      <c r="AE834" s="379"/>
      <c r="AF834" s="380"/>
    </row>
    <row r="835" spans="1:32" ht="8.4499999999999993" customHeight="1" x14ac:dyDescent="0.2">
      <c r="A835" s="252" t="str">
        <f t="shared" si="5"/>
        <v xml:space="preserve">19.009 </v>
      </c>
      <c r="B835" s="116">
        <v>344</v>
      </c>
      <c r="C835" s="137" t="s">
        <v>371</v>
      </c>
      <c r="D835" s="137"/>
      <c r="E835" s="115">
        <v>21</v>
      </c>
      <c r="F835" s="137" t="s">
        <v>2025</v>
      </c>
      <c r="G835" s="137" t="s">
        <v>2026</v>
      </c>
      <c r="H835" s="138"/>
      <c r="I835" s="138"/>
      <c r="J835" s="138"/>
      <c r="K835" s="138"/>
      <c r="L835" s="138"/>
      <c r="M835" s="138"/>
      <c r="N835" s="138"/>
      <c r="O835" s="138"/>
      <c r="P835" s="138"/>
      <c r="Q835" s="381"/>
      <c r="R835" s="381"/>
      <c r="S835" s="381"/>
      <c r="T835" s="379"/>
      <c r="U835" s="379"/>
      <c r="V835" s="379"/>
      <c r="W835" s="379"/>
      <c r="X835" s="380"/>
      <c r="Y835" s="381"/>
      <c r="Z835" s="381"/>
      <c r="AA835" s="381"/>
      <c r="AB835" s="379"/>
      <c r="AC835" s="379"/>
      <c r="AD835" s="379"/>
      <c r="AE835" s="379"/>
      <c r="AF835" s="380"/>
    </row>
    <row r="836" spans="1:32" ht="8.4499999999999993" customHeight="1" x14ac:dyDescent="0.2">
      <c r="A836" s="252" t="str">
        <f t="shared" si="5"/>
        <v xml:space="preserve">19.009.000.001 </v>
      </c>
      <c r="B836" s="707">
        <v>345</v>
      </c>
      <c r="C836" s="957" t="s">
        <v>2662</v>
      </c>
      <c r="D836" s="957" t="s">
        <v>15</v>
      </c>
      <c r="E836" s="219">
        <v>21</v>
      </c>
      <c r="F836" s="957" t="s">
        <v>2025</v>
      </c>
      <c r="G836" s="957" t="s">
        <v>2026</v>
      </c>
      <c r="H836" s="148">
        <v>0</v>
      </c>
      <c r="I836" s="144">
        <v>153.27000000000001</v>
      </c>
      <c r="J836" s="139">
        <v>0</v>
      </c>
      <c r="K836" s="139">
        <v>0</v>
      </c>
      <c r="L836" s="148">
        <v>0</v>
      </c>
      <c r="M836" s="148">
        <v>0</v>
      </c>
      <c r="N836" s="148">
        <v>0</v>
      </c>
      <c r="O836" s="148">
        <v>0</v>
      </c>
      <c r="P836" s="118"/>
      <c r="Q836" s="381"/>
      <c r="R836" s="381"/>
      <c r="S836" s="381"/>
      <c r="T836" s="379"/>
      <c r="U836" s="379"/>
      <c r="V836" s="379"/>
      <c r="W836" s="379"/>
      <c r="X836" s="380"/>
      <c r="Y836" s="381"/>
      <c r="Z836" s="381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tr">
        <f t="shared" si="5"/>
        <v xml:space="preserve">19.009.000.002 </v>
      </c>
      <c r="B837" s="707">
        <v>346</v>
      </c>
      <c r="C837" s="957" t="s">
        <v>2663</v>
      </c>
      <c r="D837" s="957" t="s">
        <v>90</v>
      </c>
      <c r="E837" s="219">
        <v>21</v>
      </c>
      <c r="F837" s="957" t="s">
        <v>2025</v>
      </c>
      <c r="G837" s="957" t="s">
        <v>2026</v>
      </c>
      <c r="H837" s="148">
        <v>0</v>
      </c>
      <c r="I837" s="144">
        <v>121.58</v>
      </c>
      <c r="J837" s="139">
        <v>0</v>
      </c>
      <c r="K837" s="139">
        <v>0</v>
      </c>
      <c r="L837" s="148">
        <v>0</v>
      </c>
      <c r="M837" s="148">
        <v>0</v>
      </c>
      <c r="N837" s="148">
        <v>0</v>
      </c>
      <c r="O837" s="148">
        <v>0</v>
      </c>
      <c r="P837" s="118"/>
      <c r="Q837" s="381"/>
      <c r="R837" s="381"/>
      <c r="S837" s="381"/>
      <c r="T837" s="379"/>
      <c r="U837" s="379"/>
      <c r="V837" s="379"/>
      <c r="W837" s="379"/>
      <c r="X837" s="380"/>
      <c r="Y837" s="381"/>
      <c r="Z837" s="381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tr">
        <f t="shared" si="5"/>
        <v xml:space="preserve">19.009.000.003 </v>
      </c>
      <c r="B838" s="707">
        <v>347</v>
      </c>
      <c r="C838" s="957" t="s">
        <v>2664</v>
      </c>
      <c r="D838" s="957" t="s">
        <v>90</v>
      </c>
      <c r="E838" s="219">
        <v>21</v>
      </c>
      <c r="F838" s="957" t="s">
        <v>2025</v>
      </c>
      <c r="G838" s="957" t="s">
        <v>2026</v>
      </c>
      <c r="H838" s="148">
        <v>0.04</v>
      </c>
      <c r="I838" s="144">
        <v>852.59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1"/>
      <c r="R838" s="381"/>
      <c r="S838" s="381"/>
      <c r="T838" s="379"/>
      <c r="U838" s="379"/>
      <c r="V838" s="379"/>
      <c r="W838" s="379"/>
      <c r="X838" s="380"/>
      <c r="Y838" s="381"/>
      <c r="Z838" s="381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tr">
        <f t="shared" si="5"/>
        <v xml:space="preserve">19.009.000.004 </v>
      </c>
      <c r="B839" s="707">
        <v>348</v>
      </c>
      <c r="C839" s="957" t="s">
        <v>2665</v>
      </c>
      <c r="D839" s="957" t="s">
        <v>90</v>
      </c>
      <c r="E839" s="219">
        <v>21</v>
      </c>
      <c r="F839" s="957" t="s">
        <v>2025</v>
      </c>
      <c r="G839" s="957" t="s">
        <v>2026</v>
      </c>
      <c r="H839" s="148">
        <v>0.05</v>
      </c>
      <c r="I839" s="142">
        <v>1017.62</v>
      </c>
      <c r="J839" s="139">
        <v>0</v>
      </c>
      <c r="K839" s="139">
        <v>0</v>
      </c>
      <c r="L839" s="148">
        <v>0</v>
      </c>
      <c r="M839" s="148">
        <v>0</v>
      </c>
      <c r="N839" s="148">
        <v>0</v>
      </c>
      <c r="O839" s="148">
        <v>0</v>
      </c>
      <c r="P839" s="11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tr">
        <f t="shared" si="5"/>
        <v xml:space="preserve">20 </v>
      </c>
      <c r="B840" s="116">
        <v>349</v>
      </c>
      <c r="C840" s="137" t="s">
        <v>372</v>
      </c>
      <c r="D840" s="137"/>
      <c r="E840" s="116">
        <v>138</v>
      </c>
      <c r="F840" s="137" t="s">
        <v>2193</v>
      </c>
      <c r="G840" s="137" t="s">
        <v>2024</v>
      </c>
      <c r="H840" s="138"/>
      <c r="I840" s="138"/>
      <c r="J840" s="138"/>
      <c r="K840" s="138"/>
      <c r="L840" s="138"/>
      <c r="M840" s="138"/>
      <c r="N840" s="138"/>
      <c r="O840" s="138"/>
      <c r="P840" s="138"/>
      <c r="Q840" s="381"/>
      <c r="R840" s="381"/>
      <c r="S840" s="381"/>
      <c r="T840" s="379"/>
      <c r="U840" s="379"/>
      <c r="V840" s="379"/>
      <c r="W840" s="379"/>
      <c r="X840" s="380"/>
      <c r="Y840" s="381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tr">
        <f t="shared" si="5"/>
        <v xml:space="preserve">20.001 </v>
      </c>
      <c r="B841" s="116">
        <v>350</v>
      </c>
      <c r="C841" s="137" t="s">
        <v>373</v>
      </c>
      <c r="D841" s="137"/>
      <c r="E841" s="115">
        <v>22</v>
      </c>
      <c r="F841" s="137" t="s">
        <v>2034</v>
      </c>
      <c r="G841" s="137" t="s">
        <v>2024</v>
      </c>
      <c r="H841" s="138"/>
      <c r="I841" s="138"/>
      <c r="J841" s="138"/>
      <c r="K841" s="138"/>
      <c r="L841" s="138"/>
      <c r="M841" s="138"/>
      <c r="N841" s="138"/>
      <c r="O841" s="138"/>
      <c r="P841" s="13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tr">
        <f t="shared" si="5"/>
        <v xml:space="preserve">20.001.000.001 </v>
      </c>
      <c r="B842" s="707">
        <v>351</v>
      </c>
      <c r="C842" s="957" t="s">
        <v>2666</v>
      </c>
      <c r="D842" s="957" t="s">
        <v>90</v>
      </c>
      <c r="E842" s="219">
        <v>22</v>
      </c>
      <c r="F842" s="957" t="s">
        <v>2034</v>
      </c>
      <c r="G842" s="957" t="s">
        <v>2024</v>
      </c>
      <c r="H842" s="148">
        <v>0.01</v>
      </c>
      <c r="I842" s="146">
        <v>53.62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81"/>
      <c r="R842" s="381"/>
      <c r="S842" s="381"/>
      <c r="T842" s="379"/>
      <c r="U842" s="379"/>
      <c r="V842" s="379"/>
      <c r="W842" s="379"/>
      <c r="X842" s="380"/>
      <c r="Y842" s="381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tr">
        <f t="shared" si="5"/>
        <v xml:space="preserve">20.001.000.002 </v>
      </c>
      <c r="B843" s="707">
        <v>352</v>
      </c>
      <c r="C843" s="957" t="s">
        <v>2667</v>
      </c>
      <c r="D843" s="957" t="s">
        <v>90</v>
      </c>
      <c r="E843" s="219">
        <v>22</v>
      </c>
      <c r="F843" s="957" t="s">
        <v>2034</v>
      </c>
      <c r="G843" s="957" t="s">
        <v>2024</v>
      </c>
      <c r="H843" s="148">
        <v>0.02</v>
      </c>
      <c r="I843" s="146">
        <v>86.89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tr">
        <f t="shared" si="5"/>
        <v xml:space="preserve">20.001.000.003 </v>
      </c>
      <c r="B844" s="707">
        <v>353</v>
      </c>
      <c r="C844" s="957" t="s">
        <v>2668</v>
      </c>
      <c r="D844" s="957" t="s">
        <v>7</v>
      </c>
      <c r="E844" s="219">
        <v>22</v>
      </c>
      <c r="F844" s="957" t="s">
        <v>2034</v>
      </c>
      <c r="G844" s="957" t="s">
        <v>2024</v>
      </c>
      <c r="H844" s="148">
        <v>0.3</v>
      </c>
      <c r="I844" s="139">
        <v>1</v>
      </c>
      <c r="J844" s="139">
        <v>0</v>
      </c>
      <c r="K844" s="139">
        <v>0</v>
      </c>
      <c r="L844" s="148">
        <v>0</v>
      </c>
      <c r="M844" s="148">
        <v>0</v>
      </c>
      <c r="N844" s="148">
        <v>0</v>
      </c>
      <c r="O844" s="148">
        <v>0</v>
      </c>
      <c r="P844" s="118"/>
      <c r="Q844" s="381"/>
      <c r="R844" s="381"/>
      <c r="S844" s="381"/>
      <c r="T844" s="379"/>
      <c r="U844" s="379"/>
      <c r="V844" s="379"/>
      <c r="W844" s="379"/>
      <c r="X844" s="380"/>
      <c r="Y844" s="381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tr">
        <f t="shared" si="5"/>
        <v xml:space="preserve">20.002 </v>
      </c>
      <c r="B845" s="116">
        <v>354</v>
      </c>
      <c r="C845" s="137" t="s">
        <v>374</v>
      </c>
      <c r="D845" s="137"/>
      <c r="E845" s="116">
        <v>138</v>
      </c>
      <c r="F845" s="137" t="s">
        <v>2193</v>
      </c>
      <c r="G845" s="137" t="s">
        <v>2024</v>
      </c>
      <c r="H845" s="138"/>
      <c r="I845" s="138"/>
      <c r="J845" s="138"/>
      <c r="K845" s="138"/>
      <c r="L845" s="138"/>
      <c r="M845" s="138"/>
      <c r="N845" s="138"/>
      <c r="O845" s="138"/>
      <c r="P845" s="13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tr">
        <f t="shared" si="5"/>
        <v xml:space="preserve">20.002.000.001 </v>
      </c>
      <c r="B846" s="707">
        <v>355</v>
      </c>
      <c r="C846" s="957" t="s">
        <v>2669</v>
      </c>
      <c r="D846" s="957" t="s">
        <v>90</v>
      </c>
      <c r="E846" s="219">
        <v>22</v>
      </c>
      <c r="F846" s="957" t="s">
        <v>2034</v>
      </c>
      <c r="G846" s="957" t="s">
        <v>2024</v>
      </c>
      <c r="H846" s="148">
        <v>0.18</v>
      </c>
      <c r="I846" s="142">
        <v>1818.43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tr">
        <f t="shared" si="5"/>
        <v xml:space="preserve">20.002.000.002 </v>
      </c>
      <c r="B847" s="707">
        <v>356</v>
      </c>
      <c r="C847" s="957" t="s">
        <v>2670</v>
      </c>
      <c r="D847" s="957" t="s">
        <v>7</v>
      </c>
      <c r="E847" s="219">
        <v>22</v>
      </c>
      <c r="F847" s="957" t="s">
        <v>2034</v>
      </c>
      <c r="G847" s="957" t="s">
        <v>2024</v>
      </c>
      <c r="H847" s="148">
        <v>0.08</v>
      </c>
      <c r="I847" s="139">
        <v>1</v>
      </c>
      <c r="J847" s="139">
        <v>0</v>
      </c>
      <c r="K847" s="139">
        <v>0</v>
      </c>
      <c r="L847" s="148">
        <v>0</v>
      </c>
      <c r="M847" s="148">
        <v>0</v>
      </c>
      <c r="N847" s="148">
        <v>0</v>
      </c>
      <c r="O847" s="148">
        <v>0</v>
      </c>
      <c r="P847" s="11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tr">
        <f t="shared" si="5"/>
        <v xml:space="preserve">20.002.000.003 </v>
      </c>
      <c r="B848" s="707">
        <v>357</v>
      </c>
      <c r="C848" s="957" t="s">
        <v>2671</v>
      </c>
      <c r="D848" s="957" t="s">
        <v>90</v>
      </c>
      <c r="E848" s="219">
        <v>65</v>
      </c>
      <c r="F848" s="957" t="s">
        <v>2193</v>
      </c>
      <c r="G848" s="957" t="s">
        <v>2483</v>
      </c>
      <c r="H848" s="148">
        <v>0.06</v>
      </c>
      <c r="I848" s="142">
        <v>1448.21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tr">
        <f t="shared" si="5"/>
        <v xml:space="preserve">20.002.000.004 </v>
      </c>
      <c r="B849" s="707">
        <v>358</v>
      </c>
      <c r="C849" s="957" t="s">
        <v>2672</v>
      </c>
      <c r="D849" s="957" t="s">
        <v>90</v>
      </c>
      <c r="E849" s="219">
        <v>50</v>
      </c>
      <c r="F849" s="957" t="s">
        <v>2615</v>
      </c>
      <c r="G849" s="957" t="s">
        <v>2181</v>
      </c>
      <c r="H849" s="148">
        <v>0.01</v>
      </c>
      <c r="I849" s="146">
        <v>98.98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tr">
        <f t="shared" si="5"/>
        <v xml:space="preserve">20.003 </v>
      </c>
      <c r="B850" s="116">
        <v>359</v>
      </c>
      <c r="C850" s="137" t="s">
        <v>1583</v>
      </c>
      <c r="D850" s="137"/>
      <c r="E850" s="116">
        <v>128</v>
      </c>
      <c r="F850" s="137" t="s">
        <v>2171</v>
      </c>
      <c r="G850" s="137" t="s">
        <v>2024</v>
      </c>
      <c r="H850" s="138"/>
      <c r="I850" s="138"/>
      <c r="J850" s="138"/>
      <c r="K850" s="138"/>
      <c r="L850" s="138"/>
      <c r="M850" s="138"/>
      <c r="N850" s="138"/>
      <c r="O850" s="138"/>
      <c r="P850" s="13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tr">
        <f t="shared" si="5"/>
        <v xml:space="preserve">20.003.000.001 </v>
      </c>
      <c r="B851" s="707">
        <v>360</v>
      </c>
      <c r="C851" s="957" t="s">
        <v>2673</v>
      </c>
      <c r="D851" s="957" t="s">
        <v>7</v>
      </c>
      <c r="E851" s="219">
        <v>22</v>
      </c>
      <c r="F851" s="957" t="s">
        <v>2034</v>
      </c>
      <c r="G851" s="957" t="s">
        <v>2024</v>
      </c>
      <c r="H851" s="148">
        <v>0.08</v>
      </c>
      <c r="I851" s="139">
        <v>1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tr">
        <f t="shared" si="5"/>
        <v xml:space="preserve">20.003.000.002 </v>
      </c>
      <c r="B852" s="707">
        <v>361</v>
      </c>
      <c r="C852" s="957" t="s">
        <v>2674</v>
      </c>
      <c r="D852" s="957" t="s">
        <v>8</v>
      </c>
      <c r="E852" s="219">
        <v>26</v>
      </c>
      <c r="F852" s="957" t="s">
        <v>2196</v>
      </c>
      <c r="G852" s="957" t="s">
        <v>2566</v>
      </c>
      <c r="H852" s="148">
        <v>0</v>
      </c>
      <c r="I852" s="146">
        <v>12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tr">
        <f t="shared" si="5"/>
        <v xml:space="preserve">20.003.000.003 </v>
      </c>
      <c r="B853" s="707">
        <v>362</v>
      </c>
      <c r="C853" s="957" t="s">
        <v>2675</v>
      </c>
      <c r="D853" s="957" t="s">
        <v>8</v>
      </c>
      <c r="E853" s="219">
        <v>20</v>
      </c>
      <c r="F853" s="957" t="s">
        <v>2171</v>
      </c>
      <c r="G853" s="957" t="s">
        <v>2170</v>
      </c>
      <c r="H853" s="148">
        <v>0.03</v>
      </c>
      <c r="I853" s="139">
        <v>1</v>
      </c>
      <c r="J853" s="139">
        <v>0</v>
      </c>
      <c r="K853" s="139">
        <v>0</v>
      </c>
      <c r="L853" s="148">
        <v>0</v>
      </c>
      <c r="M853" s="148">
        <v>0</v>
      </c>
      <c r="N853" s="148">
        <v>0</v>
      </c>
      <c r="O853" s="148">
        <v>0</v>
      </c>
      <c r="P853" s="11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tr">
        <f t="shared" si="5"/>
        <v xml:space="preserve">20.003.000.004 </v>
      </c>
      <c r="B854" s="707">
        <v>363</v>
      </c>
      <c r="C854" s="957" t="s">
        <v>2676</v>
      </c>
      <c r="D854" s="957" t="s">
        <v>8</v>
      </c>
      <c r="E854" s="219">
        <v>20</v>
      </c>
      <c r="F854" s="957" t="s">
        <v>2171</v>
      </c>
      <c r="G854" s="957" t="s">
        <v>2170</v>
      </c>
      <c r="H854" s="148">
        <v>0.05</v>
      </c>
      <c r="I854" s="139">
        <v>2</v>
      </c>
      <c r="J854" s="139">
        <v>0</v>
      </c>
      <c r="K854" s="139">
        <v>0</v>
      </c>
      <c r="L854" s="148">
        <v>0</v>
      </c>
      <c r="M854" s="148">
        <v>0</v>
      </c>
      <c r="N854" s="148">
        <v>0</v>
      </c>
      <c r="O854" s="148">
        <v>0</v>
      </c>
      <c r="P854" s="11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tr">
        <f t="shared" si="5"/>
        <v xml:space="preserve">20.003.000.005 </v>
      </c>
      <c r="B855" s="707">
        <v>364</v>
      </c>
      <c r="C855" s="957" t="s">
        <v>2677</v>
      </c>
      <c r="D855" s="957" t="s">
        <v>8</v>
      </c>
      <c r="E855" s="219">
        <v>20</v>
      </c>
      <c r="F855" s="957" t="s">
        <v>2171</v>
      </c>
      <c r="G855" s="957" t="s">
        <v>2170</v>
      </c>
      <c r="H855" s="148">
        <v>0.08</v>
      </c>
      <c r="I855" s="139">
        <v>2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tr">
        <f t="shared" si="5"/>
        <v xml:space="preserve">20.003.000.006 </v>
      </c>
      <c r="B856" s="707">
        <v>365</v>
      </c>
      <c r="C856" s="957" t="s">
        <v>2678</v>
      </c>
      <c r="D856" s="957" t="s">
        <v>7</v>
      </c>
      <c r="E856" s="219">
        <v>44</v>
      </c>
      <c r="F856" s="957" t="s">
        <v>2025</v>
      </c>
      <c r="G856" s="957" t="s">
        <v>2024</v>
      </c>
      <c r="H856" s="148">
        <v>0.59</v>
      </c>
      <c r="I856" s="139">
        <v>1</v>
      </c>
      <c r="J856" s="139">
        <v>0</v>
      </c>
      <c r="K856" s="139">
        <v>0</v>
      </c>
      <c r="L856" s="148">
        <v>0</v>
      </c>
      <c r="M856" s="148">
        <v>0</v>
      </c>
      <c r="N856" s="148">
        <v>0</v>
      </c>
      <c r="O856" s="148">
        <v>0</v>
      </c>
      <c r="P856" s="11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tr">
        <f t="shared" si="5"/>
        <v xml:space="preserve">20.003.000.007 </v>
      </c>
      <c r="B857" s="707">
        <v>366</v>
      </c>
      <c r="C857" s="957" t="s">
        <v>2679</v>
      </c>
      <c r="D857" s="957" t="s">
        <v>7</v>
      </c>
      <c r="E857" s="219">
        <v>20</v>
      </c>
      <c r="F857" s="957" t="s">
        <v>2033</v>
      </c>
      <c r="G857" s="957" t="s">
        <v>2010</v>
      </c>
      <c r="H857" s="148">
        <v>0.21</v>
      </c>
      <c r="I857" s="139">
        <v>1</v>
      </c>
      <c r="J857" s="139">
        <v>0</v>
      </c>
      <c r="K857" s="139">
        <v>0</v>
      </c>
      <c r="L857" s="148">
        <v>0</v>
      </c>
      <c r="M857" s="148">
        <v>0</v>
      </c>
      <c r="N857" s="148">
        <v>0</v>
      </c>
      <c r="O857" s="148">
        <v>0</v>
      </c>
      <c r="P857" s="11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tr">
        <f t="shared" si="5"/>
        <v xml:space="preserve">20.003.000.008 </v>
      </c>
      <c r="B858" s="707">
        <v>367</v>
      </c>
      <c r="C858" s="957" t="s">
        <v>2680</v>
      </c>
      <c r="D858" s="957" t="s">
        <v>90</v>
      </c>
      <c r="E858" s="219">
        <v>14</v>
      </c>
      <c r="F858" s="957" t="s">
        <v>2034</v>
      </c>
      <c r="G858" s="957" t="s">
        <v>2566</v>
      </c>
      <c r="H858" s="148">
        <v>0.28999999999999998</v>
      </c>
      <c r="I858" s="144">
        <v>821.77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tr">
        <f t="shared" ref="A860:A891" si="6">VLOOKUP($C860&amp;$B860,$A$2008:$G$2532,2,0)</f>
        <v xml:space="preserve">01 </v>
      </c>
      <c r="B860" s="114">
        <v>1</v>
      </c>
      <c r="C860" s="137" t="s">
        <v>64</v>
      </c>
      <c r="D860" s="137"/>
      <c r="E860" s="116">
        <v>511</v>
      </c>
      <c r="F860" s="137" t="s">
        <v>1557</v>
      </c>
      <c r="G860" s="137" t="s">
        <v>2024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tr">
        <f t="shared" si="6"/>
        <v xml:space="preserve">01.000.000.001 </v>
      </c>
      <c r="B861" s="706">
        <v>2</v>
      </c>
      <c r="C861" s="957" t="s">
        <v>2681</v>
      </c>
      <c r="D861" s="957" t="s">
        <v>7</v>
      </c>
      <c r="E861" s="219">
        <v>22</v>
      </c>
      <c r="F861" s="957" t="s">
        <v>1557</v>
      </c>
      <c r="G861" s="957" t="s">
        <v>2376</v>
      </c>
      <c r="H861" s="148">
        <v>0.01</v>
      </c>
      <c r="I861" s="139">
        <v>1</v>
      </c>
      <c r="J861" s="139">
        <v>1</v>
      </c>
      <c r="K861" s="139">
        <v>0</v>
      </c>
      <c r="L861" s="145">
        <v>100</v>
      </c>
      <c r="M861" s="148">
        <v>0</v>
      </c>
      <c r="N861" s="148">
        <v>0.01</v>
      </c>
      <c r="O861" s="148">
        <v>0</v>
      </c>
      <c r="P861" s="118" t="s">
        <v>2682</v>
      </c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tr">
        <f t="shared" si="6"/>
        <v xml:space="preserve">01.000.000.002 </v>
      </c>
      <c r="B862" s="706">
        <v>3</v>
      </c>
      <c r="C862" s="957" t="s">
        <v>2683</v>
      </c>
      <c r="D862" s="957" t="s">
        <v>7</v>
      </c>
      <c r="E862" s="219">
        <v>22</v>
      </c>
      <c r="F862" s="957" t="s">
        <v>1557</v>
      </c>
      <c r="G862" s="957" t="s">
        <v>2376</v>
      </c>
      <c r="H862" s="148">
        <v>0.43</v>
      </c>
      <c r="I862" s="139">
        <v>1</v>
      </c>
      <c r="J862" s="139">
        <v>1</v>
      </c>
      <c r="K862" s="139">
        <v>0</v>
      </c>
      <c r="L862" s="145">
        <v>100</v>
      </c>
      <c r="M862" s="148">
        <v>0</v>
      </c>
      <c r="N862" s="148">
        <v>0.43</v>
      </c>
      <c r="O862" s="148">
        <v>0</v>
      </c>
      <c r="P862" s="118" t="s">
        <v>2682</v>
      </c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tr">
        <f t="shared" si="6"/>
        <v xml:space="preserve">01.000.000.003 </v>
      </c>
      <c r="B863" s="706">
        <v>4</v>
      </c>
      <c r="C863" s="957" t="s">
        <v>2684</v>
      </c>
      <c r="D863" s="957" t="s">
        <v>10</v>
      </c>
      <c r="E863" s="707">
        <v>511</v>
      </c>
      <c r="F863" s="957" t="s">
        <v>1557</v>
      </c>
      <c r="G863" s="957" t="s">
        <v>2024</v>
      </c>
      <c r="H863" s="148">
        <v>0.32</v>
      </c>
      <c r="I863" s="146">
        <v>26</v>
      </c>
      <c r="J863" s="139">
        <v>3.3071999999999999</v>
      </c>
      <c r="K863" s="139">
        <v>0</v>
      </c>
      <c r="L863" s="147">
        <v>12.72</v>
      </c>
      <c r="M863" s="148">
        <v>0</v>
      </c>
      <c r="N863" s="148">
        <v>0.04</v>
      </c>
      <c r="O863" s="148">
        <v>0</v>
      </c>
      <c r="P863" s="118" t="s">
        <v>2164</v>
      </c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tr">
        <f t="shared" si="6"/>
        <v xml:space="preserve">01.000.000.004 </v>
      </c>
      <c r="B864" s="706">
        <v>5</v>
      </c>
      <c r="C864" s="957" t="s">
        <v>2685</v>
      </c>
      <c r="D864" s="957" t="s">
        <v>7</v>
      </c>
      <c r="E864" s="219">
        <v>22</v>
      </c>
      <c r="F864" s="957" t="s">
        <v>1557</v>
      </c>
      <c r="G864" s="957" t="s">
        <v>2376</v>
      </c>
      <c r="H864" s="148">
        <v>0.71</v>
      </c>
      <c r="I864" s="139">
        <v>1</v>
      </c>
      <c r="J864" s="139">
        <v>1</v>
      </c>
      <c r="K864" s="139">
        <v>0</v>
      </c>
      <c r="L864" s="145">
        <v>100</v>
      </c>
      <c r="M864" s="148">
        <v>0</v>
      </c>
      <c r="N864" s="148">
        <v>0.71</v>
      </c>
      <c r="O864" s="148">
        <v>0</v>
      </c>
      <c r="P864" s="118" t="s">
        <v>2682</v>
      </c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tr">
        <f t="shared" si="6"/>
        <v xml:space="preserve">01.000.000.005 </v>
      </c>
      <c r="B865" s="706">
        <v>6</v>
      </c>
      <c r="C865" s="957" t="s">
        <v>2686</v>
      </c>
      <c r="D865" s="957" t="s">
        <v>8</v>
      </c>
      <c r="E865" s="707">
        <v>511</v>
      </c>
      <c r="F865" s="957" t="s">
        <v>1557</v>
      </c>
      <c r="G865" s="957" t="s">
        <v>2024</v>
      </c>
      <c r="H865" s="148">
        <v>0.03</v>
      </c>
      <c r="I865" s="139">
        <v>1</v>
      </c>
      <c r="J865" s="139">
        <v>0.12720000000000001</v>
      </c>
      <c r="K865" s="139">
        <v>0</v>
      </c>
      <c r="L865" s="147">
        <v>12.72</v>
      </c>
      <c r="M865" s="148">
        <v>0</v>
      </c>
      <c r="N865" s="148">
        <v>0</v>
      </c>
      <c r="O865" s="148">
        <v>0</v>
      </c>
      <c r="P865" s="118" t="s">
        <v>2164</v>
      </c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tr">
        <f t="shared" si="6"/>
        <v xml:space="preserve">01.000.000.006 </v>
      </c>
      <c r="B866" s="706">
        <v>7</v>
      </c>
      <c r="C866" s="957" t="s">
        <v>2687</v>
      </c>
      <c r="D866" s="957" t="s">
        <v>7</v>
      </c>
      <c r="E866" s="219">
        <v>30</v>
      </c>
      <c r="F866" s="957" t="s">
        <v>2621</v>
      </c>
      <c r="G866" s="957" t="s">
        <v>2024</v>
      </c>
      <c r="H866" s="148">
        <v>0.05</v>
      </c>
      <c r="I866" s="139">
        <v>1</v>
      </c>
      <c r="J866" s="139">
        <v>0</v>
      </c>
      <c r="K866" s="139">
        <v>0</v>
      </c>
      <c r="L866" s="148">
        <v>0</v>
      </c>
      <c r="M866" s="148">
        <v>0</v>
      </c>
      <c r="N866" s="148">
        <v>0</v>
      </c>
      <c r="O866" s="148">
        <v>0</v>
      </c>
      <c r="P866" s="11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tr">
        <f t="shared" si="6"/>
        <v xml:space="preserve">01.000.000.007 </v>
      </c>
      <c r="B867" s="706">
        <v>8</v>
      </c>
      <c r="C867" s="957" t="s">
        <v>2688</v>
      </c>
      <c r="D867" s="957" t="s">
        <v>10</v>
      </c>
      <c r="E867" s="707">
        <v>511</v>
      </c>
      <c r="F867" s="957" t="s">
        <v>1557</v>
      </c>
      <c r="G867" s="957" t="s">
        <v>2024</v>
      </c>
      <c r="H867" s="148">
        <v>0.53</v>
      </c>
      <c r="I867" s="146">
        <v>24</v>
      </c>
      <c r="J867" s="139">
        <v>7.9992000000000001</v>
      </c>
      <c r="K867" s="139">
        <v>0</v>
      </c>
      <c r="L867" s="147">
        <v>33.33</v>
      </c>
      <c r="M867" s="148">
        <v>0</v>
      </c>
      <c r="N867" s="148">
        <v>0.18</v>
      </c>
      <c r="O867" s="148">
        <v>0</v>
      </c>
      <c r="P867" s="118" t="s">
        <v>2689</v>
      </c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tr">
        <f t="shared" si="6"/>
        <v xml:space="preserve">02 </v>
      </c>
      <c r="B868" s="114">
        <v>9</v>
      </c>
      <c r="C868" s="137" t="s">
        <v>65</v>
      </c>
      <c r="D868" s="137"/>
      <c r="E868" s="116">
        <v>511</v>
      </c>
      <c r="F868" s="137" t="s">
        <v>1557</v>
      </c>
      <c r="G868" s="137" t="s">
        <v>2024</v>
      </c>
      <c r="H868" s="138"/>
      <c r="I868" s="138"/>
      <c r="J868" s="138"/>
      <c r="K868" s="138"/>
      <c r="L868" s="138"/>
      <c r="M868" s="138"/>
      <c r="N868" s="138"/>
      <c r="O868" s="138"/>
      <c r="P868" s="138"/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tr">
        <f t="shared" si="6"/>
        <v xml:space="preserve">02.000.000.001 </v>
      </c>
      <c r="B869" s="219">
        <v>10</v>
      </c>
      <c r="C869" s="957" t="s">
        <v>2690</v>
      </c>
      <c r="D869" s="957" t="s">
        <v>10</v>
      </c>
      <c r="E869" s="707">
        <v>511</v>
      </c>
      <c r="F869" s="957" t="s">
        <v>1557</v>
      </c>
      <c r="G869" s="957" t="s">
        <v>2024</v>
      </c>
      <c r="H869" s="148">
        <v>0.04</v>
      </c>
      <c r="I869" s="146">
        <v>22</v>
      </c>
      <c r="J869" s="139">
        <v>2.7984</v>
      </c>
      <c r="K869" s="139">
        <v>0</v>
      </c>
      <c r="L869" s="147">
        <v>12.72</v>
      </c>
      <c r="M869" s="148">
        <v>0</v>
      </c>
      <c r="N869" s="148">
        <v>0</v>
      </c>
      <c r="O869" s="148">
        <v>0</v>
      </c>
      <c r="P869" s="118" t="s">
        <v>2164</v>
      </c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tr">
        <f t="shared" si="6"/>
        <v xml:space="preserve">02.000.000.002 </v>
      </c>
      <c r="B870" s="219">
        <v>11</v>
      </c>
      <c r="C870" s="957" t="s">
        <v>2691</v>
      </c>
      <c r="D870" s="957" t="s">
        <v>8</v>
      </c>
      <c r="E870" s="707">
        <v>511</v>
      </c>
      <c r="F870" s="957" t="s">
        <v>1557</v>
      </c>
      <c r="G870" s="957" t="s">
        <v>2024</v>
      </c>
      <c r="H870" s="148">
        <v>0.11</v>
      </c>
      <c r="I870" s="144">
        <v>130</v>
      </c>
      <c r="J870" s="146">
        <v>16.536000000000001</v>
      </c>
      <c r="K870" s="139">
        <v>0</v>
      </c>
      <c r="L870" s="147">
        <v>12.72</v>
      </c>
      <c r="M870" s="148">
        <v>0</v>
      </c>
      <c r="N870" s="148">
        <v>0.01</v>
      </c>
      <c r="O870" s="148">
        <v>0</v>
      </c>
      <c r="P870" s="118" t="s">
        <v>2164</v>
      </c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tr">
        <f t="shared" si="6"/>
        <v xml:space="preserve">02.000.000.003 </v>
      </c>
      <c r="B871" s="219">
        <v>12</v>
      </c>
      <c r="C871" s="957" t="s">
        <v>2692</v>
      </c>
      <c r="D871" s="957" t="s">
        <v>15</v>
      </c>
      <c r="E871" s="219">
        <v>22</v>
      </c>
      <c r="F871" s="957" t="s">
        <v>1951</v>
      </c>
      <c r="G871" s="957" t="s">
        <v>1954</v>
      </c>
      <c r="H871" s="148">
        <v>0.19</v>
      </c>
      <c r="I871" s="146">
        <v>86.96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tr">
        <f t="shared" si="6"/>
        <v xml:space="preserve">02.000.000.004 </v>
      </c>
      <c r="B872" s="219">
        <v>13</v>
      </c>
      <c r="C872" s="957" t="s">
        <v>2693</v>
      </c>
      <c r="D872" s="957" t="s">
        <v>15</v>
      </c>
      <c r="E872" s="219">
        <v>20</v>
      </c>
      <c r="F872" s="957" t="s">
        <v>2180</v>
      </c>
      <c r="G872" s="957" t="s">
        <v>2374</v>
      </c>
      <c r="H872" s="148">
        <v>0.12</v>
      </c>
      <c r="I872" s="146">
        <v>86.96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tr">
        <f t="shared" si="6"/>
        <v xml:space="preserve">02.000.000.005 </v>
      </c>
      <c r="B873" s="219">
        <v>14</v>
      </c>
      <c r="C873" s="957" t="s">
        <v>2694</v>
      </c>
      <c r="D873" s="957" t="s">
        <v>90</v>
      </c>
      <c r="E873" s="219">
        <v>83</v>
      </c>
      <c r="F873" s="957" t="s">
        <v>2029</v>
      </c>
      <c r="G873" s="957" t="s">
        <v>2167</v>
      </c>
      <c r="H873" s="148">
        <v>0.03</v>
      </c>
      <c r="I873" s="142">
        <v>1506.1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tr">
        <f t="shared" si="6"/>
        <v xml:space="preserve">02.000.000.006 </v>
      </c>
      <c r="B874" s="219">
        <v>15</v>
      </c>
      <c r="C874" s="957" t="s">
        <v>2695</v>
      </c>
      <c r="D874" s="957" t="s">
        <v>15</v>
      </c>
      <c r="E874" s="707">
        <v>149</v>
      </c>
      <c r="F874" s="957" t="s">
        <v>1950</v>
      </c>
      <c r="G874" s="957" t="s">
        <v>2027</v>
      </c>
      <c r="H874" s="148">
        <v>0.09</v>
      </c>
      <c r="I874" s="144">
        <v>173.92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tr">
        <f t="shared" si="6"/>
        <v xml:space="preserve">02.000.000.007 </v>
      </c>
      <c r="B875" s="219">
        <v>16</v>
      </c>
      <c r="C875" s="957" t="s">
        <v>2696</v>
      </c>
      <c r="D875" s="957" t="s">
        <v>8</v>
      </c>
      <c r="E875" s="707">
        <v>148</v>
      </c>
      <c r="F875" s="957" t="s">
        <v>2180</v>
      </c>
      <c r="G875" s="957" t="s">
        <v>2030</v>
      </c>
      <c r="H875" s="148">
        <v>0.01</v>
      </c>
      <c r="I875" s="146">
        <v>18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tr">
        <f t="shared" si="6"/>
        <v xml:space="preserve">02.000.000.008 </v>
      </c>
      <c r="B876" s="219">
        <v>17</v>
      </c>
      <c r="C876" s="957" t="s">
        <v>2697</v>
      </c>
      <c r="D876" s="957" t="s">
        <v>7</v>
      </c>
      <c r="E876" s="219">
        <v>20</v>
      </c>
      <c r="F876" s="957" t="s">
        <v>1555</v>
      </c>
      <c r="G876" s="957" t="s">
        <v>1952</v>
      </c>
      <c r="H876" s="148">
        <v>0.05</v>
      </c>
      <c r="I876" s="139">
        <v>1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 t="str">
        <f t="shared" si="6"/>
        <v xml:space="preserve">02.000.000.009 </v>
      </c>
      <c r="B877" s="219">
        <v>18</v>
      </c>
      <c r="C877" s="957" t="s">
        <v>2698</v>
      </c>
      <c r="D877" s="957" t="s">
        <v>7</v>
      </c>
      <c r="E877" s="707">
        <v>511</v>
      </c>
      <c r="F877" s="957" t="s">
        <v>1557</v>
      </c>
      <c r="G877" s="957" t="s">
        <v>2024</v>
      </c>
      <c r="H877" s="148">
        <v>0.03</v>
      </c>
      <c r="I877" s="139">
        <v>1</v>
      </c>
      <c r="J877" s="139">
        <v>0.12720000000000001</v>
      </c>
      <c r="K877" s="139">
        <v>0</v>
      </c>
      <c r="L877" s="147">
        <v>12.72</v>
      </c>
      <c r="M877" s="148">
        <v>0</v>
      </c>
      <c r="N877" s="148">
        <v>0</v>
      </c>
      <c r="O877" s="148">
        <v>0</v>
      </c>
      <c r="P877" s="118" t="s">
        <v>2164</v>
      </c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tr">
        <f t="shared" si="6"/>
        <v xml:space="preserve">02.000.000.010 </v>
      </c>
      <c r="B878" s="219">
        <v>19</v>
      </c>
      <c r="C878" s="957" t="s">
        <v>2699</v>
      </c>
      <c r="D878" s="957" t="s">
        <v>8</v>
      </c>
      <c r="E878" s="707">
        <v>511</v>
      </c>
      <c r="F878" s="957" t="s">
        <v>1557</v>
      </c>
      <c r="G878" s="957" t="s">
        <v>2024</v>
      </c>
      <c r="H878" s="148">
        <v>0.09</v>
      </c>
      <c r="I878" s="144">
        <v>130</v>
      </c>
      <c r="J878" s="146">
        <v>16.536000000000001</v>
      </c>
      <c r="K878" s="139">
        <v>0</v>
      </c>
      <c r="L878" s="147">
        <v>12.72</v>
      </c>
      <c r="M878" s="148">
        <v>0</v>
      </c>
      <c r="N878" s="148">
        <v>0.01</v>
      </c>
      <c r="O878" s="148">
        <v>0</v>
      </c>
      <c r="P878" s="118" t="s">
        <v>2164</v>
      </c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tr">
        <f t="shared" si="6"/>
        <v xml:space="preserve">02.000.000.011 </v>
      </c>
      <c r="B879" s="219">
        <v>20</v>
      </c>
      <c r="C879" s="957" t="s">
        <v>2700</v>
      </c>
      <c r="D879" s="957" t="s">
        <v>8</v>
      </c>
      <c r="E879" s="707">
        <v>511</v>
      </c>
      <c r="F879" s="957" t="s">
        <v>1557</v>
      </c>
      <c r="G879" s="957" t="s">
        <v>2024</v>
      </c>
      <c r="H879" s="148">
        <v>0.03</v>
      </c>
      <c r="I879" s="146">
        <v>43</v>
      </c>
      <c r="J879" s="139">
        <v>5.4695999999999998</v>
      </c>
      <c r="K879" s="139">
        <v>0</v>
      </c>
      <c r="L879" s="147">
        <v>12.72</v>
      </c>
      <c r="M879" s="148">
        <v>0</v>
      </c>
      <c r="N879" s="148">
        <v>0</v>
      </c>
      <c r="O879" s="148">
        <v>0</v>
      </c>
      <c r="P879" s="118" t="s">
        <v>2164</v>
      </c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tr">
        <f t="shared" si="6"/>
        <v xml:space="preserve">03 </v>
      </c>
      <c r="B880" s="115">
        <v>21</v>
      </c>
      <c r="C880" s="137" t="s">
        <v>327</v>
      </c>
      <c r="D880" s="137"/>
      <c r="E880" s="116">
        <v>511</v>
      </c>
      <c r="F880" s="137" t="s">
        <v>1557</v>
      </c>
      <c r="G880" s="137" t="s">
        <v>2024</v>
      </c>
      <c r="H880" s="138"/>
      <c r="I880" s="138"/>
      <c r="J880" s="138"/>
      <c r="K880" s="138"/>
      <c r="L880" s="138"/>
      <c r="M880" s="138"/>
      <c r="N880" s="138"/>
      <c r="O880" s="138"/>
      <c r="P880" s="138"/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tr">
        <f t="shared" si="6"/>
        <v xml:space="preserve">03.000.001 </v>
      </c>
      <c r="B881" s="115">
        <v>22</v>
      </c>
      <c r="C881" s="137" t="s">
        <v>2701</v>
      </c>
      <c r="D881" s="137"/>
      <c r="E881" s="116">
        <v>511</v>
      </c>
      <c r="F881" s="137" t="s">
        <v>1557</v>
      </c>
      <c r="G881" s="137" t="s">
        <v>2024</v>
      </c>
      <c r="H881" s="138"/>
      <c r="I881" s="138"/>
      <c r="J881" s="138"/>
      <c r="K881" s="138"/>
      <c r="L881" s="138"/>
      <c r="M881" s="138"/>
      <c r="N881" s="138"/>
      <c r="O881" s="138"/>
      <c r="P881" s="138"/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tr">
        <f t="shared" si="6"/>
        <v xml:space="preserve">03.000.001.001 </v>
      </c>
      <c r="B882" s="219">
        <v>23</v>
      </c>
      <c r="C882" s="957" t="s">
        <v>2702</v>
      </c>
      <c r="D882" s="957" t="s">
        <v>10</v>
      </c>
      <c r="E882" s="707">
        <v>511</v>
      </c>
      <c r="F882" s="957" t="s">
        <v>1557</v>
      </c>
      <c r="G882" s="957" t="s">
        <v>2024</v>
      </c>
      <c r="H882" s="148">
        <v>1.91</v>
      </c>
      <c r="I882" s="146">
        <v>23</v>
      </c>
      <c r="J882" s="139">
        <v>2.9256000000000002</v>
      </c>
      <c r="K882" s="139">
        <v>0</v>
      </c>
      <c r="L882" s="147">
        <v>12.72</v>
      </c>
      <c r="M882" s="148">
        <v>0</v>
      </c>
      <c r="N882" s="148">
        <v>0.24</v>
      </c>
      <c r="O882" s="148">
        <v>0</v>
      </c>
      <c r="P882" s="118" t="s">
        <v>2164</v>
      </c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tr">
        <f t="shared" si="6"/>
        <v xml:space="preserve">03.000.001.002 </v>
      </c>
      <c r="B883" s="219">
        <v>24</v>
      </c>
      <c r="C883" s="957" t="s">
        <v>2703</v>
      </c>
      <c r="D883" s="957" t="s">
        <v>10</v>
      </c>
      <c r="E883" s="707">
        <v>511</v>
      </c>
      <c r="F883" s="957" t="s">
        <v>1557</v>
      </c>
      <c r="G883" s="957" t="s">
        <v>2024</v>
      </c>
      <c r="H883" s="148">
        <v>0.37</v>
      </c>
      <c r="I883" s="146">
        <v>24</v>
      </c>
      <c r="J883" s="139">
        <v>3.0528</v>
      </c>
      <c r="K883" s="139">
        <v>0</v>
      </c>
      <c r="L883" s="147">
        <v>12.72</v>
      </c>
      <c r="M883" s="148">
        <v>0</v>
      </c>
      <c r="N883" s="148">
        <v>0.05</v>
      </c>
      <c r="O883" s="148">
        <v>0</v>
      </c>
      <c r="P883" s="118" t="s">
        <v>2164</v>
      </c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tr">
        <f t="shared" si="6"/>
        <v xml:space="preserve">03.000.001.003 </v>
      </c>
      <c r="B884" s="219">
        <v>25</v>
      </c>
      <c r="C884" s="957" t="s">
        <v>2704</v>
      </c>
      <c r="D884" s="957" t="s">
        <v>10</v>
      </c>
      <c r="E884" s="707">
        <v>511</v>
      </c>
      <c r="F884" s="957" t="s">
        <v>1557</v>
      </c>
      <c r="G884" s="957" t="s">
        <v>2024</v>
      </c>
      <c r="H884" s="148">
        <v>0.68</v>
      </c>
      <c r="I884" s="146">
        <v>23</v>
      </c>
      <c r="J884" s="139">
        <v>2.9256000000000002</v>
      </c>
      <c r="K884" s="139">
        <v>0</v>
      </c>
      <c r="L884" s="147">
        <v>12.72</v>
      </c>
      <c r="M884" s="148">
        <v>0</v>
      </c>
      <c r="N884" s="148">
        <v>0.09</v>
      </c>
      <c r="O884" s="148">
        <v>0</v>
      </c>
      <c r="P884" s="118" t="s">
        <v>2164</v>
      </c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tr">
        <f t="shared" si="6"/>
        <v xml:space="preserve">03.000.001.004 </v>
      </c>
      <c r="B885" s="219">
        <v>26</v>
      </c>
      <c r="C885" s="957" t="s">
        <v>2705</v>
      </c>
      <c r="D885" s="957" t="s">
        <v>10</v>
      </c>
      <c r="E885" s="707">
        <v>511</v>
      </c>
      <c r="F885" s="957" t="s">
        <v>1557</v>
      </c>
      <c r="G885" s="957" t="s">
        <v>2024</v>
      </c>
      <c r="H885" s="148">
        <v>0.54</v>
      </c>
      <c r="I885" s="146">
        <v>23</v>
      </c>
      <c r="J885" s="139">
        <v>2.9256000000000002</v>
      </c>
      <c r="K885" s="139">
        <v>0</v>
      </c>
      <c r="L885" s="147">
        <v>12.72</v>
      </c>
      <c r="M885" s="148">
        <v>0</v>
      </c>
      <c r="N885" s="148">
        <v>7.0000000000000007E-2</v>
      </c>
      <c r="O885" s="148">
        <v>0</v>
      </c>
      <c r="P885" s="118" t="s">
        <v>2164</v>
      </c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tr">
        <f t="shared" si="6"/>
        <v xml:space="preserve">03.000.001.005 </v>
      </c>
      <c r="B886" s="219">
        <v>27</v>
      </c>
      <c r="C886" s="957" t="s">
        <v>2706</v>
      </c>
      <c r="D886" s="957" t="s">
        <v>10</v>
      </c>
      <c r="E886" s="707">
        <v>511</v>
      </c>
      <c r="F886" s="957" t="s">
        <v>1557</v>
      </c>
      <c r="G886" s="957" t="s">
        <v>2024</v>
      </c>
      <c r="H886" s="148">
        <v>1.48</v>
      </c>
      <c r="I886" s="146">
        <v>22</v>
      </c>
      <c r="J886" s="139">
        <v>2.7984</v>
      </c>
      <c r="K886" s="139">
        <v>0</v>
      </c>
      <c r="L886" s="147">
        <v>12.72</v>
      </c>
      <c r="M886" s="148">
        <v>0</v>
      </c>
      <c r="N886" s="148">
        <v>0.19</v>
      </c>
      <c r="O886" s="148">
        <v>0</v>
      </c>
      <c r="P886" s="118" t="s">
        <v>2164</v>
      </c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tr">
        <f t="shared" si="6"/>
        <v xml:space="preserve">03.000.001.006 </v>
      </c>
      <c r="B887" s="219">
        <v>28</v>
      </c>
      <c r="C887" s="957" t="s">
        <v>2707</v>
      </c>
      <c r="D887" s="957" t="s">
        <v>10</v>
      </c>
      <c r="E887" s="707">
        <v>511</v>
      </c>
      <c r="F887" s="957" t="s">
        <v>1557</v>
      </c>
      <c r="G887" s="957" t="s">
        <v>2024</v>
      </c>
      <c r="H887" s="148">
        <v>0.38</v>
      </c>
      <c r="I887" s="146">
        <v>13</v>
      </c>
      <c r="J887" s="139">
        <v>1.6536</v>
      </c>
      <c r="K887" s="139">
        <v>0</v>
      </c>
      <c r="L887" s="147">
        <v>12.72</v>
      </c>
      <c r="M887" s="148">
        <v>0</v>
      </c>
      <c r="N887" s="148">
        <v>0.05</v>
      </c>
      <c r="O887" s="148">
        <v>0</v>
      </c>
      <c r="P887" s="118" t="s">
        <v>2164</v>
      </c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tr">
        <f t="shared" si="6"/>
        <v xml:space="preserve">03.000.001.007 </v>
      </c>
      <c r="B888" s="219">
        <v>29</v>
      </c>
      <c r="C888" s="957" t="s">
        <v>2708</v>
      </c>
      <c r="D888" s="957" t="s">
        <v>10</v>
      </c>
      <c r="E888" s="707">
        <v>511</v>
      </c>
      <c r="F888" s="957" t="s">
        <v>1557</v>
      </c>
      <c r="G888" s="957" t="s">
        <v>2024</v>
      </c>
      <c r="H888" s="148">
        <v>0.48</v>
      </c>
      <c r="I888" s="146">
        <v>23</v>
      </c>
      <c r="J888" s="139">
        <v>2.9256000000000002</v>
      </c>
      <c r="K888" s="139">
        <v>0</v>
      </c>
      <c r="L888" s="147">
        <v>12.72</v>
      </c>
      <c r="M888" s="148">
        <v>0</v>
      </c>
      <c r="N888" s="148">
        <v>0.06</v>
      </c>
      <c r="O888" s="148">
        <v>0</v>
      </c>
      <c r="P888" s="118" t="s">
        <v>2164</v>
      </c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tr">
        <f t="shared" si="6"/>
        <v xml:space="preserve">03.000.001.008 </v>
      </c>
      <c r="B889" s="219">
        <v>30</v>
      </c>
      <c r="C889" s="957" t="s">
        <v>2709</v>
      </c>
      <c r="D889" s="957" t="s">
        <v>10</v>
      </c>
      <c r="E889" s="707">
        <v>511</v>
      </c>
      <c r="F889" s="957" t="s">
        <v>1557</v>
      </c>
      <c r="G889" s="957" t="s">
        <v>2024</v>
      </c>
      <c r="H889" s="148">
        <v>0.89</v>
      </c>
      <c r="I889" s="146">
        <v>23</v>
      </c>
      <c r="J889" s="139">
        <v>2.9256000000000002</v>
      </c>
      <c r="K889" s="139">
        <v>0</v>
      </c>
      <c r="L889" s="147">
        <v>12.72</v>
      </c>
      <c r="M889" s="148">
        <v>0</v>
      </c>
      <c r="N889" s="148">
        <v>0.11</v>
      </c>
      <c r="O889" s="148">
        <v>0</v>
      </c>
      <c r="P889" s="118" t="s">
        <v>2164</v>
      </c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tr">
        <f t="shared" si="6"/>
        <v xml:space="preserve">03.000.001.009 </v>
      </c>
      <c r="B890" s="219">
        <v>31</v>
      </c>
      <c r="C890" s="957" t="s">
        <v>2710</v>
      </c>
      <c r="D890" s="957" t="s">
        <v>10</v>
      </c>
      <c r="E890" s="707">
        <v>511</v>
      </c>
      <c r="F890" s="957" t="s">
        <v>1557</v>
      </c>
      <c r="G890" s="957" t="s">
        <v>2024</v>
      </c>
      <c r="H890" s="148">
        <v>0.71</v>
      </c>
      <c r="I890" s="146">
        <v>12</v>
      </c>
      <c r="J890" s="139">
        <v>1.5264</v>
      </c>
      <c r="K890" s="139">
        <v>0</v>
      </c>
      <c r="L890" s="147">
        <v>12.72</v>
      </c>
      <c r="M890" s="148">
        <v>0</v>
      </c>
      <c r="N890" s="148">
        <v>0.09</v>
      </c>
      <c r="O890" s="148">
        <v>0</v>
      </c>
      <c r="P890" s="118" t="s">
        <v>2164</v>
      </c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tr">
        <f t="shared" si="6"/>
        <v xml:space="preserve">03.000.002 </v>
      </c>
      <c r="B891" s="115">
        <v>32</v>
      </c>
      <c r="C891" s="137" t="s">
        <v>2711</v>
      </c>
      <c r="D891" s="137"/>
      <c r="E891" s="116">
        <v>511</v>
      </c>
      <c r="F891" s="137" t="s">
        <v>1557</v>
      </c>
      <c r="G891" s="137" t="s">
        <v>2024</v>
      </c>
      <c r="H891" s="138"/>
      <c r="I891" s="138"/>
      <c r="J891" s="138"/>
      <c r="K891" s="138"/>
      <c r="L891" s="138"/>
      <c r="M891" s="138"/>
      <c r="N891" s="138"/>
      <c r="O891" s="138"/>
      <c r="P891" s="138"/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tr">
        <f t="shared" ref="A892:A923" si="7">VLOOKUP($C892&amp;$B892,$A$2008:$G$2532,2,0)</f>
        <v xml:space="preserve">03.000.002.001 </v>
      </c>
      <c r="B892" s="219">
        <v>33</v>
      </c>
      <c r="C892" s="957" t="s">
        <v>2712</v>
      </c>
      <c r="D892" s="957" t="s">
        <v>10</v>
      </c>
      <c r="E892" s="707">
        <v>511</v>
      </c>
      <c r="F892" s="957" t="s">
        <v>1557</v>
      </c>
      <c r="G892" s="957" t="s">
        <v>2024</v>
      </c>
      <c r="H892" s="148">
        <v>0.6</v>
      </c>
      <c r="I892" s="146">
        <v>29</v>
      </c>
      <c r="J892" s="139">
        <v>3.6888000000000001</v>
      </c>
      <c r="K892" s="139">
        <v>0</v>
      </c>
      <c r="L892" s="147">
        <v>12.72</v>
      </c>
      <c r="M892" s="148">
        <v>0</v>
      </c>
      <c r="N892" s="148">
        <v>0.08</v>
      </c>
      <c r="O892" s="148">
        <v>0</v>
      </c>
      <c r="P892" s="118" t="s">
        <v>2164</v>
      </c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tr">
        <f t="shared" si="7"/>
        <v xml:space="preserve">03.000.002.002 </v>
      </c>
      <c r="B893" s="219">
        <v>34</v>
      </c>
      <c r="C893" s="957" t="s">
        <v>2713</v>
      </c>
      <c r="D893" s="957" t="s">
        <v>10</v>
      </c>
      <c r="E893" s="707">
        <v>511</v>
      </c>
      <c r="F893" s="957" t="s">
        <v>1557</v>
      </c>
      <c r="G893" s="957" t="s">
        <v>2024</v>
      </c>
      <c r="H893" s="148">
        <v>0.65</v>
      </c>
      <c r="I893" s="146">
        <v>48</v>
      </c>
      <c r="J893" s="139">
        <v>6.1055999999999999</v>
      </c>
      <c r="K893" s="139">
        <v>0</v>
      </c>
      <c r="L893" s="147">
        <v>12.72</v>
      </c>
      <c r="M893" s="148">
        <v>0</v>
      </c>
      <c r="N893" s="148">
        <v>0.08</v>
      </c>
      <c r="O893" s="148">
        <v>0</v>
      </c>
      <c r="P893" s="118" t="s">
        <v>2164</v>
      </c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tr">
        <f t="shared" si="7"/>
        <v xml:space="preserve">03.000.002.003 </v>
      </c>
      <c r="B894" s="219">
        <v>35</v>
      </c>
      <c r="C894" s="957" t="s">
        <v>2714</v>
      </c>
      <c r="D894" s="957" t="s">
        <v>10</v>
      </c>
      <c r="E894" s="707">
        <v>511</v>
      </c>
      <c r="F894" s="957" t="s">
        <v>1557</v>
      </c>
      <c r="G894" s="957" t="s">
        <v>2024</v>
      </c>
      <c r="H894" s="148">
        <v>0.24</v>
      </c>
      <c r="I894" s="146">
        <v>18</v>
      </c>
      <c r="J894" s="139">
        <v>2.2896000000000001</v>
      </c>
      <c r="K894" s="139">
        <v>0</v>
      </c>
      <c r="L894" s="147">
        <v>12.72</v>
      </c>
      <c r="M894" s="148">
        <v>0</v>
      </c>
      <c r="N894" s="148">
        <v>0.03</v>
      </c>
      <c r="O894" s="148">
        <v>0</v>
      </c>
      <c r="P894" s="118" t="s">
        <v>2164</v>
      </c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tr">
        <f t="shared" si="7"/>
        <v xml:space="preserve">03.000.002.004 </v>
      </c>
      <c r="B895" s="219">
        <v>36</v>
      </c>
      <c r="C895" s="957" t="s">
        <v>2715</v>
      </c>
      <c r="D895" s="957" t="s">
        <v>10</v>
      </c>
      <c r="E895" s="707">
        <v>511</v>
      </c>
      <c r="F895" s="957" t="s">
        <v>1557</v>
      </c>
      <c r="G895" s="957" t="s">
        <v>2024</v>
      </c>
      <c r="H895" s="148">
        <v>0.21</v>
      </c>
      <c r="I895" s="146">
        <v>10</v>
      </c>
      <c r="J895" s="139">
        <v>1.272</v>
      </c>
      <c r="K895" s="139">
        <v>0</v>
      </c>
      <c r="L895" s="147">
        <v>12.72</v>
      </c>
      <c r="M895" s="148">
        <v>0</v>
      </c>
      <c r="N895" s="148">
        <v>0.03</v>
      </c>
      <c r="O895" s="148">
        <v>0</v>
      </c>
      <c r="P895" s="118" t="s">
        <v>2164</v>
      </c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tr">
        <f t="shared" si="7"/>
        <v xml:space="preserve">03.000.002.005 </v>
      </c>
      <c r="B896" s="219">
        <v>37</v>
      </c>
      <c r="C896" s="957" t="s">
        <v>2716</v>
      </c>
      <c r="D896" s="957" t="s">
        <v>10</v>
      </c>
      <c r="E896" s="707">
        <v>511</v>
      </c>
      <c r="F896" s="957" t="s">
        <v>1557</v>
      </c>
      <c r="G896" s="957" t="s">
        <v>2024</v>
      </c>
      <c r="H896" s="148">
        <v>0.21</v>
      </c>
      <c r="I896" s="146">
        <v>10</v>
      </c>
      <c r="J896" s="139">
        <v>1.272</v>
      </c>
      <c r="K896" s="139">
        <v>0</v>
      </c>
      <c r="L896" s="147">
        <v>12.72</v>
      </c>
      <c r="M896" s="148">
        <v>0</v>
      </c>
      <c r="N896" s="148">
        <v>0.03</v>
      </c>
      <c r="O896" s="148">
        <v>0</v>
      </c>
      <c r="P896" s="118" t="s">
        <v>2164</v>
      </c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tr">
        <f t="shared" si="7"/>
        <v xml:space="preserve">03.000.002.006 </v>
      </c>
      <c r="B897" s="219">
        <v>38</v>
      </c>
      <c r="C897" s="957" t="s">
        <v>2717</v>
      </c>
      <c r="D897" s="957" t="s">
        <v>10</v>
      </c>
      <c r="E897" s="707">
        <v>511</v>
      </c>
      <c r="F897" s="957" t="s">
        <v>1557</v>
      </c>
      <c r="G897" s="957" t="s">
        <v>2024</v>
      </c>
      <c r="H897" s="148">
        <v>0.33</v>
      </c>
      <c r="I897" s="139">
        <v>2</v>
      </c>
      <c r="J897" s="139">
        <v>0.25440000000000002</v>
      </c>
      <c r="K897" s="139">
        <v>0</v>
      </c>
      <c r="L897" s="147">
        <v>12.72</v>
      </c>
      <c r="M897" s="148">
        <v>0</v>
      </c>
      <c r="N897" s="148">
        <v>0.04</v>
      </c>
      <c r="O897" s="148">
        <v>0</v>
      </c>
      <c r="P897" s="118" t="s">
        <v>2164</v>
      </c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tr">
        <f t="shared" si="7"/>
        <v xml:space="preserve">03.000.002.007 </v>
      </c>
      <c r="B898" s="219">
        <v>39</v>
      </c>
      <c r="C898" s="957" t="s">
        <v>2718</v>
      </c>
      <c r="D898" s="957" t="s">
        <v>10</v>
      </c>
      <c r="E898" s="707">
        <v>511</v>
      </c>
      <c r="F898" s="957" t="s">
        <v>1557</v>
      </c>
      <c r="G898" s="957" t="s">
        <v>2024</v>
      </c>
      <c r="H898" s="148">
        <v>0.71</v>
      </c>
      <c r="I898" s="146">
        <v>20</v>
      </c>
      <c r="J898" s="139">
        <v>2.544</v>
      </c>
      <c r="K898" s="139">
        <v>0</v>
      </c>
      <c r="L898" s="147">
        <v>12.72</v>
      </c>
      <c r="M898" s="148">
        <v>0</v>
      </c>
      <c r="N898" s="148">
        <v>0.09</v>
      </c>
      <c r="O898" s="148">
        <v>0</v>
      </c>
      <c r="P898" s="118" t="s">
        <v>2164</v>
      </c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tr">
        <f t="shared" si="7"/>
        <v xml:space="preserve">03.000.002.008 </v>
      </c>
      <c r="B899" s="219">
        <v>40</v>
      </c>
      <c r="C899" s="957" t="s">
        <v>2719</v>
      </c>
      <c r="D899" s="957" t="s">
        <v>10</v>
      </c>
      <c r="E899" s="707">
        <v>511</v>
      </c>
      <c r="F899" s="957" t="s">
        <v>1557</v>
      </c>
      <c r="G899" s="957" t="s">
        <v>2024</v>
      </c>
      <c r="H899" s="148">
        <v>0.27</v>
      </c>
      <c r="I899" s="139">
        <v>7</v>
      </c>
      <c r="J899" s="139">
        <v>0.89039999999999997</v>
      </c>
      <c r="K899" s="139">
        <v>0</v>
      </c>
      <c r="L899" s="147">
        <v>12.72</v>
      </c>
      <c r="M899" s="148">
        <v>0</v>
      </c>
      <c r="N899" s="148">
        <v>0.03</v>
      </c>
      <c r="O899" s="148">
        <v>0</v>
      </c>
      <c r="P899" s="118" t="s">
        <v>2164</v>
      </c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tr">
        <f t="shared" si="7"/>
        <v xml:space="preserve">03.000.003 </v>
      </c>
      <c r="B900" s="115">
        <v>41</v>
      </c>
      <c r="C900" s="137" t="s">
        <v>2720</v>
      </c>
      <c r="D900" s="137"/>
      <c r="E900" s="116">
        <v>511</v>
      </c>
      <c r="F900" s="137" t="s">
        <v>1557</v>
      </c>
      <c r="G900" s="137" t="s">
        <v>2024</v>
      </c>
      <c r="H900" s="138"/>
      <c r="I900" s="138"/>
      <c r="J900" s="138"/>
      <c r="K900" s="138"/>
      <c r="L900" s="138"/>
      <c r="M900" s="138"/>
      <c r="N900" s="138"/>
      <c r="O900" s="138"/>
      <c r="P900" s="138"/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tr">
        <f t="shared" si="7"/>
        <v xml:space="preserve">03.000.003.001 </v>
      </c>
      <c r="B901" s="219">
        <v>42</v>
      </c>
      <c r="C901" s="957" t="s">
        <v>2721</v>
      </c>
      <c r="D901" s="957" t="s">
        <v>8</v>
      </c>
      <c r="E901" s="707">
        <v>511</v>
      </c>
      <c r="F901" s="957" t="s">
        <v>1557</v>
      </c>
      <c r="G901" s="957" t="s">
        <v>2024</v>
      </c>
      <c r="H901" s="148">
        <v>0.06</v>
      </c>
      <c r="I901" s="146">
        <v>35</v>
      </c>
      <c r="J901" s="139">
        <v>4.452</v>
      </c>
      <c r="K901" s="139">
        <v>0</v>
      </c>
      <c r="L901" s="147">
        <v>12.72</v>
      </c>
      <c r="M901" s="148">
        <v>0</v>
      </c>
      <c r="N901" s="148">
        <v>0.01</v>
      </c>
      <c r="O901" s="148">
        <v>0</v>
      </c>
      <c r="P901" s="118" t="s">
        <v>2164</v>
      </c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tr">
        <f t="shared" si="7"/>
        <v xml:space="preserve">03.000.003.002 </v>
      </c>
      <c r="B902" s="219">
        <v>43</v>
      </c>
      <c r="C902" s="957" t="s">
        <v>2722</v>
      </c>
      <c r="D902" s="957" t="s">
        <v>8</v>
      </c>
      <c r="E902" s="707">
        <v>511</v>
      </c>
      <c r="F902" s="957" t="s">
        <v>1557</v>
      </c>
      <c r="G902" s="957" t="s">
        <v>2024</v>
      </c>
      <c r="H902" s="148">
        <v>0.51</v>
      </c>
      <c r="I902" s="144">
        <v>391</v>
      </c>
      <c r="J902" s="146">
        <v>49.735199999999999</v>
      </c>
      <c r="K902" s="139">
        <v>0</v>
      </c>
      <c r="L902" s="147">
        <v>12.72</v>
      </c>
      <c r="M902" s="148">
        <v>0</v>
      </c>
      <c r="N902" s="148">
        <v>0.06</v>
      </c>
      <c r="O902" s="148">
        <v>0</v>
      </c>
      <c r="P902" s="118" t="s">
        <v>2164</v>
      </c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tr">
        <f t="shared" si="7"/>
        <v xml:space="preserve">03.000.003.003 </v>
      </c>
      <c r="B903" s="219">
        <v>44</v>
      </c>
      <c r="C903" s="957" t="s">
        <v>2723</v>
      </c>
      <c r="D903" s="957" t="s">
        <v>8</v>
      </c>
      <c r="E903" s="707">
        <v>511</v>
      </c>
      <c r="F903" s="957" t="s">
        <v>1557</v>
      </c>
      <c r="G903" s="957" t="s">
        <v>2024</v>
      </c>
      <c r="H903" s="148">
        <v>1.38</v>
      </c>
      <c r="I903" s="140">
        <v>25806</v>
      </c>
      <c r="J903" s="142">
        <v>3282.5232000000001</v>
      </c>
      <c r="K903" s="139">
        <v>0</v>
      </c>
      <c r="L903" s="147">
        <v>12.72</v>
      </c>
      <c r="M903" s="148">
        <v>0</v>
      </c>
      <c r="N903" s="148">
        <v>0.17</v>
      </c>
      <c r="O903" s="148">
        <v>0</v>
      </c>
      <c r="P903" s="118" t="s">
        <v>2164</v>
      </c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tr">
        <f t="shared" si="7"/>
        <v xml:space="preserve">03.000.003.004 </v>
      </c>
      <c r="B904" s="219">
        <v>45</v>
      </c>
      <c r="C904" s="957" t="s">
        <v>2724</v>
      </c>
      <c r="D904" s="957" t="s">
        <v>8</v>
      </c>
      <c r="E904" s="707">
        <v>511</v>
      </c>
      <c r="F904" s="957" t="s">
        <v>1557</v>
      </c>
      <c r="G904" s="957" t="s">
        <v>2024</v>
      </c>
      <c r="H904" s="148">
        <v>0.31</v>
      </c>
      <c r="I904" s="142">
        <v>8602</v>
      </c>
      <c r="J904" s="142">
        <v>1094.1744000000001</v>
      </c>
      <c r="K904" s="139">
        <v>0</v>
      </c>
      <c r="L904" s="147">
        <v>12.72</v>
      </c>
      <c r="M904" s="148">
        <v>0</v>
      </c>
      <c r="N904" s="148">
        <v>0.04</v>
      </c>
      <c r="O904" s="148">
        <v>0</v>
      </c>
      <c r="P904" s="118" t="s">
        <v>2164</v>
      </c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tr">
        <f t="shared" si="7"/>
        <v xml:space="preserve">03.000.003.005 </v>
      </c>
      <c r="B905" s="219">
        <v>46</v>
      </c>
      <c r="C905" s="957" t="s">
        <v>2725</v>
      </c>
      <c r="D905" s="957" t="s">
        <v>8</v>
      </c>
      <c r="E905" s="707">
        <v>511</v>
      </c>
      <c r="F905" s="957" t="s">
        <v>1557</v>
      </c>
      <c r="G905" s="957" t="s">
        <v>2024</v>
      </c>
      <c r="H905" s="148">
        <v>0.01</v>
      </c>
      <c r="I905" s="146">
        <v>34</v>
      </c>
      <c r="J905" s="139">
        <v>4.3247999999999998</v>
      </c>
      <c r="K905" s="139">
        <v>0</v>
      </c>
      <c r="L905" s="147">
        <v>12.72</v>
      </c>
      <c r="M905" s="148">
        <v>0</v>
      </c>
      <c r="N905" s="148">
        <v>0</v>
      </c>
      <c r="O905" s="148">
        <v>0</v>
      </c>
      <c r="P905" s="118" t="s">
        <v>2164</v>
      </c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tr">
        <f t="shared" si="7"/>
        <v xml:space="preserve">03.000.003.006 </v>
      </c>
      <c r="B906" s="219">
        <v>47</v>
      </c>
      <c r="C906" s="957" t="s">
        <v>2726</v>
      </c>
      <c r="D906" s="957" t="s">
        <v>7</v>
      </c>
      <c r="E906" s="707">
        <v>511</v>
      </c>
      <c r="F906" s="957" t="s">
        <v>1557</v>
      </c>
      <c r="G906" s="957" t="s">
        <v>2024</v>
      </c>
      <c r="H906" s="118"/>
      <c r="I906" s="139">
        <v>0</v>
      </c>
      <c r="J906" s="139">
        <v>0</v>
      </c>
      <c r="K906" s="139">
        <v>0</v>
      </c>
      <c r="L906" s="147">
        <v>12.72</v>
      </c>
      <c r="M906" s="148">
        <v>0</v>
      </c>
      <c r="N906" s="148">
        <v>0</v>
      </c>
      <c r="O906" s="148">
        <v>0</v>
      </c>
      <c r="P906" s="118"/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tr">
        <f t="shared" si="7"/>
        <v xml:space="preserve">03.000.003.007 </v>
      </c>
      <c r="B907" s="219">
        <v>48</v>
      </c>
      <c r="C907" s="957" t="s">
        <v>2727</v>
      </c>
      <c r="D907" s="957" t="s">
        <v>7</v>
      </c>
      <c r="E907" s="707">
        <v>511</v>
      </c>
      <c r="F907" s="957" t="s">
        <v>1557</v>
      </c>
      <c r="G907" s="957" t="s">
        <v>2024</v>
      </c>
      <c r="H907" s="118"/>
      <c r="I907" s="139">
        <v>0</v>
      </c>
      <c r="J907" s="139">
        <v>0</v>
      </c>
      <c r="K907" s="139">
        <v>0</v>
      </c>
      <c r="L907" s="147">
        <v>12.72</v>
      </c>
      <c r="M907" s="148">
        <v>0</v>
      </c>
      <c r="N907" s="148">
        <v>0</v>
      </c>
      <c r="O907" s="148">
        <v>0</v>
      </c>
      <c r="P907" s="118"/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tr">
        <f t="shared" si="7"/>
        <v xml:space="preserve">04 </v>
      </c>
      <c r="B908" s="115">
        <v>49</v>
      </c>
      <c r="C908" s="137" t="s">
        <v>66</v>
      </c>
      <c r="D908" s="137"/>
      <c r="E908" s="116">
        <v>444</v>
      </c>
      <c r="F908" s="137" t="s">
        <v>2166</v>
      </c>
      <c r="G908" s="137" t="s">
        <v>2026</v>
      </c>
      <c r="H908" s="138"/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tr">
        <f t="shared" si="7"/>
        <v xml:space="preserve">04.000.000.001 </v>
      </c>
      <c r="B909" s="219">
        <v>50</v>
      </c>
      <c r="C909" s="957" t="s">
        <v>2728</v>
      </c>
      <c r="D909" s="957" t="s">
        <v>10</v>
      </c>
      <c r="E909" s="219">
        <v>73</v>
      </c>
      <c r="F909" s="957" t="s">
        <v>2166</v>
      </c>
      <c r="G909" s="957" t="s">
        <v>2365</v>
      </c>
      <c r="H909" s="148">
        <v>0.02</v>
      </c>
      <c r="I909" s="146">
        <v>12</v>
      </c>
      <c r="J909" s="139">
        <v>3.4523999999999999</v>
      </c>
      <c r="K909" s="139">
        <v>0</v>
      </c>
      <c r="L909" s="147">
        <v>28.77</v>
      </c>
      <c r="M909" s="148">
        <v>0</v>
      </c>
      <c r="N909" s="148">
        <v>0.01</v>
      </c>
      <c r="O909" s="148">
        <v>0</v>
      </c>
      <c r="P909" s="118" t="s">
        <v>2682</v>
      </c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tr">
        <f t="shared" si="7"/>
        <v xml:space="preserve">04.000.000.002 </v>
      </c>
      <c r="B910" s="219">
        <v>51</v>
      </c>
      <c r="C910" s="957" t="s">
        <v>2729</v>
      </c>
      <c r="D910" s="957" t="s">
        <v>10</v>
      </c>
      <c r="E910" s="707">
        <v>137</v>
      </c>
      <c r="F910" s="957" t="s">
        <v>2180</v>
      </c>
      <c r="G910" s="957" t="s">
        <v>2500</v>
      </c>
      <c r="H910" s="148">
        <v>0.02</v>
      </c>
      <c r="I910" s="139">
        <v>6</v>
      </c>
      <c r="J910" s="139">
        <v>0</v>
      </c>
      <c r="K910" s="139">
        <v>0</v>
      </c>
      <c r="L910" s="148">
        <v>0</v>
      </c>
      <c r="M910" s="148">
        <v>0</v>
      </c>
      <c r="N910" s="148">
        <v>0</v>
      </c>
      <c r="O910" s="148">
        <v>0</v>
      </c>
      <c r="P910" s="118"/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tr">
        <f t="shared" si="7"/>
        <v xml:space="preserve">04.000.000.003 </v>
      </c>
      <c r="B911" s="219">
        <v>52</v>
      </c>
      <c r="C911" s="957" t="s">
        <v>2730</v>
      </c>
      <c r="D911" s="957" t="s">
        <v>10</v>
      </c>
      <c r="E911" s="219">
        <v>43</v>
      </c>
      <c r="F911" s="957" t="s">
        <v>2180</v>
      </c>
      <c r="G911" s="957" t="s">
        <v>2027</v>
      </c>
      <c r="H911" s="148">
        <v>0.02</v>
      </c>
      <c r="I911" s="139">
        <v>3</v>
      </c>
      <c r="J911" s="139">
        <v>0</v>
      </c>
      <c r="K911" s="139">
        <v>0</v>
      </c>
      <c r="L911" s="148">
        <v>0</v>
      </c>
      <c r="M911" s="148">
        <v>0</v>
      </c>
      <c r="N911" s="148">
        <v>0</v>
      </c>
      <c r="O911" s="148">
        <v>0</v>
      </c>
      <c r="P911" s="118"/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tr">
        <f t="shared" si="7"/>
        <v xml:space="preserve">04.000.000.004 </v>
      </c>
      <c r="B912" s="219">
        <v>53</v>
      </c>
      <c r="C912" s="957" t="s">
        <v>2731</v>
      </c>
      <c r="D912" s="957" t="s">
        <v>10</v>
      </c>
      <c r="E912" s="707">
        <v>211</v>
      </c>
      <c r="F912" s="957" t="s">
        <v>2166</v>
      </c>
      <c r="G912" s="957" t="s">
        <v>2027</v>
      </c>
      <c r="H912" s="148">
        <v>0.01</v>
      </c>
      <c r="I912" s="139">
        <v>5</v>
      </c>
      <c r="J912" s="139">
        <v>0.4975</v>
      </c>
      <c r="K912" s="139">
        <v>0</v>
      </c>
      <c r="L912" s="148">
        <v>9.9499999999999993</v>
      </c>
      <c r="M912" s="148">
        <v>0</v>
      </c>
      <c r="N912" s="148">
        <v>0</v>
      </c>
      <c r="O912" s="148">
        <v>0</v>
      </c>
      <c r="P912" s="118" t="s">
        <v>2036</v>
      </c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tr">
        <f t="shared" si="7"/>
        <v xml:space="preserve">04.000.000.005 </v>
      </c>
      <c r="B913" s="219">
        <v>54</v>
      </c>
      <c r="C913" s="957" t="s">
        <v>2732</v>
      </c>
      <c r="D913" s="957" t="s">
        <v>8</v>
      </c>
      <c r="E913" s="707">
        <v>211</v>
      </c>
      <c r="F913" s="957" t="s">
        <v>2166</v>
      </c>
      <c r="G913" s="957" t="s">
        <v>2027</v>
      </c>
      <c r="H913" s="148">
        <v>0.01</v>
      </c>
      <c r="I913" s="139">
        <v>1</v>
      </c>
      <c r="J913" s="139">
        <v>9.9500000000000005E-2</v>
      </c>
      <c r="K913" s="139">
        <v>0</v>
      </c>
      <c r="L913" s="148">
        <v>9.9499999999999993</v>
      </c>
      <c r="M913" s="148">
        <v>0</v>
      </c>
      <c r="N913" s="148">
        <v>0</v>
      </c>
      <c r="O913" s="148">
        <v>0</v>
      </c>
      <c r="P913" s="118" t="s">
        <v>2036</v>
      </c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tr">
        <f t="shared" si="7"/>
        <v xml:space="preserve">04.000.000.006 </v>
      </c>
      <c r="B914" s="219">
        <v>55</v>
      </c>
      <c r="C914" s="957" t="s">
        <v>2733</v>
      </c>
      <c r="D914" s="957" t="s">
        <v>10</v>
      </c>
      <c r="E914" s="707">
        <v>211</v>
      </c>
      <c r="F914" s="957" t="s">
        <v>2166</v>
      </c>
      <c r="G914" s="957" t="s">
        <v>2027</v>
      </c>
      <c r="H914" s="148">
        <v>0.35</v>
      </c>
      <c r="I914" s="146">
        <v>13</v>
      </c>
      <c r="J914" s="139">
        <v>1.2935000000000001</v>
      </c>
      <c r="K914" s="139">
        <v>0</v>
      </c>
      <c r="L914" s="148">
        <v>9.9499999999999993</v>
      </c>
      <c r="M914" s="148">
        <v>0</v>
      </c>
      <c r="N914" s="148">
        <v>0.04</v>
      </c>
      <c r="O914" s="148">
        <v>0</v>
      </c>
      <c r="P914" s="118" t="s">
        <v>2036</v>
      </c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tr">
        <f t="shared" si="7"/>
        <v xml:space="preserve">04.000.000.007 </v>
      </c>
      <c r="B915" s="219">
        <v>56</v>
      </c>
      <c r="C915" s="957" t="s">
        <v>2734</v>
      </c>
      <c r="D915" s="957" t="s">
        <v>10</v>
      </c>
      <c r="E915" s="707">
        <v>211</v>
      </c>
      <c r="F915" s="957" t="s">
        <v>2166</v>
      </c>
      <c r="G915" s="957" t="s">
        <v>2027</v>
      </c>
      <c r="H915" s="148">
        <v>7.0000000000000007E-2</v>
      </c>
      <c r="I915" s="146">
        <v>24</v>
      </c>
      <c r="J915" s="139">
        <v>2.3879999999999999</v>
      </c>
      <c r="K915" s="139">
        <v>0</v>
      </c>
      <c r="L915" s="148">
        <v>9.9499999999999993</v>
      </c>
      <c r="M915" s="148">
        <v>0</v>
      </c>
      <c r="N915" s="148">
        <v>0.01</v>
      </c>
      <c r="O915" s="148">
        <v>0</v>
      </c>
      <c r="P915" s="118" t="s">
        <v>2036</v>
      </c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tr">
        <f t="shared" si="7"/>
        <v xml:space="preserve">04.000.000.008 </v>
      </c>
      <c r="B916" s="219">
        <v>57</v>
      </c>
      <c r="C916" s="957" t="s">
        <v>2735</v>
      </c>
      <c r="D916" s="957" t="s">
        <v>10</v>
      </c>
      <c r="E916" s="707">
        <v>211</v>
      </c>
      <c r="F916" s="957" t="s">
        <v>2166</v>
      </c>
      <c r="G916" s="957" t="s">
        <v>2027</v>
      </c>
      <c r="H916" s="148">
        <v>0.01</v>
      </c>
      <c r="I916" s="139">
        <v>3</v>
      </c>
      <c r="J916" s="139">
        <v>0.29849999999999999</v>
      </c>
      <c r="K916" s="139">
        <v>0</v>
      </c>
      <c r="L916" s="148">
        <v>9.9499999999999993</v>
      </c>
      <c r="M916" s="148">
        <v>0</v>
      </c>
      <c r="N916" s="148">
        <v>0</v>
      </c>
      <c r="O916" s="148">
        <v>0</v>
      </c>
      <c r="P916" s="118" t="s">
        <v>2036</v>
      </c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tr">
        <f t="shared" si="7"/>
        <v xml:space="preserve">04.000.000.009 </v>
      </c>
      <c r="B917" s="219">
        <v>58</v>
      </c>
      <c r="C917" s="957" t="s">
        <v>2736</v>
      </c>
      <c r="D917" s="957" t="s">
        <v>8</v>
      </c>
      <c r="E917" s="707">
        <v>380</v>
      </c>
      <c r="F917" s="957" t="s">
        <v>2166</v>
      </c>
      <c r="G917" s="957" t="s">
        <v>2008</v>
      </c>
      <c r="H917" s="148">
        <v>0.01</v>
      </c>
      <c r="I917" s="139">
        <v>1</v>
      </c>
      <c r="J917" s="139">
        <v>5.5300000000000002E-2</v>
      </c>
      <c r="K917" s="139">
        <v>0</v>
      </c>
      <c r="L917" s="148">
        <v>5.53</v>
      </c>
      <c r="M917" s="148">
        <v>0</v>
      </c>
      <c r="N917" s="148">
        <v>0</v>
      </c>
      <c r="O917" s="148">
        <v>0</v>
      </c>
      <c r="P917" s="118" t="s">
        <v>2682</v>
      </c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tr">
        <f t="shared" si="7"/>
        <v xml:space="preserve">04.000.000.010 </v>
      </c>
      <c r="B918" s="219">
        <v>59</v>
      </c>
      <c r="C918" s="957" t="s">
        <v>2737</v>
      </c>
      <c r="D918" s="957" t="s">
        <v>15</v>
      </c>
      <c r="E918" s="707">
        <v>233</v>
      </c>
      <c r="F918" s="957" t="s">
        <v>1955</v>
      </c>
      <c r="G918" s="957" t="s">
        <v>2008</v>
      </c>
      <c r="H918" s="148">
        <v>7.0000000000000007E-2</v>
      </c>
      <c r="I918" s="144">
        <v>500</v>
      </c>
      <c r="J918" s="139">
        <v>0</v>
      </c>
      <c r="K918" s="139">
        <v>0</v>
      </c>
      <c r="L918" s="148">
        <v>0</v>
      </c>
      <c r="M918" s="148">
        <v>0</v>
      </c>
      <c r="N918" s="148">
        <v>0</v>
      </c>
      <c r="O918" s="148">
        <v>0</v>
      </c>
      <c r="P918" s="11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tr">
        <f t="shared" si="7"/>
        <v xml:space="preserve">04.000.000.011 </v>
      </c>
      <c r="B919" s="219">
        <v>60</v>
      </c>
      <c r="C919" s="957" t="s">
        <v>2738</v>
      </c>
      <c r="D919" s="957" t="s">
        <v>90</v>
      </c>
      <c r="E919" s="707">
        <v>233</v>
      </c>
      <c r="F919" s="957" t="s">
        <v>1955</v>
      </c>
      <c r="G919" s="957" t="s">
        <v>2008</v>
      </c>
      <c r="H919" s="148">
        <v>0.02</v>
      </c>
      <c r="I919" s="146">
        <v>48</v>
      </c>
      <c r="J919" s="139">
        <v>0</v>
      </c>
      <c r="K919" s="139">
        <v>0</v>
      </c>
      <c r="L919" s="148">
        <v>0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tr">
        <f t="shared" si="7"/>
        <v xml:space="preserve">04.000.000.012 </v>
      </c>
      <c r="B920" s="219">
        <v>61</v>
      </c>
      <c r="C920" s="957" t="s">
        <v>2739</v>
      </c>
      <c r="D920" s="957" t="s">
        <v>10</v>
      </c>
      <c r="E920" s="707">
        <v>211</v>
      </c>
      <c r="F920" s="957" t="s">
        <v>2166</v>
      </c>
      <c r="G920" s="957" t="s">
        <v>2027</v>
      </c>
      <c r="H920" s="148">
        <v>0</v>
      </c>
      <c r="I920" s="139">
        <v>1</v>
      </c>
      <c r="J920" s="139">
        <v>9.9500000000000005E-2</v>
      </c>
      <c r="K920" s="139">
        <v>0</v>
      </c>
      <c r="L920" s="148">
        <v>9.9499999999999993</v>
      </c>
      <c r="M920" s="148">
        <v>0</v>
      </c>
      <c r="N920" s="148">
        <v>0</v>
      </c>
      <c r="O920" s="148">
        <v>0</v>
      </c>
      <c r="P920" s="118" t="s">
        <v>2036</v>
      </c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tr">
        <f t="shared" si="7"/>
        <v xml:space="preserve">04.000.000.013 </v>
      </c>
      <c r="B921" s="219">
        <v>62</v>
      </c>
      <c r="C921" s="957" t="s">
        <v>2740</v>
      </c>
      <c r="D921" s="957" t="s">
        <v>10</v>
      </c>
      <c r="E921" s="219">
        <v>29</v>
      </c>
      <c r="F921" s="957" t="s">
        <v>2180</v>
      </c>
      <c r="G921" s="957" t="s">
        <v>2741</v>
      </c>
      <c r="H921" s="148">
        <v>0.78</v>
      </c>
      <c r="I921" s="146">
        <v>11</v>
      </c>
      <c r="J921" s="139">
        <v>0</v>
      </c>
      <c r="K921" s="139">
        <v>0</v>
      </c>
      <c r="L921" s="148">
        <v>0</v>
      </c>
      <c r="M921" s="148">
        <v>0</v>
      </c>
      <c r="N921" s="148">
        <v>0</v>
      </c>
      <c r="O921" s="148">
        <v>0</v>
      </c>
      <c r="P921" s="118"/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tr">
        <f t="shared" si="7"/>
        <v xml:space="preserve">04.000.000.014 </v>
      </c>
      <c r="B922" s="219">
        <v>63</v>
      </c>
      <c r="C922" s="957" t="s">
        <v>2742</v>
      </c>
      <c r="D922" s="957" t="s">
        <v>10</v>
      </c>
      <c r="E922" s="219">
        <v>21</v>
      </c>
      <c r="F922" s="957" t="s">
        <v>2165</v>
      </c>
      <c r="G922" s="957" t="s">
        <v>2016</v>
      </c>
      <c r="H922" s="148">
        <v>0.23</v>
      </c>
      <c r="I922" s="146">
        <v>66</v>
      </c>
      <c r="J922" s="139">
        <v>0</v>
      </c>
      <c r="K922" s="139">
        <v>0</v>
      </c>
      <c r="L922" s="148">
        <v>0</v>
      </c>
      <c r="M922" s="148">
        <v>0</v>
      </c>
      <c r="N922" s="148">
        <v>0</v>
      </c>
      <c r="O922" s="148">
        <v>0</v>
      </c>
      <c r="P922" s="118"/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tr">
        <f t="shared" si="7"/>
        <v xml:space="preserve">04.000.001 </v>
      </c>
      <c r="B923" s="115">
        <v>64</v>
      </c>
      <c r="C923" s="137" t="s">
        <v>2743</v>
      </c>
      <c r="D923" s="137"/>
      <c r="E923" s="116">
        <v>382</v>
      </c>
      <c r="F923" s="137" t="s">
        <v>1950</v>
      </c>
      <c r="G923" s="137" t="s">
        <v>2026</v>
      </c>
      <c r="H923" s="138"/>
      <c r="I923" s="138"/>
      <c r="J923" s="138"/>
      <c r="K923" s="138"/>
      <c r="L923" s="138"/>
      <c r="M923" s="138"/>
      <c r="N923" s="138"/>
      <c r="O923" s="138"/>
      <c r="P923" s="138"/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tr">
        <f t="shared" ref="A924:A957" si="8">VLOOKUP($C924&amp;$B924,$A$2008:$G$2532,2,0)</f>
        <v xml:space="preserve">04.000.001.001 </v>
      </c>
      <c r="B924" s="219">
        <v>65</v>
      </c>
      <c r="C924" s="957" t="s">
        <v>2744</v>
      </c>
      <c r="D924" s="957" t="s">
        <v>7</v>
      </c>
      <c r="E924" s="707">
        <v>265</v>
      </c>
      <c r="F924" s="957" t="s">
        <v>2745</v>
      </c>
      <c r="G924" s="957" t="s">
        <v>2621</v>
      </c>
      <c r="H924" s="148">
        <v>0.03</v>
      </c>
      <c r="I924" s="139">
        <v>1</v>
      </c>
      <c r="J924" s="139">
        <v>0</v>
      </c>
      <c r="K924" s="139">
        <v>0</v>
      </c>
      <c r="L924" s="148">
        <v>0</v>
      </c>
      <c r="M924" s="148">
        <v>0</v>
      </c>
      <c r="N924" s="148">
        <v>0</v>
      </c>
      <c r="O924" s="148">
        <v>0</v>
      </c>
      <c r="P924" s="118"/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tr">
        <f t="shared" si="8"/>
        <v xml:space="preserve">04.000.001.002 </v>
      </c>
      <c r="B925" s="219">
        <v>66</v>
      </c>
      <c r="C925" s="957" t="s">
        <v>2746</v>
      </c>
      <c r="D925" s="957" t="s">
        <v>7</v>
      </c>
      <c r="E925" s="707">
        <v>186</v>
      </c>
      <c r="F925" s="957" t="s">
        <v>2745</v>
      </c>
      <c r="G925" s="957" t="s">
        <v>2170</v>
      </c>
      <c r="H925" s="148">
        <v>0.15</v>
      </c>
      <c r="I925" s="139">
        <v>1</v>
      </c>
      <c r="J925" s="139">
        <v>0</v>
      </c>
      <c r="K925" s="139">
        <v>0</v>
      </c>
      <c r="L925" s="148">
        <v>0</v>
      </c>
      <c r="M925" s="148">
        <v>0</v>
      </c>
      <c r="N925" s="148">
        <v>0</v>
      </c>
      <c r="O925" s="148">
        <v>0</v>
      </c>
      <c r="P925" s="118"/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tr">
        <f t="shared" si="8"/>
        <v xml:space="preserve">04.000.001.003 </v>
      </c>
      <c r="B926" s="219">
        <v>67</v>
      </c>
      <c r="C926" s="957" t="s">
        <v>2747</v>
      </c>
      <c r="D926" s="957" t="s">
        <v>8</v>
      </c>
      <c r="E926" s="707">
        <v>265</v>
      </c>
      <c r="F926" s="957" t="s">
        <v>2745</v>
      </c>
      <c r="G926" s="957" t="s">
        <v>2621</v>
      </c>
      <c r="H926" s="148">
        <v>0.01</v>
      </c>
      <c r="I926" s="139">
        <v>1</v>
      </c>
      <c r="J926" s="139">
        <v>0</v>
      </c>
      <c r="K926" s="139">
        <v>0</v>
      </c>
      <c r="L926" s="148">
        <v>0</v>
      </c>
      <c r="M926" s="148">
        <v>0</v>
      </c>
      <c r="N926" s="148">
        <v>0</v>
      </c>
      <c r="O926" s="148">
        <v>0</v>
      </c>
      <c r="P926" s="11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tr">
        <f t="shared" si="8"/>
        <v xml:space="preserve">04.000.001.004 </v>
      </c>
      <c r="B927" s="219">
        <v>68</v>
      </c>
      <c r="C927" s="957" t="s">
        <v>2748</v>
      </c>
      <c r="D927" s="957" t="s">
        <v>10</v>
      </c>
      <c r="E927" s="707">
        <v>192</v>
      </c>
      <c r="F927" s="957" t="s">
        <v>2176</v>
      </c>
      <c r="G927" s="957" t="s">
        <v>2543</v>
      </c>
      <c r="H927" s="148">
        <v>0.08</v>
      </c>
      <c r="I927" s="146">
        <v>44</v>
      </c>
      <c r="J927" s="139">
        <v>0</v>
      </c>
      <c r="K927" s="139">
        <v>0</v>
      </c>
      <c r="L927" s="148">
        <v>0</v>
      </c>
      <c r="M927" s="148">
        <v>0</v>
      </c>
      <c r="N927" s="148">
        <v>0</v>
      </c>
      <c r="O927" s="148">
        <v>0</v>
      </c>
      <c r="P927" s="118"/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tr">
        <f t="shared" si="8"/>
        <v xml:space="preserve">04.000.001.005 </v>
      </c>
      <c r="B928" s="219">
        <v>69</v>
      </c>
      <c r="C928" s="957" t="s">
        <v>2749</v>
      </c>
      <c r="D928" s="957" t="s">
        <v>10</v>
      </c>
      <c r="E928" s="707">
        <v>382</v>
      </c>
      <c r="F928" s="957" t="s">
        <v>1950</v>
      </c>
      <c r="G928" s="957" t="s">
        <v>2026</v>
      </c>
      <c r="H928" s="148">
        <v>0.04</v>
      </c>
      <c r="I928" s="146">
        <v>21</v>
      </c>
      <c r="J928" s="139">
        <v>0</v>
      </c>
      <c r="K928" s="139">
        <v>0</v>
      </c>
      <c r="L928" s="148">
        <v>0</v>
      </c>
      <c r="M928" s="148">
        <v>0</v>
      </c>
      <c r="N928" s="148">
        <v>0</v>
      </c>
      <c r="O928" s="148">
        <v>0</v>
      </c>
      <c r="P928" s="118"/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tr">
        <f t="shared" si="8"/>
        <v xml:space="preserve">05 </v>
      </c>
      <c r="B929" s="115">
        <v>70</v>
      </c>
      <c r="C929" s="137" t="s">
        <v>328</v>
      </c>
      <c r="D929" s="137"/>
      <c r="E929" s="116">
        <v>511</v>
      </c>
      <c r="F929" s="137" t="s">
        <v>1557</v>
      </c>
      <c r="G929" s="137" t="s">
        <v>2024</v>
      </c>
      <c r="H929" s="138"/>
      <c r="I929" s="138"/>
      <c r="J929" s="138"/>
      <c r="K929" s="138"/>
      <c r="L929" s="138"/>
      <c r="M929" s="138"/>
      <c r="N929" s="138"/>
      <c r="O929" s="138"/>
      <c r="P929" s="138"/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tr">
        <f t="shared" si="8"/>
        <v xml:space="preserve">05.000.001 </v>
      </c>
      <c r="B930" s="115">
        <v>71</v>
      </c>
      <c r="C930" s="137" t="s">
        <v>2750</v>
      </c>
      <c r="D930" s="137"/>
      <c r="E930" s="116">
        <v>511</v>
      </c>
      <c r="F930" s="137" t="s">
        <v>1557</v>
      </c>
      <c r="G930" s="137" t="s">
        <v>2024</v>
      </c>
      <c r="H930" s="138"/>
      <c r="I930" s="138"/>
      <c r="J930" s="138"/>
      <c r="K930" s="138"/>
      <c r="L930" s="138"/>
      <c r="M930" s="138"/>
      <c r="N930" s="138"/>
      <c r="O930" s="138"/>
      <c r="P930" s="138"/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tr">
        <f t="shared" si="8"/>
        <v xml:space="preserve">05.000.001.001 </v>
      </c>
      <c r="B931" s="219">
        <v>72</v>
      </c>
      <c r="C931" s="957" t="s">
        <v>2751</v>
      </c>
      <c r="D931" s="957" t="s">
        <v>10</v>
      </c>
      <c r="E931" s="707">
        <v>511</v>
      </c>
      <c r="F931" s="957" t="s">
        <v>1557</v>
      </c>
      <c r="G931" s="957" t="s">
        <v>2024</v>
      </c>
      <c r="H931" s="148">
        <v>0.26</v>
      </c>
      <c r="I931" s="146">
        <v>22</v>
      </c>
      <c r="J931" s="139">
        <v>2.7984</v>
      </c>
      <c r="K931" s="139">
        <v>0</v>
      </c>
      <c r="L931" s="147">
        <v>12.72</v>
      </c>
      <c r="M931" s="148">
        <v>0</v>
      </c>
      <c r="N931" s="148">
        <v>0.03</v>
      </c>
      <c r="O931" s="148">
        <v>0</v>
      </c>
      <c r="P931" s="118" t="s">
        <v>2164</v>
      </c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tr">
        <f t="shared" si="8"/>
        <v xml:space="preserve">05.000.001.002 </v>
      </c>
      <c r="B932" s="219">
        <v>73</v>
      </c>
      <c r="C932" s="957" t="s">
        <v>2752</v>
      </c>
      <c r="D932" s="957" t="s">
        <v>10</v>
      </c>
      <c r="E932" s="707">
        <v>511</v>
      </c>
      <c r="F932" s="957" t="s">
        <v>1557</v>
      </c>
      <c r="G932" s="957" t="s">
        <v>2024</v>
      </c>
      <c r="H932" s="148">
        <v>0.23</v>
      </c>
      <c r="I932" s="146">
        <v>22</v>
      </c>
      <c r="J932" s="139">
        <v>2.7984</v>
      </c>
      <c r="K932" s="139">
        <v>0</v>
      </c>
      <c r="L932" s="147">
        <v>12.72</v>
      </c>
      <c r="M932" s="148">
        <v>0</v>
      </c>
      <c r="N932" s="148">
        <v>0.03</v>
      </c>
      <c r="O932" s="148">
        <v>0</v>
      </c>
      <c r="P932" s="118" t="s">
        <v>2164</v>
      </c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tr">
        <f t="shared" si="8"/>
        <v xml:space="preserve">05.000.001.003 </v>
      </c>
      <c r="B933" s="219">
        <v>74</v>
      </c>
      <c r="C933" s="957" t="s">
        <v>2753</v>
      </c>
      <c r="D933" s="957" t="s">
        <v>10</v>
      </c>
      <c r="E933" s="707">
        <v>511</v>
      </c>
      <c r="F933" s="957" t="s">
        <v>1557</v>
      </c>
      <c r="G933" s="957" t="s">
        <v>2024</v>
      </c>
      <c r="H933" s="148">
        <v>0.26</v>
      </c>
      <c r="I933" s="146">
        <v>22</v>
      </c>
      <c r="J933" s="139">
        <v>2.7984</v>
      </c>
      <c r="K933" s="139">
        <v>0</v>
      </c>
      <c r="L933" s="147">
        <v>12.72</v>
      </c>
      <c r="M933" s="148">
        <v>0</v>
      </c>
      <c r="N933" s="148">
        <v>0.03</v>
      </c>
      <c r="O933" s="148">
        <v>0</v>
      </c>
      <c r="P933" s="118" t="s">
        <v>2164</v>
      </c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tr">
        <f t="shared" si="8"/>
        <v xml:space="preserve">05.000.001.004 </v>
      </c>
      <c r="B934" s="219">
        <v>75</v>
      </c>
      <c r="C934" s="957" t="s">
        <v>2754</v>
      </c>
      <c r="D934" s="957" t="s">
        <v>10</v>
      </c>
      <c r="E934" s="707">
        <v>511</v>
      </c>
      <c r="F934" s="957" t="s">
        <v>1557</v>
      </c>
      <c r="G934" s="957" t="s">
        <v>2024</v>
      </c>
      <c r="H934" s="148">
        <v>0.1</v>
      </c>
      <c r="I934" s="146">
        <v>22</v>
      </c>
      <c r="J934" s="139">
        <v>2.7984</v>
      </c>
      <c r="K934" s="139">
        <v>0</v>
      </c>
      <c r="L934" s="147">
        <v>12.72</v>
      </c>
      <c r="M934" s="148">
        <v>0</v>
      </c>
      <c r="N934" s="148">
        <v>0.01</v>
      </c>
      <c r="O934" s="148">
        <v>0</v>
      </c>
      <c r="P934" s="118" t="s">
        <v>2164</v>
      </c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tr">
        <f t="shared" si="8"/>
        <v xml:space="preserve">05.000.001.005 </v>
      </c>
      <c r="B935" s="219">
        <v>76</v>
      </c>
      <c r="C935" s="957" t="s">
        <v>2755</v>
      </c>
      <c r="D935" s="957" t="s">
        <v>10</v>
      </c>
      <c r="E935" s="707">
        <v>511</v>
      </c>
      <c r="F935" s="957" t="s">
        <v>1557</v>
      </c>
      <c r="G935" s="957" t="s">
        <v>2024</v>
      </c>
      <c r="H935" s="148">
        <v>0.13</v>
      </c>
      <c r="I935" s="146">
        <v>22</v>
      </c>
      <c r="J935" s="139">
        <v>2.7984</v>
      </c>
      <c r="K935" s="139">
        <v>0</v>
      </c>
      <c r="L935" s="147">
        <v>12.72</v>
      </c>
      <c r="M935" s="148">
        <v>0</v>
      </c>
      <c r="N935" s="148">
        <v>0.02</v>
      </c>
      <c r="O935" s="148">
        <v>0</v>
      </c>
      <c r="P935" s="118" t="s">
        <v>2164</v>
      </c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tr">
        <f t="shared" si="8"/>
        <v xml:space="preserve">05.000.001.006 </v>
      </c>
      <c r="B936" s="219">
        <v>77</v>
      </c>
      <c r="C936" s="957" t="s">
        <v>2756</v>
      </c>
      <c r="D936" s="957" t="s">
        <v>10</v>
      </c>
      <c r="E936" s="707">
        <v>511</v>
      </c>
      <c r="F936" s="957" t="s">
        <v>1557</v>
      </c>
      <c r="G936" s="957" t="s">
        <v>2024</v>
      </c>
      <c r="H936" s="148">
        <v>0.04</v>
      </c>
      <c r="I936" s="146">
        <v>24</v>
      </c>
      <c r="J936" s="139">
        <v>3.0528</v>
      </c>
      <c r="K936" s="139">
        <v>0</v>
      </c>
      <c r="L936" s="147">
        <v>12.72</v>
      </c>
      <c r="M936" s="148">
        <v>0</v>
      </c>
      <c r="N936" s="148">
        <v>0.01</v>
      </c>
      <c r="O936" s="148">
        <v>0</v>
      </c>
      <c r="P936" s="118" t="s">
        <v>2164</v>
      </c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tr">
        <f t="shared" si="8"/>
        <v xml:space="preserve">05.000.001.007 </v>
      </c>
      <c r="B937" s="219">
        <v>78</v>
      </c>
      <c r="C937" s="957" t="s">
        <v>2757</v>
      </c>
      <c r="D937" s="957" t="s">
        <v>10</v>
      </c>
      <c r="E937" s="707">
        <v>511</v>
      </c>
      <c r="F937" s="957" t="s">
        <v>1557</v>
      </c>
      <c r="G937" s="957" t="s">
        <v>2024</v>
      </c>
      <c r="H937" s="148">
        <v>0.27</v>
      </c>
      <c r="I937" s="146">
        <v>22</v>
      </c>
      <c r="J937" s="139">
        <v>2.7984</v>
      </c>
      <c r="K937" s="139">
        <v>0</v>
      </c>
      <c r="L937" s="147">
        <v>12.72</v>
      </c>
      <c r="M937" s="148">
        <v>0</v>
      </c>
      <c r="N937" s="148">
        <v>0.03</v>
      </c>
      <c r="O937" s="148">
        <v>0</v>
      </c>
      <c r="P937" s="118" t="s">
        <v>2164</v>
      </c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tr">
        <f t="shared" si="8"/>
        <v xml:space="preserve">05.000.001.008 </v>
      </c>
      <c r="B938" s="219">
        <v>79</v>
      </c>
      <c r="C938" s="957" t="s">
        <v>2758</v>
      </c>
      <c r="D938" s="957" t="s">
        <v>10</v>
      </c>
      <c r="E938" s="707">
        <v>511</v>
      </c>
      <c r="F938" s="957" t="s">
        <v>1557</v>
      </c>
      <c r="G938" s="957" t="s">
        <v>2024</v>
      </c>
      <c r="H938" s="148">
        <v>0.06</v>
      </c>
      <c r="I938" s="146">
        <v>22</v>
      </c>
      <c r="J938" s="139">
        <v>2.7984</v>
      </c>
      <c r="K938" s="139">
        <v>0</v>
      </c>
      <c r="L938" s="147">
        <v>12.72</v>
      </c>
      <c r="M938" s="148">
        <v>0</v>
      </c>
      <c r="N938" s="148">
        <v>0.01</v>
      </c>
      <c r="O938" s="148">
        <v>0</v>
      </c>
      <c r="P938" s="118" t="s">
        <v>2164</v>
      </c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tr">
        <f t="shared" si="8"/>
        <v xml:space="preserve">05.000.001.009 </v>
      </c>
      <c r="B939" s="219">
        <v>80</v>
      </c>
      <c r="C939" s="957" t="s">
        <v>2759</v>
      </c>
      <c r="D939" s="957" t="s">
        <v>10</v>
      </c>
      <c r="E939" s="707">
        <v>511</v>
      </c>
      <c r="F939" s="957" t="s">
        <v>1557</v>
      </c>
      <c r="G939" s="957" t="s">
        <v>2024</v>
      </c>
      <c r="H939" s="148">
        <v>0.43</v>
      </c>
      <c r="I939" s="146">
        <v>24</v>
      </c>
      <c r="J939" s="139">
        <v>3.0528</v>
      </c>
      <c r="K939" s="139">
        <v>0</v>
      </c>
      <c r="L939" s="147">
        <v>12.72</v>
      </c>
      <c r="M939" s="148">
        <v>0</v>
      </c>
      <c r="N939" s="148">
        <v>0.05</v>
      </c>
      <c r="O939" s="148">
        <v>0</v>
      </c>
      <c r="P939" s="118" t="s">
        <v>2164</v>
      </c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tr">
        <f t="shared" si="8"/>
        <v xml:space="preserve">05.000.001.010 </v>
      </c>
      <c r="B940" s="219">
        <v>81</v>
      </c>
      <c r="C940" s="957" t="s">
        <v>2760</v>
      </c>
      <c r="D940" s="957" t="s">
        <v>10</v>
      </c>
      <c r="E940" s="707">
        <v>511</v>
      </c>
      <c r="F940" s="957" t="s">
        <v>1557</v>
      </c>
      <c r="G940" s="957" t="s">
        <v>2024</v>
      </c>
      <c r="H940" s="148">
        <v>0.99</v>
      </c>
      <c r="I940" s="146">
        <v>24</v>
      </c>
      <c r="J940" s="139">
        <v>3.0528</v>
      </c>
      <c r="K940" s="139">
        <v>0</v>
      </c>
      <c r="L940" s="147">
        <v>12.72</v>
      </c>
      <c r="M940" s="148">
        <v>0</v>
      </c>
      <c r="N940" s="148">
        <v>0.13</v>
      </c>
      <c r="O940" s="148">
        <v>0</v>
      </c>
      <c r="P940" s="118" t="s">
        <v>2164</v>
      </c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tr">
        <f t="shared" si="8"/>
        <v xml:space="preserve">05.000.002 </v>
      </c>
      <c r="B941" s="115">
        <v>82</v>
      </c>
      <c r="C941" s="137" t="s">
        <v>2761</v>
      </c>
      <c r="D941" s="137"/>
      <c r="E941" s="116">
        <v>511</v>
      </c>
      <c r="F941" s="137" t="s">
        <v>1557</v>
      </c>
      <c r="G941" s="137" t="s">
        <v>2024</v>
      </c>
      <c r="H941" s="138"/>
      <c r="I941" s="138"/>
      <c r="J941" s="138"/>
      <c r="K941" s="138"/>
      <c r="L941" s="138"/>
      <c r="M941" s="138"/>
      <c r="N941" s="138"/>
      <c r="O941" s="138"/>
      <c r="P941" s="138"/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tr">
        <f t="shared" si="8"/>
        <v xml:space="preserve">05.000.002.001 </v>
      </c>
      <c r="B942" s="219">
        <v>83</v>
      </c>
      <c r="C942" s="957" t="s">
        <v>2762</v>
      </c>
      <c r="D942" s="957" t="s">
        <v>8</v>
      </c>
      <c r="E942" s="707">
        <v>511</v>
      </c>
      <c r="F942" s="957" t="s">
        <v>1557</v>
      </c>
      <c r="G942" s="957" t="s">
        <v>2024</v>
      </c>
      <c r="H942" s="148">
        <v>0.01</v>
      </c>
      <c r="I942" s="139">
        <v>2</v>
      </c>
      <c r="J942" s="139">
        <v>0.25440000000000002</v>
      </c>
      <c r="K942" s="139">
        <v>0</v>
      </c>
      <c r="L942" s="147">
        <v>12.72</v>
      </c>
      <c r="M942" s="148">
        <v>0</v>
      </c>
      <c r="N942" s="148">
        <v>0</v>
      </c>
      <c r="O942" s="148">
        <v>0</v>
      </c>
      <c r="P942" s="118" t="s">
        <v>2164</v>
      </c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tr">
        <f t="shared" si="8"/>
        <v xml:space="preserve">05.000.002.002 </v>
      </c>
      <c r="B943" s="219">
        <v>84</v>
      </c>
      <c r="C943" s="957" t="s">
        <v>2763</v>
      </c>
      <c r="D943" s="957" t="s">
        <v>7</v>
      </c>
      <c r="E943" s="707">
        <v>511</v>
      </c>
      <c r="F943" s="957" t="s">
        <v>1557</v>
      </c>
      <c r="G943" s="957" t="s">
        <v>2024</v>
      </c>
      <c r="H943" s="148">
        <v>0.06</v>
      </c>
      <c r="I943" s="139">
        <v>1</v>
      </c>
      <c r="J943" s="139">
        <v>0.12720000000000001</v>
      </c>
      <c r="K943" s="139">
        <v>0</v>
      </c>
      <c r="L943" s="147">
        <v>12.72</v>
      </c>
      <c r="M943" s="148">
        <v>0</v>
      </c>
      <c r="N943" s="148">
        <v>0.01</v>
      </c>
      <c r="O943" s="148">
        <v>0</v>
      </c>
      <c r="P943" s="118" t="s">
        <v>2164</v>
      </c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tr">
        <f t="shared" si="8"/>
        <v xml:space="preserve">05.000.002.003 </v>
      </c>
      <c r="B944" s="219">
        <v>85</v>
      </c>
      <c r="C944" s="957" t="s">
        <v>2764</v>
      </c>
      <c r="D944" s="957" t="s">
        <v>10</v>
      </c>
      <c r="E944" s="707">
        <v>511</v>
      </c>
      <c r="F944" s="957" t="s">
        <v>1557</v>
      </c>
      <c r="G944" s="957" t="s">
        <v>2024</v>
      </c>
      <c r="H944" s="148">
        <v>0.02</v>
      </c>
      <c r="I944" s="139">
        <v>1</v>
      </c>
      <c r="J944" s="139">
        <v>0.12720000000000001</v>
      </c>
      <c r="K944" s="139">
        <v>0</v>
      </c>
      <c r="L944" s="147">
        <v>12.72</v>
      </c>
      <c r="M944" s="148">
        <v>0</v>
      </c>
      <c r="N944" s="148">
        <v>0</v>
      </c>
      <c r="O944" s="148">
        <v>0</v>
      </c>
      <c r="P944" s="118" t="s">
        <v>2164</v>
      </c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tr">
        <f t="shared" si="8"/>
        <v xml:space="preserve">05.000.002.004 </v>
      </c>
      <c r="B945" s="219">
        <v>86</v>
      </c>
      <c r="C945" s="957" t="s">
        <v>2765</v>
      </c>
      <c r="D945" s="957" t="s">
        <v>8</v>
      </c>
      <c r="E945" s="707">
        <v>511</v>
      </c>
      <c r="F945" s="957" t="s">
        <v>1557</v>
      </c>
      <c r="G945" s="957" t="s">
        <v>2024</v>
      </c>
      <c r="H945" s="148">
        <v>7.0000000000000007E-2</v>
      </c>
      <c r="I945" s="146">
        <v>12</v>
      </c>
      <c r="J945" s="139">
        <v>1.5264</v>
      </c>
      <c r="K945" s="139">
        <v>0</v>
      </c>
      <c r="L945" s="147">
        <v>12.72</v>
      </c>
      <c r="M945" s="148">
        <v>0</v>
      </c>
      <c r="N945" s="148">
        <v>0.01</v>
      </c>
      <c r="O945" s="148">
        <v>0</v>
      </c>
      <c r="P945" s="118" t="s">
        <v>2164</v>
      </c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tr">
        <f t="shared" si="8"/>
        <v xml:space="preserve">05.000.002.005 </v>
      </c>
      <c r="B946" s="219">
        <v>87</v>
      </c>
      <c r="C946" s="957" t="s">
        <v>2766</v>
      </c>
      <c r="D946" s="957" t="s">
        <v>94</v>
      </c>
      <c r="E946" s="707">
        <v>511</v>
      </c>
      <c r="F946" s="957" t="s">
        <v>1557</v>
      </c>
      <c r="G946" s="957" t="s">
        <v>2024</v>
      </c>
      <c r="H946" s="148">
        <v>0.26</v>
      </c>
      <c r="I946" s="144">
        <v>450</v>
      </c>
      <c r="J946" s="146">
        <v>57.24</v>
      </c>
      <c r="K946" s="139">
        <v>0</v>
      </c>
      <c r="L946" s="147">
        <v>12.72</v>
      </c>
      <c r="M946" s="148">
        <v>0</v>
      </c>
      <c r="N946" s="148">
        <v>0.03</v>
      </c>
      <c r="O946" s="148">
        <v>0</v>
      </c>
      <c r="P946" s="118" t="s">
        <v>2164</v>
      </c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tr">
        <f t="shared" si="8"/>
        <v xml:space="preserve">05.000.002.006 </v>
      </c>
      <c r="B947" s="219">
        <v>88</v>
      </c>
      <c r="C947" s="957" t="s">
        <v>2767</v>
      </c>
      <c r="D947" s="957" t="s">
        <v>7</v>
      </c>
      <c r="E947" s="707">
        <v>511</v>
      </c>
      <c r="F947" s="957" t="s">
        <v>1557</v>
      </c>
      <c r="G947" s="957" t="s">
        <v>2024</v>
      </c>
      <c r="H947" s="148">
        <v>0.08</v>
      </c>
      <c r="I947" s="139">
        <v>1</v>
      </c>
      <c r="J947" s="139">
        <v>0.12720000000000001</v>
      </c>
      <c r="K947" s="139">
        <v>0</v>
      </c>
      <c r="L947" s="147">
        <v>12.72</v>
      </c>
      <c r="M947" s="148">
        <v>0</v>
      </c>
      <c r="N947" s="148">
        <v>0.01</v>
      </c>
      <c r="O947" s="148">
        <v>0</v>
      </c>
      <c r="P947" s="118" t="s">
        <v>2164</v>
      </c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tr">
        <f t="shared" si="8"/>
        <v xml:space="preserve">05.000.002.007 </v>
      </c>
      <c r="B948" s="219">
        <v>89</v>
      </c>
      <c r="C948" s="957" t="s">
        <v>2768</v>
      </c>
      <c r="D948" s="957" t="s">
        <v>7</v>
      </c>
      <c r="E948" s="707">
        <v>511</v>
      </c>
      <c r="F948" s="957" t="s">
        <v>1557</v>
      </c>
      <c r="G948" s="957" t="s">
        <v>2024</v>
      </c>
      <c r="H948" s="148">
        <v>0.04</v>
      </c>
      <c r="I948" s="139">
        <v>1</v>
      </c>
      <c r="J948" s="139">
        <v>0.12720000000000001</v>
      </c>
      <c r="K948" s="139">
        <v>0</v>
      </c>
      <c r="L948" s="147">
        <v>12.72</v>
      </c>
      <c r="M948" s="148">
        <v>0</v>
      </c>
      <c r="N948" s="148">
        <v>0</v>
      </c>
      <c r="O948" s="148">
        <v>0</v>
      </c>
      <c r="P948" s="118" t="s">
        <v>2164</v>
      </c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tr">
        <f t="shared" si="8"/>
        <v xml:space="preserve">05.000.002.008 </v>
      </c>
      <c r="B949" s="219">
        <v>90</v>
      </c>
      <c r="C949" s="957" t="s">
        <v>2769</v>
      </c>
      <c r="D949" s="957" t="s">
        <v>7</v>
      </c>
      <c r="E949" s="707">
        <v>511</v>
      </c>
      <c r="F949" s="957" t="s">
        <v>1557</v>
      </c>
      <c r="G949" s="957" t="s">
        <v>2024</v>
      </c>
      <c r="H949" s="148">
        <v>0.1</v>
      </c>
      <c r="I949" s="139">
        <v>1</v>
      </c>
      <c r="J949" s="139">
        <v>0.12720000000000001</v>
      </c>
      <c r="K949" s="139">
        <v>0</v>
      </c>
      <c r="L949" s="147">
        <v>12.72</v>
      </c>
      <c r="M949" s="148">
        <v>0</v>
      </c>
      <c r="N949" s="148">
        <v>0.01</v>
      </c>
      <c r="O949" s="148">
        <v>0</v>
      </c>
      <c r="P949" s="118" t="s">
        <v>2164</v>
      </c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tr">
        <f t="shared" si="8"/>
        <v xml:space="preserve">05.000.002.009 </v>
      </c>
      <c r="B950" s="219">
        <v>91</v>
      </c>
      <c r="C950" s="957" t="s">
        <v>2770</v>
      </c>
      <c r="D950" s="957" t="s">
        <v>7</v>
      </c>
      <c r="E950" s="707">
        <v>511</v>
      </c>
      <c r="F950" s="957" t="s">
        <v>1557</v>
      </c>
      <c r="G950" s="957" t="s">
        <v>2024</v>
      </c>
      <c r="H950" s="148">
        <v>7.0000000000000007E-2</v>
      </c>
      <c r="I950" s="139">
        <v>1</v>
      </c>
      <c r="J950" s="139">
        <v>0.12720000000000001</v>
      </c>
      <c r="K950" s="139">
        <v>0</v>
      </c>
      <c r="L950" s="147">
        <v>12.72</v>
      </c>
      <c r="M950" s="148">
        <v>0</v>
      </c>
      <c r="N950" s="148">
        <v>0.01</v>
      </c>
      <c r="O950" s="148">
        <v>0</v>
      </c>
      <c r="P950" s="118" t="s">
        <v>2164</v>
      </c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tr">
        <f t="shared" si="8"/>
        <v xml:space="preserve">05.000.002.010 </v>
      </c>
      <c r="B951" s="219">
        <v>92</v>
      </c>
      <c r="C951" s="957" t="s">
        <v>2771</v>
      </c>
      <c r="D951" s="957" t="s">
        <v>7</v>
      </c>
      <c r="E951" s="707">
        <v>511</v>
      </c>
      <c r="F951" s="957" t="s">
        <v>1557</v>
      </c>
      <c r="G951" s="957" t="s">
        <v>2024</v>
      </c>
      <c r="H951" s="148">
        <v>0.06</v>
      </c>
      <c r="I951" s="139">
        <v>1</v>
      </c>
      <c r="J951" s="139">
        <v>0.12720000000000001</v>
      </c>
      <c r="K951" s="139">
        <v>0</v>
      </c>
      <c r="L951" s="147">
        <v>12.72</v>
      </c>
      <c r="M951" s="148">
        <v>0</v>
      </c>
      <c r="N951" s="148">
        <v>0.01</v>
      </c>
      <c r="O951" s="148">
        <v>0</v>
      </c>
      <c r="P951" s="118" t="s">
        <v>2164</v>
      </c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tr">
        <f t="shared" si="8"/>
        <v xml:space="preserve">05.000.002.011 </v>
      </c>
      <c r="B952" s="219">
        <v>93</v>
      </c>
      <c r="C952" s="957" t="s">
        <v>2772</v>
      </c>
      <c r="D952" s="957" t="s">
        <v>7</v>
      </c>
      <c r="E952" s="707">
        <v>511</v>
      </c>
      <c r="F952" s="957" t="s">
        <v>1557</v>
      </c>
      <c r="G952" s="957" t="s">
        <v>2024</v>
      </c>
      <c r="H952" s="148">
        <v>0.01</v>
      </c>
      <c r="I952" s="139">
        <v>1</v>
      </c>
      <c r="J952" s="139">
        <v>0.12720000000000001</v>
      </c>
      <c r="K952" s="139">
        <v>0</v>
      </c>
      <c r="L952" s="147">
        <v>12.72</v>
      </c>
      <c r="M952" s="148">
        <v>0</v>
      </c>
      <c r="N952" s="148">
        <v>0</v>
      </c>
      <c r="O952" s="148">
        <v>0</v>
      </c>
      <c r="P952" s="118" t="s">
        <v>2164</v>
      </c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tr">
        <f t="shared" si="8"/>
        <v xml:space="preserve">05.000.002.012 </v>
      </c>
      <c r="B953" s="219">
        <v>94</v>
      </c>
      <c r="C953" s="957" t="s">
        <v>2773</v>
      </c>
      <c r="D953" s="957" t="s">
        <v>7</v>
      </c>
      <c r="E953" s="707">
        <v>511</v>
      </c>
      <c r="F953" s="957" t="s">
        <v>1557</v>
      </c>
      <c r="G953" s="957" t="s">
        <v>2024</v>
      </c>
      <c r="H953" s="148">
        <v>0.02</v>
      </c>
      <c r="I953" s="139">
        <v>1</v>
      </c>
      <c r="J953" s="139">
        <v>0.12720000000000001</v>
      </c>
      <c r="K953" s="139">
        <v>0</v>
      </c>
      <c r="L953" s="147">
        <v>12.72</v>
      </c>
      <c r="M953" s="148">
        <v>0</v>
      </c>
      <c r="N953" s="148">
        <v>0</v>
      </c>
      <c r="O953" s="148">
        <v>0</v>
      </c>
      <c r="P953" s="118" t="s">
        <v>2164</v>
      </c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tr">
        <f t="shared" si="8"/>
        <v xml:space="preserve">05.000.002.013 </v>
      </c>
      <c r="B954" s="219">
        <v>95</v>
      </c>
      <c r="C954" s="957" t="s">
        <v>2774</v>
      </c>
      <c r="D954" s="957" t="s">
        <v>7</v>
      </c>
      <c r="E954" s="707">
        <v>511</v>
      </c>
      <c r="F954" s="957" t="s">
        <v>1557</v>
      </c>
      <c r="G954" s="957" t="s">
        <v>2024</v>
      </c>
      <c r="H954" s="148">
        <v>0</v>
      </c>
      <c r="I954" s="139">
        <v>1</v>
      </c>
      <c r="J954" s="139">
        <v>0.12720000000000001</v>
      </c>
      <c r="K954" s="139">
        <v>0</v>
      </c>
      <c r="L954" s="147">
        <v>12.72</v>
      </c>
      <c r="M954" s="148">
        <v>0</v>
      </c>
      <c r="N954" s="148">
        <v>0</v>
      </c>
      <c r="O954" s="148">
        <v>0</v>
      </c>
      <c r="P954" s="118" t="s">
        <v>2164</v>
      </c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tr">
        <f t="shared" si="8"/>
        <v xml:space="preserve">05.000.002.014 </v>
      </c>
      <c r="B955" s="219">
        <v>96</v>
      </c>
      <c r="C955" s="957" t="s">
        <v>2775</v>
      </c>
      <c r="D955" s="957" t="s">
        <v>13</v>
      </c>
      <c r="E955" s="707">
        <v>511</v>
      </c>
      <c r="F955" s="957" t="s">
        <v>1557</v>
      </c>
      <c r="G955" s="957" t="s">
        <v>2024</v>
      </c>
      <c r="H955" s="148">
        <v>7.0000000000000007E-2</v>
      </c>
      <c r="I955" s="142">
        <v>1160</v>
      </c>
      <c r="J955" s="144">
        <v>147.55199999999999</v>
      </c>
      <c r="K955" s="139">
        <v>0</v>
      </c>
      <c r="L955" s="147">
        <v>12.72</v>
      </c>
      <c r="M955" s="148">
        <v>0</v>
      </c>
      <c r="N955" s="148">
        <v>0.01</v>
      </c>
      <c r="O955" s="148">
        <v>0</v>
      </c>
      <c r="P955" s="118" t="s">
        <v>2164</v>
      </c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tr">
        <f t="shared" si="8"/>
        <v xml:space="preserve">06 </v>
      </c>
      <c r="B956" s="115">
        <v>97</v>
      </c>
      <c r="C956" s="137" t="s">
        <v>329</v>
      </c>
      <c r="D956" s="137"/>
      <c r="E956" s="116">
        <v>511</v>
      </c>
      <c r="F956" s="137" t="s">
        <v>1557</v>
      </c>
      <c r="G956" s="137" t="s">
        <v>2024</v>
      </c>
      <c r="H956" s="138"/>
      <c r="I956" s="138"/>
      <c r="J956" s="138"/>
      <c r="K956" s="138"/>
      <c r="L956" s="138"/>
      <c r="M956" s="138"/>
      <c r="N956" s="138"/>
      <c r="O956" s="138"/>
      <c r="P956" s="138"/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tr">
        <f t="shared" si="8"/>
        <v xml:space="preserve">06.000.000.001 </v>
      </c>
      <c r="B957" s="219">
        <v>98</v>
      </c>
      <c r="C957" s="957" t="s">
        <v>2776</v>
      </c>
      <c r="D957" s="957" t="s">
        <v>7</v>
      </c>
      <c r="E957" s="707">
        <v>511</v>
      </c>
      <c r="F957" s="957" t="s">
        <v>1557</v>
      </c>
      <c r="G957" s="957" t="s">
        <v>2024</v>
      </c>
      <c r="H957" s="147">
        <v>13.59</v>
      </c>
      <c r="I957" s="139">
        <v>1</v>
      </c>
      <c r="J957" s="139">
        <v>0.12720000000000001</v>
      </c>
      <c r="K957" s="139">
        <v>0</v>
      </c>
      <c r="L957" s="147">
        <v>12.72</v>
      </c>
      <c r="M957" s="148">
        <v>0</v>
      </c>
      <c r="N957" s="148">
        <v>1.73</v>
      </c>
      <c r="O957" s="148">
        <v>0</v>
      </c>
      <c r="P957" s="118" t="s">
        <v>2164</v>
      </c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s="117" customFormat="1" ht="12.75" customHeight="1" x14ac:dyDescent="0.2">
      <c r="A958" s="131"/>
      <c r="B958" s="129" t="s">
        <v>203</v>
      </c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389"/>
      <c r="R958" s="389"/>
      <c r="S958" s="389"/>
      <c r="T958" s="389"/>
      <c r="U958" s="389"/>
      <c r="V958" s="389"/>
      <c r="W958" s="389"/>
      <c r="X958" s="389"/>
      <c r="Y958" s="389"/>
      <c r="Z958" s="389"/>
      <c r="AA958" s="389"/>
      <c r="AB958" s="389"/>
      <c r="AC958" s="389"/>
      <c r="AD958" s="389"/>
      <c r="AE958" s="389"/>
      <c r="AF958" s="389"/>
    </row>
    <row r="959" spans="1:32" s="120" customFormat="1" x14ac:dyDescent="0.2">
      <c r="A959" s="365"/>
      <c r="B959" s="121"/>
      <c r="C959" s="121"/>
      <c r="D959" s="121"/>
      <c r="E959" s="121"/>
      <c r="F959" s="463"/>
      <c r="G959" s="463"/>
      <c r="H959" s="463"/>
      <c r="I959" s="463"/>
      <c r="J959" s="463"/>
      <c r="K959" s="463"/>
      <c r="L959" s="463"/>
      <c r="M959" s="463"/>
      <c r="N959" s="463"/>
      <c r="O959" s="463"/>
      <c r="P959" s="463"/>
    </row>
    <row r="960" spans="1:32" ht="9.75" customHeight="1" x14ac:dyDescent="0.2">
      <c r="B960" s="111"/>
      <c r="C960" s="111"/>
      <c r="D960" s="111"/>
      <c r="E960" s="111"/>
      <c r="F960" s="1004"/>
      <c r="G960" s="1004"/>
      <c r="H960" s="1004"/>
      <c r="I960" s="1004"/>
      <c r="J960" s="1004"/>
      <c r="K960" s="1004"/>
      <c r="L960" s="1004"/>
      <c r="M960" s="1004"/>
      <c r="N960" s="1004"/>
      <c r="O960" s="1004"/>
      <c r="P960" s="1004"/>
      <c r="Q960" s="1004"/>
      <c r="R960" s="1004"/>
      <c r="S960" s="1004"/>
      <c r="T960" s="1004"/>
      <c r="U960" s="1004"/>
      <c r="V960" s="1004"/>
      <c r="W960" s="1004"/>
      <c r="X960" s="1004"/>
      <c r="Y960" s="1004"/>
      <c r="Z960" s="1004"/>
      <c r="AA960" s="1004"/>
      <c r="AB960" s="1004"/>
      <c r="AC960" s="1004"/>
      <c r="AD960" s="709"/>
      <c r="AE960" s="709"/>
      <c r="AF960" s="710"/>
    </row>
    <row r="961" spans="2:32" ht="9.75" customHeight="1" x14ac:dyDescent="0.2">
      <c r="B961" s="112"/>
      <c r="C961" s="112"/>
      <c r="D961" s="113"/>
      <c r="E961" s="112"/>
      <c r="F961" s="703"/>
      <c r="G961" s="703"/>
      <c r="H961" s="703"/>
      <c r="I961" s="703"/>
      <c r="J961" s="703"/>
      <c r="K961" s="703"/>
      <c r="L961" s="703"/>
      <c r="M961" s="703"/>
      <c r="N961" s="703"/>
      <c r="O961" s="703"/>
      <c r="P961" s="703"/>
      <c r="Q961" s="703"/>
      <c r="R961" s="703"/>
      <c r="S961" s="703"/>
      <c r="T961" s="703"/>
      <c r="U961" s="703"/>
      <c r="V961" s="703"/>
      <c r="W961" s="703"/>
      <c r="X961" s="703"/>
      <c r="Y961" s="703"/>
      <c r="Z961" s="703"/>
      <c r="AA961" s="703"/>
      <c r="AB961" s="703"/>
      <c r="AC961" s="703"/>
      <c r="AD961" s="711"/>
      <c r="AE961" s="711"/>
      <c r="AF961" s="712"/>
    </row>
    <row r="962" spans="2:32" ht="9.75" customHeight="1" x14ac:dyDescent="0.2">
      <c r="B962" s="706"/>
      <c r="C962" s="704"/>
      <c r="D962" s="142"/>
      <c r="E962" s="704"/>
      <c r="F962" s="144"/>
      <c r="G962" s="144"/>
      <c r="H962" s="144"/>
      <c r="I962" s="146"/>
      <c r="J962" s="146"/>
      <c r="K962" s="146"/>
      <c r="L962" s="144"/>
      <c r="M962" s="144"/>
      <c r="N962" s="144"/>
      <c r="O962" s="144"/>
      <c r="P962" s="144"/>
      <c r="Q962" s="144"/>
      <c r="R962" s="144"/>
      <c r="S962" s="146"/>
      <c r="T962" s="144"/>
      <c r="U962" s="146"/>
      <c r="V962" s="146"/>
      <c r="W962" s="144"/>
      <c r="X962" s="144"/>
      <c r="Y962" s="144"/>
      <c r="Z962" s="144"/>
      <c r="AA962" s="146"/>
      <c r="AB962" s="146"/>
      <c r="AC962" s="139"/>
      <c r="AD962" s="708"/>
      <c r="AE962" s="708"/>
    </row>
    <row r="963" spans="2:32" ht="9.75" customHeight="1" x14ac:dyDescent="0.2">
      <c r="B963" s="706"/>
      <c r="C963" s="704"/>
      <c r="D963" s="142"/>
      <c r="E963" s="704"/>
      <c r="F963" s="146"/>
      <c r="G963" s="146"/>
      <c r="H963" s="146"/>
      <c r="I963" s="139"/>
      <c r="J963" s="146"/>
      <c r="K963" s="146"/>
      <c r="L963" s="146"/>
      <c r="M963" s="146"/>
      <c r="N963" s="146"/>
      <c r="O963" s="146"/>
      <c r="P963" s="146"/>
      <c r="Q963" s="144"/>
      <c r="R963" s="144"/>
      <c r="S963" s="144"/>
      <c r="T963" s="139"/>
      <c r="U963" s="139"/>
      <c r="V963" s="118"/>
      <c r="W963" s="146"/>
      <c r="X963" s="144"/>
      <c r="Y963" s="146"/>
      <c r="Z963" s="146"/>
      <c r="AA963" s="146"/>
      <c r="AB963" s="146"/>
      <c r="AC963" s="146"/>
      <c r="AD963" s="693"/>
      <c r="AE963" s="693"/>
    </row>
    <row r="964" spans="2:32" ht="9.75" customHeight="1" x14ac:dyDescent="0.2">
      <c r="B964" s="219"/>
      <c r="C964" s="704"/>
      <c r="D964" s="146"/>
      <c r="E964" s="704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46"/>
      <c r="Y964" s="146"/>
      <c r="Z964" s="118"/>
      <c r="AA964" s="118"/>
      <c r="AB964" s="118"/>
      <c r="AC964" s="118"/>
      <c r="AD964" s="693"/>
      <c r="AE964" s="693"/>
    </row>
    <row r="965" spans="2:32" ht="9.75" customHeight="1" x14ac:dyDescent="0.2">
      <c r="B965" s="707"/>
      <c r="C965" s="704"/>
      <c r="D965" s="139"/>
      <c r="E965" s="704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  <c r="AA965" s="118"/>
      <c r="AB965" s="139"/>
      <c r="AC965" s="118"/>
      <c r="AD965" s="693"/>
      <c r="AE965" s="693"/>
    </row>
    <row r="966" spans="2:32" ht="9.75" customHeight="1" x14ac:dyDescent="0.2">
      <c r="B966" s="707"/>
      <c r="C966" s="704"/>
      <c r="D966" s="139"/>
      <c r="E966" s="704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  <c r="AA966" s="118"/>
      <c r="AB966" s="139"/>
      <c r="AC966" s="118"/>
      <c r="AD966" s="693"/>
      <c r="AE966" s="693"/>
    </row>
    <row r="967" spans="2:32" ht="9.75" customHeight="1" x14ac:dyDescent="0.2">
      <c r="B967" s="707"/>
      <c r="C967" s="704"/>
      <c r="D967" s="146"/>
      <c r="E967" s="704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46"/>
      <c r="Y967" s="146"/>
      <c r="Z967" s="139"/>
      <c r="AA967" s="139"/>
      <c r="AB967" s="139"/>
      <c r="AC967" s="118"/>
      <c r="AD967" s="693"/>
      <c r="AE967" s="693"/>
    </row>
    <row r="968" spans="2:32" ht="9.75" customHeight="1" x14ac:dyDescent="0.2">
      <c r="B968" s="707"/>
      <c r="C968" s="704"/>
      <c r="D968" s="139"/>
      <c r="E968" s="704"/>
      <c r="F968" s="118"/>
      <c r="G968" s="118"/>
      <c r="H968" s="118"/>
      <c r="I968" s="118"/>
      <c r="J968" s="118"/>
      <c r="K968" s="118"/>
      <c r="L968" s="139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  <c r="AA968" s="118"/>
      <c r="AB968" s="118"/>
      <c r="AC968" s="118"/>
      <c r="AD968" s="693"/>
      <c r="AE968" s="693"/>
    </row>
    <row r="969" spans="2:32" ht="9.75" customHeight="1" x14ac:dyDescent="0.2">
      <c r="B969" s="707"/>
      <c r="C969" s="704"/>
      <c r="D969" s="146"/>
      <c r="E969" s="704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39"/>
      <c r="T969" s="146"/>
      <c r="U969" s="139"/>
      <c r="V969" s="139"/>
      <c r="W969" s="139"/>
      <c r="X969" s="139"/>
      <c r="Y969" s="146"/>
      <c r="Z969" s="118"/>
      <c r="AA969" s="118"/>
      <c r="AB969" s="118"/>
      <c r="AC969" s="118"/>
      <c r="AD969" s="693"/>
      <c r="AE969" s="693"/>
    </row>
    <row r="970" spans="2:32" ht="9.75" customHeight="1" x14ac:dyDescent="0.2">
      <c r="B970" s="707"/>
      <c r="C970" s="704"/>
      <c r="D970" s="139"/>
      <c r="E970" s="704"/>
      <c r="F970" s="139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  <c r="AA970" s="118"/>
      <c r="AB970" s="118"/>
      <c r="AC970" s="118"/>
      <c r="AD970" s="693"/>
      <c r="AE970" s="693"/>
    </row>
    <row r="971" spans="2:32" ht="9.75" customHeight="1" x14ac:dyDescent="0.2">
      <c r="B971" s="707"/>
      <c r="C971" s="704"/>
      <c r="D971" s="146"/>
      <c r="E971" s="704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46"/>
      <c r="Z971" s="146"/>
      <c r="AA971" s="118"/>
      <c r="AB971" s="146"/>
      <c r="AC971" s="118"/>
      <c r="AD971" s="693"/>
      <c r="AE971" s="693"/>
    </row>
    <row r="972" spans="2:32" ht="9.75" customHeight="1" x14ac:dyDescent="0.2">
      <c r="B972" s="707"/>
      <c r="C972" s="704"/>
      <c r="D972" s="144"/>
      <c r="E972" s="704"/>
      <c r="F972" s="118"/>
      <c r="G972" s="118"/>
      <c r="H972" s="118"/>
      <c r="I972" s="118"/>
      <c r="J972" s="118"/>
      <c r="K972" s="118"/>
      <c r="L972" s="118"/>
      <c r="M972" s="144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  <c r="AA972" s="118"/>
      <c r="AB972" s="118"/>
      <c r="AC972" s="118"/>
      <c r="AD972" s="693"/>
      <c r="AE972" s="693"/>
    </row>
    <row r="973" spans="2:32" ht="9.75" customHeight="1" x14ac:dyDescent="0.2">
      <c r="B973" s="707"/>
      <c r="C973" s="704"/>
      <c r="D973" s="144"/>
      <c r="E973" s="704"/>
      <c r="F973" s="144"/>
      <c r="G973" s="146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  <c r="AA973" s="118"/>
      <c r="AB973" s="118"/>
      <c r="AC973" s="118"/>
      <c r="AD973" s="693"/>
      <c r="AE973" s="693"/>
    </row>
    <row r="974" spans="2:32" ht="9.75" customHeight="1" x14ac:dyDescent="0.2">
      <c r="B974" s="707"/>
      <c r="C974" s="704"/>
      <c r="D974" s="142"/>
      <c r="E974" s="704"/>
      <c r="F974" s="144"/>
      <c r="G974" s="118"/>
      <c r="H974" s="144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  <c r="AA974" s="118"/>
      <c r="AB974" s="118"/>
      <c r="AC974" s="118"/>
      <c r="AD974" s="693"/>
      <c r="AE974" s="693"/>
    </row>
    <row r="975" spans="2:32" ht="9.75" customHeight="1" x14ac:dyDescent="0.2">
      <c r="B975" s="707"/>
      <c r="C975" s="704"/>
      <c r="D975" s="142"/>
      <c r="E975" s="704"/>
      <c r="F975" s="144"/>
      <c r="G975" s="146"/>
      <c r="H975" s="144"/>
      <c r="I975" s="139"/>
      <c r="J975" s="118"/>
      <c r="K975" s="118"/>
      <c r="L975" s="144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  <c r="AA975" s="118"/>
      <c r="AB975" s="118"/>
      <c r="AC975" s="118"/>
      <c r="AD975" s="693"/>
      <c r="AE975" s="693"/>
    </row>
    <row r="976" spans="2:32" ht="19.350000000000001" customHeight="1" x14ac:dyDescent="0.2">
      <c r="B976" s="707"/>
      <c r="C976" s="704"/>
      <c r="D976" s="146"/>
      <c r="E976" s="704"/>
      <c r="F976" s="118"/>
      <c r="G976" s="139"/>
      <c r="H976" s="139"/>
      <c r="I976" s="139"/>
      <c r="J976" s="118"/>
      <c r="K976" s="118"/>
      <c r="L976" s="146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  <c r="AA976" s="118"/>
      <c r="AB976" s="146"/>
      <c r="AC976" s="118"/>
      <c r="AD976" s="693"/>
      <c r="AE976" s="693"/>
    </row>
    <row r="977" spans="2:31" ht="9.75" customHeight="1" x14ac:dyDescent="0.2">
      <c r="B977" s="705"/>
      <c r="C977" s="704"/>
      <c r="D977" s="149"/>
      <c r="E977" s="704"/>
      <c r="F977" s="142"/>
      <c r="G977" s="146"/>
      <c r="H977" s="142"/>
      <c r="I977" s="118"/>
      <c r="J977" s="118"/>
      <c r="K977" s="118"/>
      <c r="L977" s="118"/>
      <c r="M977" s="144"/>
      <c r="N977" s="142"/>
      <c r="O977" s="142"/>
      <c r="P977" s="142"/>
      <c r="Q977" s="142"/>
      <c r="R977" s="140"/>
      <c r="S977" s="140"/>
      <c r="T977" s="140"/>
      <c r="U977" s="140"/>
      <c r="V977" s="142"/>
      <c r="W977" s="142"/>
      <c r="X977" s="140"/>
      <c r="Y977" s="140"/>
      <c r="Z977" s="142"/>
      <c r="AA977" s="144"/>
      <c r="AB977" s="118"/>
      <c r="AC977" s="142"/>
      <c r="AD977" s="693"/>
      <c r="AE977" s="693"/>
    </row>
    <row r="978" spans="2:31" ht="9.75" customHeight="1" x14ac:dyDescent="0.2">
      <c r="B978" s="705"/>
      <c r="C978" s="704"/>
      <c r="D978" s="142"/>
      <c r="E978" s="704"/>
      <c r="F978" s="118"/>
      <c r="G978" s="118"/>
      <c r="H978" s="118"/>
      <c r="I978" s="118"/>
      <c r="J978" s="118"/>
      <c r="K978" s="118"/>
      <c r="L978" s="118"/>
      <c r="M978" s="139"/>
      <c r="N978" s="146"/>
      <c r="O978" s="144"/>
      <c r="P978" s="144"/>
      <c r="Q978" s="144"/>
      <c r="R978" s="144"/>
      <c r="S978" s="144"/>
      <c r="T978" s="144"/>
      <c r="U978" s="144"/>
      <c r="V978" s="144"/>
      <c r="W978" s="146"/>
      <c r="X978" s="144"/>
      <c r="Y978" s="144"/>
      <c r="Z978" s="146"/>
      <c r="AA978" s="146"/>
      <c r="AB978" s="118"/>
      <c r="AC978" s="118"/>
      <c r="AD978" s="693"/>
      <c r="AE978" s="693"/>
    </row>
    <row r="979" spans="2:31" ht="9.75" customHeight="1" x14ac:dyDescent="0.2">
      <c r="B979" s="705"/>
      <c r="C979" s="704"/>
      <c r="D979" s="146"/>
      <c r="E979" s="704"/>
      <c r="F979" s="139"/>
      <c r="G979" s="118"/>
      <c r="H979" s="146"/>
      <c r="I979" s="118"/>
      <c r="J979" s="118"/>
      <c r="K979" s="118"/>
      <c r="L979" s="118"/>
      <c r="M979" s="118"/>
      <c r="N979" s="118"/>
      <c r="O979" s="118"/>
      <c r="P979" s="118"/>
      <c r="Q979" s="139"/>
      <c r="R979" s="139"/>
      <c r="S979" s="139"/>
      <c r="T979" s="118"/>
      <c r="U979" s="118"/>
      <c r="V979" s="118"/>
      <c r="W979" s="139"/>
      <c r="X979" s="118"/>
      <c r="Y979" s="118"/>
      <c r="Z979" s="118"/>
      <c r="AA979" s="118"/>
      <c r="AB979" s="118"/>
      <c r="AC979" s="118"/>
      <c r="AD979" s="693"/>
      <c r="AE979" s="693"/>
    </row>
    <row r="980" spans="2:31" ht="19.350000000000001" customHeight="1" x14ac:dyDescent="0.2">
      <c r="B980" s="705"/>
      <c r="C980" s="704"/>
      <c r="D980" s="146"/>
      <c r="E980" s="704"/>
      <c r="F980" s="139"/>
      <c r="G980" s="139"/>
      <c r="H980" s="139"/>
      <c r="I980" s="118"/>
      <c r="J980" s="118"/>
      <c r="K980" s="118"/>
      <c r="L980" s="118"/>
      <c r="M980" s="146"/>
      <c r="N980" s="139"/>
      <c r="O980" s="139"/>
      <c r="P980" s="139"/>
      <c r="Q980" s="139"/>
      <c r="R980" s="139"/>
      <c r="S980" s="139"/>
      <c r="T980" s="118"/>
      <c r="U980" s="118"/>
      <c r="V980" s="118"/>
      <c r="W980" s="139"/>
      <c r="X980" s="139"/>
      <c r="Y980" s="139"/>
      <c r="Z980" s="118"/>
      <c r="AA980" s="118"/>
      <c r="AB980" s="118"/>
      <c r="AC980" s="139"/>
      <c r="AD980" s="693"/>
      <c r="AE980" s="693"/>
    </row>
    <row r="981" spans="2:31" ht="9.75" customHeight="1" x14ac:dyDescent="0.2">
      <c r="B981" s="705"/>
      <c r="C981" s="704"/>
      <c r="D981" s="139"/>
      <c r="E981" s="704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39"/>
      <c r="X981" s="118"/>
      <c r="Y981" s="118"/>
      <c r="Z981" s="118"/>
      <c r="AA981" s="118"/>
      <c r="AB981" s="118"/>
      <c r="AC981" s="118"/>
      <c r="AD981" s="693"/>
      <c r="AE981" s="693"/>
    </row>
    <row r="982" spans="2:31" ht="9.75" customHeight="1" x14ac:dyDescent="0.2">
      <c r="B982" s="705"/>
      <c r="C982" s="704"/>
      <c r="D982" s="144"/>
      <c r="E982" s="704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46"/>
      <c r="X982" s="146"/>
      <c r="Y982" s="146"/>
      <c r="Z982" s="118"/>
      <c r="AA982" s="118"/>
      <c r="AB982" s="118"/>
      <c r="AC982" s="118"/>
      <c r="AD982" s="693"/>
      <c r="AE982" s="693"/>
    </row>
    <row r="983" spans="2:31" ht="9.75" customHeight="1" x14ac:dyDescent="0.2">
      <c r="B983" s="705"/>
      <c r="C983" s="704"/>
      <c r="D983" s="146"/>
      <c r="E983" s="704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39"/>
      <c r="W983" s="146"/>
      <c r="X983" s="146"/>
      <c r="Y983" s="118"/>
      <c r="Z983" s="118"/>
      <c r="AA983" s="118"/>
      <c r="AB983" s="118"/>
      <c r="AC983" s="118"/>
      <c r="AD983" s="693"/>
      <c r="AE983" s="693"/>
    </row>
    <row r="984" spans="2:31" ht="9.75" customHeight="1" x14ac:dyDescent="0.2">
      <c r="B984" s="705"/>
      <c r="C984" s="704"/>
      <c r="D984" s="144"/>
      <c r="E984" s="704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44"/>
      <c r="Y984" s="144"/>
      <c r="Z984" s="118"/>
      <c r="AA984" s="118"/>
      <c r="AB984" s="118"/>
      <c r="AC984" s="118"/>
      <c r="AD984" s="693"/>
      <c r="AE984" s="693"/>
    </row>
    <row r="985" spans="2:31" ht="9.75" customHeight="1" x14ac:dyDescent="0.2">
      <c r="B985" s="705"/>
      <c r="C985" s="704"/>
      <c r="D985" s="144"/>
      <c r="E985" s="704"/>
      <c r="F985" s="144"/>
      <c r="G985" s="139"/>
      <c r="H985" s="146"/>
      <c r="I985" s="139"/>
      <c r="J985" s="118"/>
      <c r="K985" s="118"/>
      <c r="L985" s="118"/>
      <c r="M985" s="139"/>
      <c r="N985" s="146"/>
      <c r="O985" s="146"/>
      <c r="P985" s="139"/>
      <c r="Q985" s="139"/>
      <c r="R985" s="139"/>
      <c r="S985" s="139"/>
      <c r="T985" s="118"/>
      <c r="U985" s="118"/>
      <c r="V985" s="118"/>
      <c r="W985" s="118"/>
      <c r="X985" s="118"/>
      <c r="Y985" s="118"/>
      <c r="Z985" s="118"/>
      <c r="AA985" s="118"/>
      <c r="AB985" s="118"/>
      <c r="AC985" s="118"/>
      <c r="AD985" s="693"/>
      <c r="AE985" s="693"/>
    </row>
    <row r="986" spans="2:31" ht="9.75" customHeight="1" x14ac:dyDescent="0.2">
      <c r="B986" s="705"/>
      <c r="C986" s="704"/>
      <c r="D986" s="146"/>
      <c r="E986" s="704"/>
      <c r="F986" s="146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  <c r="AA986" s="118"/>
      <c r="AB986" s="118"/>
      <c r="AC986" s="118"/>
      <c r="AD986" s="693"/>
      <c r="AE986" s="693"/>
    </row>
    <row r="987" spans="2:31" ht="9.75" customHeight="1" x14ac:dyDescent="0.2">
      <c r="B987" s="705"/>
      <c r="C987" s="704"/>
      <c r="D987" s="146"/>
      <c r="E987" s="704"/>
      <c r="F987" s="118"/>
      <c r="G987" s="118"/>
      <c r="H987" s="118"/>
      <c r="I987" s="118"/>
      <c r="J987" s="118"/>
      <c r="K987" s="118"/>
      <c r="L987" s="146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18"/>
      <c r="AC987" s="118"/>
      <c r="AD987" s="693"/>
      <c r="AE987" s="693"/>
    </row>
    <row r="988" spans="2:31" ht="9.75" customHeight="1" x14ac:dyDescent="0.2">
      <c r="B988" s="705"/>
      <c r="C988" s="704"/>
      <c r="D988" s="146"/>
      <c r="E988" s="704"/>
      <c r="F988" s="118"/>
      <c r="G988" s="118"/>
      <c r="H988" s="118"/>
      <c r="I988" s="118"/>
      <c r="J988" s="118"/>
      <c r="K988" s="118"/>
      <c r="L988" s="146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18"/>
      <c r="AC988" s="118"/>
      <c r="AD988" s="693"/>
      <c r="AE988" s="693"/>
    </row>
    <row r="989" spans="2:31" ht="9.75" customHeight="1" x14ac:dyDescent="0.2">
      <c r="B989" s="705"/>
      <c r="C989" s="704"/>
      <c r="D989" s="139"/>
      <c r="E989" s="704"/>
      <c r="F989" s="118"/>
      <c r="G989" s="118"/>
      <c r="H989" s="139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  <c r="AA989" s="118"/>
      <c r="AB989" s="118"/>
      <c r="AC989" s="118"/>
      <c r="AD989" s="693"/>
      <c r="AE989" s="693"/>
    </row>
    <row r="990" spans="2:31" ht="9.75" customHeight="1" x14ac:dyDescent="0.2">
      <c r="B990" s="705"/>
      <c r="C990" s="704"/>
      <c r="D990" s="142"/>
      <c r="E990" s="704"/>
      <c r="F990" s="118"/>
      <c r="G990" s="118"/>
      <c r="H990" s="142"/>
      <c r="I990" s="142"/>
      <c r="J990" s="142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693"/>
      <c r="AE990" s="693"/>
    </row>
    <row r="991" spans="2:31" ht="9.75" customHeight="1" x14ac:dyDescent="0.2">
      <c r="B991" s="705"/>
      <c r="C991" s="704"/>
      <c r="D991" s="139"/>
      <c r="E991" s="704"/>
      <c r="F991" s="139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693"/>
      <c r="AE991" s="693"/>
    </row>
    <row r="992" spans="2:31" ht="9.75" customHeight="1" x14ac:dyDescent="0.2">
      <c r="B992" s="705"/>
      <c r="C992" s="704"/>
      <c r="D992" s="139"/>
      <c r="E992" s="704"/>
      <c r="F992" s="139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693"/>
      <c r="AE992" s="693"/>
    </row>
    <row r="993" spans="2:31" ht="9.75" customHeight="1" x14ac:dyDescent="0.2">
      <c r="B993" s="705"/>
      <c r="C993" s="704"/>
      <c r="D993" s="142"/>
      <c r="E993" s="704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42"/>
      <c r="T993" s="142"/>
      <c r="U993" s="118"/>
      <c r="V993" s="118"/>
      <c r="W993" s="118"/>
      <c r="X993" s="118"/>
      <c r="Y993" s="118"/>
      <c r="Z993" s="118"/>
      <c r="AA993" s="118"/>
      <c r="AB993" s="118"/>
      <c r="AC993" s="118"/>
      <c r="AD993" s="693"/>
      <c r="AE993" s="693"/>
    </row>
    <row r="994" spans="2:31" ht="9.75" customHeight="1" x14ac:dyDescent="0.2">
      <c r="B994" s="705"/>
      <c r="C994" s="704"/>
      <c r="D994" s="139"/>
      <c r="E994" s="704"/>
      <c r="F994" s="118"/>
      <c r="G994" s="118"/>
      <c r="H994" s="118"/>
      <c r="I994" s="118"/>
      <c r="J994" s="118"/>
      <c r="K994" s="118"/>
      <c r="L994" s="139"/>
      <c r="M994" s="139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693"/>
      <c r="AE994" s="693"/>
    </row>
    <row r="995" spans="2:31" ht="9.75" customHeight="1" x14ac:dyDescent="0.2">
      <c r="B995" s="705"/>
      <c r="C995" s="704"/>
      <c r="D995" s="139"/>
      <c r="E995" s="704"/>
      <c r="F995" s="118"/>
      <c r="G995" s="118"/>
      <c r="H995" s="118"/>
      <c r="I995" s="139"/>
      <c r="J995" s="139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693"/>
      <c r="AE995" s="693"/>
    </row>
    <row r="996" spans="2:31" ht="9.75" customHeight="1" x14ac:dyDescent="0.2">
      <c r="B996" s="705"/>
      <c r="C996" s="704"/>
      <c r="D996" s="139"/>
      <c r="E996" s="704"/>
      <c r="F996" s="118"/>
      <c r="G996" s="118"/>
      <c r="H996" s="118"/>
      <c r="I996" s="139"/>
      <c r="J996" s="118"/>
      <c r="K996" s="118"/>
      <c r="L996" s="139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693"/>
      <c r="AE996" s="693"/>
    </row>
    <row r="997" spans="2:31" ht="9.75" customHeight="1" x14ac:dyDescent="0.2">
      <c r="B997" s="705"/>
      <c r="C997" s="704"/>
      <c r="D997" s="139"/>
      <c r="E997" s="704"/>
      <c r="F997" s="139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693"/>
      <c r="AE997" s="693"/>
    </row>
    <row r="998" spans="2:31" ht="9.75" customHeight="1" x14ac:dyDescent="0.2">
      <c r="B998" s="705"/>
      <c r="C998" s="704"/>
      <c r="D998" s="139"/>
      <c r="E998" s="704"/>
      <c r="F998" s="139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18"/>
      <c r="AC998" s="118"/>
      <c r="AD998" s="693"/>
      <c r="AE998" s="693"/>
    </row>
    <row r="999" spans="2:31" ht="9.75" customHeight="1" x14ac:dyDescent="0.2">
      <c r="B999" s="705"/>
      <c r="C999" s="704"/>
      <c r="D999" s="149"/>
      <c r="E999" s="704"/>
      <c r="F999" s="140"/>
      <c r="G999" s="142"/>
      <c r="H999" s="140"/>
      <c r="I999" s="142"/>
      <c r="J999" s="140"/>
      <c r="K999" s="140"/>
      <c r="L999" s="140"/>
      <c r="M999" s="140"/>
      <c r="N999" s="140"/>
      <c r="O999" s="140"/>
      <c r="P999" s="140"/>
      <c r="Q999" s="142"/>
      <c r="R999" s="144"/>
      <c r="S999" s="146"/>
      <c r="T999" s="118"/>
      <c r="U999" s="118"/>
      <c r="V999" s="118"/>
      <c r="W999" s="118"/>
      <c r="X999" s="118"/>
      <c r="Y999" s="118"/>
      <c r="Z999" s="118"/>
      <c r="AA999" s="118"/>
      <c r="AB999" s="118"/>
      <c r="AC999" s="118"/>
      <c r="AD999" s="693"/>
      <c r="AE999" s="693"/>
    </row>
    <row r="1000" spans="2:31" ht="9.75" customHeight="1" x14ac:dyDescent="0.2">
      <c r="B1000" s="705"/>
      <c r="C1000" s="704"/>
      <c r="D1000" s="146"/>
      <c r="E1000" s="704"/>
      <c r="F1000" s="118"/>
      <c r="G1000" s="118"/>
      <c r="H1000" s="118"/>
      <c r="I1000" s="118"/>
      <c r="J1000" s="118"/>
      <c r="K1000" s="118"/>
      <c r="L1000" s="118"/>
      <c r="M1000" s="139"/>
      <c r="N1000" s="139"/>
      <c r="O1000" s="139"/>
      <c r="P1000" s="139"/>
      <c r="Q1000" s="139"/>
      <c r="R1000" s="139"/>
      <c r="S1000" s="139"/>
      <c r="T1000" s="118"/>
      <c r="U1000" s="118"/>
      <c r="V1000" s="118"/>
      <c r="W1000" s="118"/>
      <c r="X1000" s="118"/>
      <c r="Y1000" s="118"/>
      <c r="Z1000" s="118"/>
      <c r="AA1000" s="118"/>
      <c r="AB1000" s="118"/>
      <c r="AC1000" s="118"/>
      <c r="AD1000" s="693"/>
      <c r="AE1000" s="693"/>
    </row>
    <row r="1001" spans="2:31" ht="9.75" customHeight="1" x14ac:dyDescent="0.2">
      <c r="B1001" s="705"/>
      <c r="C1001" s="704"/>
      <c r="D1001" s="144"/>
      <c r="E1001" s="704"/>
      <c r="F1001" s="144"/>
      <c r="G1001" s="118"/>
      <c r="H1001" s="118"/>
      <c r="I1001" s="118"/>
      <c r="J1001" s="118"/>
      <c r="K1001" s="118"/>
      <c r="L1001" s="146"/>
      <c r="M1001" s="139"/>
      <c r="N1001" s="144"/>
      <c r="O1001" s="144"/>
      <c r="P1001" s="146"/>
      <c r="Q1001" s="146"/>
      <c r="R1001" s="146"/>
      <c r="S1001" s="139"/>
      <c r="T1001" s="118"/>
      <c r="U1001" s="118"/>
      <c r="V1001" s="118"/>
      <c r="W1001" s="118"/>
      <c r="X1001" s="118"/>
      <c r="Y1001" s="118"/>
      <c r="Z1001" s="118"/>
      <c r="AA1001" s="118"/>
      <c r="AB1001" s="118"/>
      <c r="AC1001" s="118"/>
      <c r="AD1001" s="693"/>
      <c r="AE1001" s="693"/>
    </row>
    <row r="1002" spans="2:31" ht="9.75" customHeight="1" x14ac:dyDescent="0.2">
      <c r="B1002" s="705"/>
      <c r="C1002" s="704"/>
      <c r="D1002" s="144"/>
      <c r="E1002" s="704"/>
      <c r="F1002" s="146"/>
      <c r="G1002" s="146"/>
      <c r="H1002" s="146"/>
      <c r="I1002" s="146"/>
      <c r="J1002" s="118"/>
      <c r="K1002" s="118"/>
      <c r="L1002" s="146"/>
      <c r="M1002" s="118"/>
      <c r="N1002" s="144"/>
      <c r="O1002" s="146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  <c r="Z1002" s="118"/>
      <c r="AA1002" s="118"/>
      <c r="AB1002" s="118"/>
      <c r="AC1002" s="146"/>
      <c r="AD1002" s="693"/>
      <c r="AE1002" s="693"/>
    </row>
    <row r="1003" spans="2:31" ht="9.75" customHeight="1" x14ac:dyDescent="0.2">
      <c r="B1003" s="705"/>
      <c r="C1003" s="704"/>
      <c r="D1003" s="144"/>
      <c r="E1003" s="704"/>
      <c r="F1003" s="144"/>
      <c r="G1003" s="146"/>
      <c r="H1003" s="144"/>
      <c r="I1003" s="139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  <c r="Z1003" s="118"/>
      <c r="AA1003" s="118"/>
      <c r="AB1003" s="118"/>
      <c r="AC1003" s="118"/>
      <c r="AD1003" s="693"/>
      <c r="AE1003" s="693"/>
    </row>
    <row r="1004" spans="2:31" ht="9.75" customHeight="1" x14ac:dyDescent="0.2">
      <c r="B1004" s="705"/>
      <c r="C1004" s="704"/>
      <c r="D1004" s="146"/>
      <c r="E1004" s="704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46"/>
      <c r="X1004" s="118"/>
      <c r="Y1004" s="118"/>
      <c r="Z1004" s="118"/>
      <c r="AA1004" s="118"/>
      <c r="AB1004" s="118"/>
      <c r="AC1004" s="118"/>
      <c r="AD1004" s="693"/>
      <c r="AE1004" s="693"/>
    </row>
    <row r="1005" spans="2:31" ht="9.75" customHeight="1" x14ac:dyDescent="0.2">
      <c r="B1005" s="705"/>
      <c r="C1005" s="704"/>
      <c r="D1005" s="144"/>
      <c r="E1005" s="704"/>
      <c r="F1005" s="144"/>
      <c r="G1005" s="118"/>
      <c r="H1005" s="144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  <c r="Z1005" s="118"/>
      <c r="AA1005" s="118"/>
      <c r="AB1005" s="118"/>
      <c r="AC1005" s="118"/>
      <c r="AD1005" s="693"/>
      <c r="AE1005" s="693"/>
    </row>
    <row r="1006" spans="2:31" ht="9.75" customHeight="1" x14ac:dyDescent="0.2">
      <c r="B1006" s="705"/>
      <c r="C1006" s="704"/>
      <c r="D1006" s="144"/>
      <c r="E1006" s="704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46"/>
      <c r="T1006" s="146"/>
      <c r="U1006" s="146"/>
      <c r="V1006" s="146"/>
      <c r="W1006" s="146"/>
      <c r="X1006" s="146"/>
      <c r="Y1006" s="144"/>
      <c r="Z1006" s="118"/>
      <c r="AA1006" s="118"/>
      <c r="AB1006" s="118"/>
      <c r="AC1006" s="118"/>
      <c r="AD1006" s="693"/>
      <c r="AE1006" s="693"/>
    </row>
    <row r="1007" spans="2:31" ht="9.75" customHeight="1" x14ac:dyDescent="0.2">
      <c r="B1007" s="705"/>
      <c r="C1007" s="704"/>
      <c r="D1007" s="139"/>
      <c r="E1007" s="704"/>
      <c r="F1007" s="118"/>
      <c r="G1007" s="118"/>
      <c r="H1007" s="118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  <c r="Z1007" s="118"/>
      <c r="AA1007" s="139"/>
      <c r="AB1007" s="139"/>
      <c r="AC1007" s="118"/>
      <c r="AD1007" s="693"/>
      <c r="AE1007" s="693"/>
    </row>
    <row r="1008" spans="2:31" ht="9.75" customHeight="1" x14ac:dyDescent="0.2">
      <c r="B1008" s="705"/>
      <c r="C1008" s="704"/>
      <c r="D1008" s="139"/>
      <c r="E1008" s="704"/>
      <c r="F1008" s="118"/>
      <c r="G1008" s="118"/>
      <c r="H1008" s="118"/>
      <c r="I1008" s="118"/>
      <c r="J1008" s="118"/>
      <c r="K1008" s="118"/>
      <c r="L1008" s="139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  <c r="Z1008" s="118"/>
      <c r="AA1008" s="118"/>
      <c r="AB1008" s="118"/>
      <c r="AC1008" s="118"/>
      <c r="AD1008" s="693"/>
      <c r="AE1008" s="693"/>
    </row>
    <row r="1009" spans="2:31" ht="9.75" customHeight="1" x14ac:dyDescent="0.2">
      <c r="B1009" s="705"/>
      <c r="C1009" s="704"/>
      <c r="D1009" s="146"/>
      <c r="E1009" s="704"/>
      <c r="F1009" s="118"/>
      <c r="G1009" s="118"/>
      <c r="H1009" s="118"/>
      <c r="I1009" s="118"/>
      <c r="J1009" s="118"/>
      <c r="K1009" s="118"/>
      <c r="L1009" s="118"/>
      <c r="M1009" s="118"/>
      <c r="N1009" s="118"/>
      <c r="O1009" s="118"/>
      <c r="P1009" s="118"/>
      <c r="Q1009" s="139"/>
      <c r="R1009" s="139"/>
      <c r="S1009" s="139"/>
      <c r="T1009" s="118"/>
      <c r="U1009" s="118"/>
      <c r="V1009" s="118"/>
      <c r="W1009" s="118"/>
      <c r="X1009" s="118"/>
      <c r="Y1009" s="118"/>
      <c r="Z1009" s="146"/>
      <c r="AA1009" s="118"/>
      <c r="AB1009" s="118"/>
      <c r="AC1009" s="118"/>
      <c r="AD1009" s="693"/>
      <c r="AE1009" s="693"/>
    </row>
    <row r="1010" spans="2:31" ht="9.75" customHeight="1" x14ac:dyDescent="0.2">
      <c r="B1010" s="705"/>
      <c r="C1010" s="704"/>
      <c r="D1010" s="146"/>
      <c r="E1010" s="704"/>
      <c r="F1010" s="139"/>
      <c r="G1010" s="139"/>
      <c r="H1010" s="118"/>
      <c r="I1010" s="118"/>
      <c r="J1010" s="118"/>
      <c r="K1010" s="118"/>
      <c r="L1010" s="118"/>
      <c r="M1010" s="139"/>
      <c r="N1010" s="146"/>
      <c r="O1010" s="146"/>
      <c r="P1010" s="139"/>
      <c r="Q1010" s="139"/>
      <c r="R1010" s="139"/>
      <c r="S1010" s="139"/>
      <c r="T1010" s="118"/>
      <c r="U1010" s="118"/>
      <c r="V1010" s="118"/>
      <c r="W1010" s="139"/>
      <c r="X1010" s="139"/>
      <c r="Y1010" s="139"/>
      <c r="Z1010" s="139"/>
      <c r="AA1010" s="139"/>
      <c r="AB1010" s="139"/>
      <c r="AC1010" s="146"/>
      <c r="AD1010" s="693"/>
      <c r="AE1010" s="693"/>
    </row>
    <row r="1011" spans="2:31" ht="9.75" customHeight="1" x14ac:dyDescent="0.2">
      <c r="B1011" s="705"/>
      <c r="C1011" s="704"/>
      <c r="D1011" s="139"/>
      <c r="E1011" s="704"/>
      <c r="F1011" s="118"/>
      <c r="G1011" s="118"/>
      <c r="H1011" s="118"/>
      <c r="I1011" s="118"/>
      <c r="J1011" s="118"/>
      <c r="K1011" s="118"/>
      <c r="L1011" s="118"/>
      <c r="M1011" s="118"/>
      <c r="N1011" s="118"/>
      <c r="O1011" s="118"/>
      <c r="P1011" s="118"/>
      <c r="Q1011" s="118"/>
      <c r="R1011" s="118"/>
      <c r="S1011" s="118"/>
      <c r="T1011" s="118"/>
      <c r="U1011" s="118"/>
      <c r="V1011" s="118"/>
      <c r="W1011" s="118"/>
      <c r="X1011" s="118"/>
      <c r="Y1011" s="118"/>
      <c r="Z1011" s="118"/>
      <c r="AA1011" s="139"/>
      <c r="AB1011" s="139"/>
      <c r="AC1011" s="118"/>
      <c r="AD1011" s="693"/>
      <c r="AE1011" s="693"/>
    </row>
    <row r="1012" spans="2:31" ht="9.75" customHeight="1" x14ac:dyDescent="0.2">
      <c r="B1012" s="705"/>
      <c r="C1012" s="704"/>
      <c r="D1012" s="146"/>
      <c r="E1012" s="704"/>
      <c r="F1012" s="146"/>
      <c r="G1012" s="118"/>
      <c r="H1012" s="146"/>
      <c r="I1012" s="118"/>
      <c r="J1012" s="118"/>
      <c r="K1012" s="118"/>
      <c r="L1012" s="118"/>
      <c r="M1012" s="118"/>
      <c r="N1012" s="146"/>
      <c r="O1012" s="139"/>
      <c r="P1012" s="118"/>
      <c r="Q1012" s="118"/>
      <c r="R1012" s="118"/>
      <c r="S1012" s="118"/>
      <c r="T1012" s="118"/>
      <c r="U1012" s="118"/>
      <c r="V1012" s="118"/>
      <c r="W1012" s="118"/>
      <c r="X1012" s="118"/>
      <c r="Y1012" s="118"/>
      <c r="Z1012" s="118"/>
      <c r="AA1012" s="118"/>
      <c r="AB1012" s="118"/>
      <c r="AC1012" s="118"/>
      <c r="AD1012" s="693"/>
      <c r="AE1012" s="693"/>
    </row>
    <row r="1013" spans="2:31" ht="9.75" customHeight="1" x14ac:dyDescent="0.2">
      <c r="B1013" s="705"/>
      <c r="C1013" s="704"/>
      <c r="D1013" s="146"/>
      <c r="E1013" s="704"/>
      <c r="F1013" s="118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  <c r="R1013" s="118"/>
      <c r="S1013" s="118"/>
      <c r="T1013" s="118"/>
      <c r="U1013" s="118"/>
      <c r="V1013" s="118"/>
      <c r="W1013" s="118"/>
      <c r="X1013" s="118"/>
      <c r="Y1013" s="146"/>
      <c r="Z1013" s="118"/>
      <c r="AA1013" s="118"/>
      <c r="AB1013" s="118"/>
      <c r="AC1013" s="118"/>
      <c r="AD1013" s="693"/>
      <c r="AE1013" s="693"/>
    </row>
    <row r="1014" spans="2:31" ht="9.75" customHeight="1" x14ac:dyDescent="0.2">
      <c r="B1014" s="705"/>
      <c r="C1014" s="704"/>
      <c r="D1014" s="142"/>
      <c r="E1014" s="704"/>
      <c r="F1014" s="118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44"/>
      <c r="Q1014" s="144"/>
      <c r="R1014" s="144"/>
      <c r="S1014" s="144"/>
      <c r="T1014" s="144"/>
      <c r="U1014" s="144"/>
      <c r="V1014" s="144"/>
      <c r="W1014" s="144"/>
      <c r="X1014" s="146"/>
      <c r="Y1014" s="146"/>
      <c r="Z1014" s="146"/>
      <c r="AA1014" s="146"/>
      <c r="AB1014" s="146"/>
      <c r="AC1014" s="139"/>
      <c r="AD1014" s="693"/>
      <c r="AE1014" s="693"/>
    </row>
    <row r="1015" spans="2:31" ht="9.75" customHeight="1" x14ac:dyDescent="0.2">
      <c r="B1015" s="705"/>
      <c r="C1015" s="704"/>
      <c r="D1015" s="142"/>
      <c r="E1015" s="704"/>
      <c r="F1015" s="118"/>
      <c r="G1015" s="118"/>
      <c r="H1015" s="144"/>
      <c r="I1015" s="146"/>
      <c r="J1015" s="146"/>
      <c r="K1015" s="146"/>
      <c r="L1015" s="146"/>
      <c r="M1015" s="144"/>
      <c r="N1015" s="144"/>
      <c r="O1015" s="144"/>
      <c r="P1015" s="144"/>
      <c r="Q1015" s="144"/>
      <c r="R1015" s="118"/>
      <c r="S1015" s="118"/>
      <c r="T1015" s="118"/>
      <c r="U1015" s="118"/>
      <c r="V1015" s="118"/>
      <c r="W1015" s="118"/>
      <c r="X1015" s="144"/>
      <c r="Y1015" s="118"/>
      <c r="Z1015" s="118"/>
      <c r="AA1015" s="118"/>
      <c r="AB1015" s="118"/>
      <c r="AC1015" s="118"/>
      <c r="AD1015" s="693"/>
      <c r="AE1015" s="693"/>
    </row>
    <row r="1016" spans="2:31" ht="9.75" customHeight="1" x14ac:dyDescent="0.2">
      <c r="B1016" s="705"/>
      <c r="C1016" s="704"/>
      <c r="D1016" s="139"/>
      <c r="E1016" s="704"/>
      <c r="F1016" s="139"/>
      <c r="G1016" s="118"/>
      <c r="H1016" s="118"/>
      <c r="I1016" s="118"/>
      <c r="J1016" s="118"/>
      <c r="K1016" s="118"/>
      <c r="L1016" s="118"/>
      <c r="M1016" s="118"/>
      <c r="N1016" s="118"/>
      <c r="O1016" s="118"/>
      <c r="P1016" s="118"/>
      <c r="Q1016" s="118"/>
      <c r="R1016" s="118"/>
      <c r="S1016" s="118"/>
      <c r="T1016" s="118"/>
      <c r="U1016" s="118"/>
      <c r="V1016" s="118"/>
      <c r="W1016" s="118"/>
      <c r="X1016" s="118"/>
      <c r="Y1016" s="118"/>
      <c r="Z1016" s="118"/>
      <c r="AA1016" s="118"/>
      <c r="AB1016" s="118"/>
      <c r="AC1016" s="118"/>
      <c r="AD1016" s="693"/>
      <c r="AE1016" s="693"/>
    </row>
    <row r="1017" spans="2:31" ht="19.350000000000001" customHeight="1" x14ac:dyDescent="0.2">
      <c r="B1017" s="705"/>
      <c r="C1017" s="704"/>
      <c r="D1017" s="146"/>
      <c r="E1017" s="704"/>
      <c r="F1017" s="118"/>
      <c r="G1017" s="118"/>
      <c r="H1017" s="118"/>
      <c r="I1017" s="118"/>
      <c r="J1017" s="118"/>
      <c r="K1017" s="118"/>
      <c r="L1017" s="118"/>
      <c r="M1017" s="118"/>
      <c r="N1017" s="118"/>
      <c r="O1017" s="118"/>
      <c r="P1017" s="118"/>
      <c r="Q1017" s="118"/>
      <c r="R1017" s="118"/>
      <c r="S1017" s="118"/>
      <c r="T1017" s="118"/>
      <c r="U1017" s="118"/>
      <c r="V1017" s="118"/>
      <c r="W1017" s="118"/>
      <c r="X1017" s="146"/>
      <c r="Y1017" s="146"/>
      <c r="Z1017" s="118"/>
      <c r="AA1017" s="118"/>
      <c r="AB1017" s="118"/>
      <c r="AC1017" s="118"/>
      <c r="AD1017" s="693"/>
      <c r="AE1017" s="693"/>
    </row>
    <row r="1018" spans="2:31" ht="9.75" customHeight="1" x14ac:dyDescent="0.2">
      <c r="B1018" s="705"/>
      <c r="C1018" s="704"/>
      <c r="D1018" s="139"/>
      <c r="E1018" s="704"/>
      <c r="F1018" s="118"/>
      <c r="G1018" s="118"/>
      <c r="H1018" s="139"/>
      <c r="I1018" s="118"/>
      <c r="J1018" s="118"/>
      <c r="K1018" s="118"/>
      <c r="L1018" s="118"/>
      <c r="M1018" s="118"/>
      <c r="N1018" s="118"/>
      <c r="O1018" s="118"/>
      <c r="P1018" s="118"/>
      <c r="Q1018" s="118"/>
      <c r="R1018" s="118"/>
      <c r="S1018" s="118"/>
      <c r="T1018" s="118"/>
      <c r="U1018" s="118"/>
      <c r="V1018" s="118"/>
      <c r="W1018" s="118"/>
      <c r="X1018" s="118"/>
      <c r="Y1018" s="118"/>
      <c r="Z1018" s="118"/>
      <c r="AA1018" s="118"/>
      <c r="AB1018" s="118"/>
      <c r="AC1018" s="118"/>
      <c r="AD1018" s="693"/>
      <c r="AE1018" s="693"/>
    </row>
    <row r="1019" spans="2:31" ht="9.75" customHeight="1" x14ac:dyDescent="0.2">
      <c r="B1019" s="705"/>
      <c r="C1019" s="704"/>
      <c r="D1019" s="144"/>
      <c r="E1019" s="704"/>
      <c r="F1019" s="118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  <c r="R1019" s="118"/>
      <c r="S1019" s="118"/>
      <c r="T1019" s="118"/>
      <c r="U1019" s="118"/>
      <c r="V1019" s="118"/>
      <c r="W1019" s="118"/>
      <c r="X1019" s="118"/>
      <c r="Y1019" s="118"/>
      <c r="Z1019" s="146"/>
      <c r="AA1019" s="146"/>
      <c r="AB1019" s="118"/>
      <c r="AC1019" s="118"/>
      <c r="AD1019" s="693"/>
      <c r="AE1019" s="693"/>
    </row>
    <row r="1020" spans="2:31" ht="9.75" customHeight="1" x14ac:dyDescent="0.2">
      <c r="B1020" s="705"/>
      <c r="C1020" s="704"/>
      <c r="D1020" s="139"/>
      <c r="E1020" s="704"/>
      <c r="F1020" s="118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  <c r="R1020" s="118"/>
      <c r="S1020" s="118"/>
      <c r="T1020" s="118"/>
      <c r="U1020" s="118"/>
      <c r="V1020" s="118"/>
      <c r="W1020" s="118"/>
      <c r="X1020" s="118"/>
      <c r="Y1020" s="118"/>
      <c r="Z1020" s="118"/>
      <c r="AA1020" s="139"/>
      <c r="AB1020" s="118"/>
      <c r="AC1020" s="118"/>
      <c r="AD1020" s="693"/>
      <c r="AE1020" s="693"/>
    </row>
    <row r="1021" spans="2:31" ht="9.75" customHeight="1" x14ac:dyDescent="0.2">
      <c r="B1021" s="705"/>
      <c r="C1021" s="704"/>
      <c r="D1021" s="139"/>
      <c r="E1021" s="704"/>
      <c r="F1021" s="118"/>
      <c r="G1021" s="118"/>
      <c r="H1021" s="118"/>
      <c r="I1021" s="118"/>
      <c r="J1021" s="118"/>
      <c r="K1021" s="118"/>
      <c r="L1021" s="118"/>
      <c r="M1021" s="118"/>
      <c r="N1021" s="118"/>
      <c r="O1021" s="118"/>
      <c r="P1021" s="118"/>
      <c r="Q1021" s="118"/>
      <c r="R1021" s="118"/>
      <c r="S1021" s="118"/>
      <c r="T1021" s="118"/>
      <c r="U1021" s="118"/>
      <c r="V1021" s="118"/>
      <c r="W1021" s="118"/>
      <c r="X1021" s="118"/>
      <c r="Y1021" s="118"/>
      <c r="Z1021" s="118"/>
      <c r="AA1021" s="139"/>
      <c r="AB1021" s="118"/>
      <c r="AC1021" s="118"/>
      <c r="AD1021" s="693"/>
      <c r="AE1021" s="693"/>
    </row>
    <row r="1022" spans="2:31" ht="9.75" customHeight="1" x14ac:dyDescent="0.2">
      <c r="B1022" s="705"/>
      <c r="C1022" s="704"/>
      <c r="D1022" s="140"/>
      <c r="E1022" s="704"/>
      <c r="F1022" s="118"/>
      <c r="G1022" s="118"/>
      <c r="H1022" s="118"/>
      <c r="I1022" s="118"/>
      <c r="J1022" s="118"/>
      <c r="K1022" s="118"/>
      <c r="L1022" s="118"/>
      <c r="M1022" s="142"/>
      <c r="N1022" s="140"/>
      <c r="O1022" s="140"/>
      <c r="P1022" s="140"/>
      <c r="Q1022" s="140"/>
      <c r="R1022" s="140"/>
      <c r="S1022" s="142"/>
      <c r="T1022" s="118"/>
      <c r="U1022" s="118"/>
      <c r="V1022" s="118"/>
      <c r="W1022" s="118"/>
      <c r="X1022" s="118"/>
      <c r="Y1022" s="118"/>
      <c r="Z1022" s="118"/>
      <c r="AA1022" s="118"/>
      <c r="AB1022" s="118"/>
      <c r="AC1022" s="118"/>
      <c r="AD1022" s="693"/>
      <c r="AE1022" s="693"/>
    </row>
    <row r="1023" spans="2:31" ht="9.75" customHeight="1" x14ac:dyDescent="0.2">
      <c r="B1023" s="705"/>
      <c r="C1023" s="704"/>
      <c r="D1023" s="144"/>
      <c r="E1023" s="704"/>
      <c r="F1023" s="118"/>
      <c r="G1023" s="118"/>
      <c r="H1023" s="118"/>
      <c r="I1023" s="118"/>
      <c r="J1023" s="118"/>
      <c r="K1023" s="118"/>
      <c r="L1023" s="118"/>
      <c r="M1023" s="118"/>
      <c r="N1023" s="118"/>
      <c r="O1023" s="118"/>
      <c r="P1023" s="118"/>
      <c r="Q1023" s="118"/>
      <c r="R1023" s="118"/>
      <c r="S1023" s="118"/>
      <c r="T1023" s="118"/>
      <c r="U1023" s="118"/>
      <c r="V1023" s="118"/>
      <c r="W1023" s="118"/>
      <c r="X1023" s="118"/>
      <c r="Y1023" s="118"/>
      <c r="Z1023" s="118"/>
      <c r="AA1023" s="118"/>
      <c r="AB1023" s="118"/>
      <c r="AC1023" s="144"/>
      <c r="AD1023" s="693"/>
      <c r="AE1023" s="693"/>
    </row>
    <row r="1024" spans="2:31" ht="9.75" customHeight="1" x14ac:dyDescent="0.2">
      <c r="B1024" s="705"/>
      <c r="C1024" s="704"/>
      <c r="D1024" s="144"/>
      <c r="E1024" s="704"/>
      <c r="F1024" s="118"/>
      <c r="G1024" s="118"/>
      <c r="H1024" s="118"/>
      <c r="I1024" s="118"/>
      <c r="J1024" s="118"/>
      <c r="K1024" s="118"/>
      <c r="L1024" s="118"/>
      <c r="M1024" s="144"/>
      <c r="N1024" s="118"/>
      <c r="O1024" s="118"/>
      <c r="P1024" s="118"/>
      <c r="Q1024" s="118"/>
      <c r="R1024" s="118"/>
      <c r="S1024" s="118"/>
      <c r="T1024" s="118"/>
      <c r="U1024" s="118"/>
      <c r="V1024" s="118"/>
      <c r="W1024" s="118"/>
      <c r="X1024" s="118"/>
      <c r="Y1024" s="118"/>
      <c r="Z1024" s="118"/>
      <c r="AA1024" s="118"/>
      <c r="AB1024" s="118"/>
      <c r="AC1024" s="118"/>
      <c r="AD1024" s="693"/>
      <c r="AE1024" s="693"/>
    </row>
    <row r="1025" spans="2:31" ht="9.75" customHeight="1" x14ac:dyDescent="0.2">
      <c r="B1025" s="705"/>
      <c r="C1025" s="704"/>
      <c r="D1025" s="139"/>
      <c r="E1025" s="704"/>
      <c r="F1025" s="118"/>
      <c r="G1025" s="118"/>
      <c r="H1025" s="118"/>
      <c r="I1025" s="118"/>
      <c r="J1025" s="118"/>
      <c r="K1025" s="118"/>
      <c r="L1025" s="118"/>
      <c r="M1025" s="118"/>
      <c r="N1025" s="118"/>
      <c r="O1025" s="118"/>
      <c r="P1025" s="118"/>
      <c r="Q1025" s="118"/>
      <c r="R1025" s="118"/>
      <c r="S1025" s="118"/>
      <c r="T1025" s="118"/>
      <c r="U1025" s="118"/>
      <c r="V1025" s="118"/>
      <c r="W1025" s="139"/>
      <c r="X1025" s="139"/>
      <c r="Y1025" s="139"/>
      <c r="Z1025" s="139"/>
      <c r="AA1025" s="118"/>
      <c r="AB1025" s="118"/>
      <c r="AC1025" s="118"/>
      <c r="AD1025" s="693"/>
      <c r="AE1025" s="693"/>
    </row>
    <row r="1026" spans="2:31" ht="9.75" customHeight="1" x14ac:dyDescent="0.2">
      <c r="B1026" s="705"/>
      <c r="C1026" s="704"/>
      <c r="D1026" s="139"/>
      <c r="E1026" s="704"/>
      <c r="F1026" s="139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  <c r="R1026" s="118"/>
      <c r="S1026" s="118"/>
      <c r="T1026" s="118"/>
      <c r="U1026" s="118"/>
      <c r="V1026" s="118"/>
      <c r="W1026" s="118"/>
      <c r="X1026" s="118"/>
      <c r="Y1026" s="118"/>
      <c r="Z1026" s="118"/>
      <c r="AA1026" s="118"/>
      <c r="AB1026" s="139"/>
      <c r="AC1026" s="118"/>
      <c r="AD1026" s="693"/>
      <c r="AE1026" s="693"/>
    </row>
    <row r="1027" spans="2:31" ht="9.75" customHeight="1" x14ac:dyDescent="0.2">
      <c r="B1027" s="705"/>
      <c r="C1027" s="704"/>
      <c r="D1027" s="146"/>
      <c r="E1027" s="704"/>
      <c r="F1027" s="118"/>
      <c r="G1027" s="118"/>
      <c r="H1027" s="118"/>
      <c r="I1027" s="118"/>
      <c r="J1027" s="118"/>
      <c r="K1027" s="118"/>
      <c r="L1027" s="118"/>
      <c r="M1027" s="118"/>
      <c r="N1027" s="118"/>
      <c r="O1027" s="118"/>
      <c r="P1027" s="118"/>
      <c r="Q1027" s="118"/>
      <c r="R1027" s="118"/>
      <c r="S1027" s="118"/>
      <c r="T1027" s="118"/>
      <c r="U1027" s="118"/>
      <c r="V1027" s="118"/>
      <c r="W1027" s="118"/>
      <c r="X1027" s="118"/>
      <c r="Y1027" s="118"/>
      <c r="Z1027" s="118"/>
      <c r="AA1027" s="118"/>
      <c r="AB1027" s="146"/>
      <c r="AC1027" s="118"/>
      <c r="AD1027" s="693"/>
      <c r="AE1027" s="693"/>
    </row>
    <row r="1028" spans="2:31" ht="19.350000000000001" customHeight="1" x14ac:dyDescent="0.2">
      <c r="B1028" s="705"/>
      <c r="C1028" s="704"/>
      <c r="D1028" s="139"/>
      <c r="E1028" s="704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  <c r="R1028" s="118"/>
      <c r="S1028" s="118"/>
      <c r="T1028" s="118"/>
      <c r="U1028" s="118"/>
      <c r="V1028" s="118"/>
      <c r="W1028" s="118"/>
      <c r="X1028" s="118"/>
      <c r="Y1028" s="139"/>
      <c r="Z1028" s="139"/>
      <c r="AA1028" s="118"/>
      <c r="AB1028" s="118"/>
      <c r="AC1028" s="118"/>
      <c r="AD1028" s="693"/>
      <c r="AE1028" s="693"/>
    </row>
    <row r="1029" spans="2:31" ht="19.350000000000001" customHeight="1" x14ac:dyDescent="0.2">
      <c r="B1029" s="705"/>
      <c r="C1029" s="704"/>
      <c r="D1029" s="144"/>
      <c r="E1029" s="704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  <c r="R1029" s="118"/>
      <c r="S1029" s="118"/>
      <c r="T1029" s="118"/>
      <c r="U1029" s="118"/>
      <c r="V1029" s="139"/>
      <c r="W1029" s="139"/>
      <c r="X1029" s="118"/>
      <c r="Y1029" s="144"/>
      <c r="Z1029" s="146"/>
      <c r="AA1029" s="118"/>
      <c r="AB1029" s="118"/>
      <c r="AC1029" s="118"/>
      <c r="AD1029" s="693"/>
      <c r="AE1029" s="693"/>
    </row>
    <row r="1030" spans="2:31" ht="19.350000000000001" customHeight="1" x14ac:dyDescent="0.2">
      <c r="B1030" s="705"/>
      <c r="C1030" s="704"/>
      <c r="D1030" s="146"/>
      <c r="E1030" s="704"/>
      <c r="F1030" s="118"/>
      <c r="G1030" s="118"/>
      <c r="H1030" s="118"/>
      <c r="I1030" s="118"/>
      <c r="J1030" s="118"/>
      <c r="K1030" s="118"/>
      <c r="L1030" s="118"/>
      <c r="M1030" s="118"/>
      <c r="N1030" s="118"/>
      <c r="O1030" s="118"/>
      <c r="P1030" s="118"/>
      <c r="Q1030" s="118"/>
      <c r="R1030" s="118"/>
      <c r="S1030" s="118"/>
      <c r="T1030" s="118"/>
      <c r="U1030" s="118"/>
      <c r="V1030" s="118"/>
      <c r="W1030" s="139"/>
      <c r="X1030" s="139"/>
      <c r="Y1030" s="146"/>
      <c r="Z1030" s="139"/>
      <c r="AA1030" s="118"/>
      <c r="AB1030" s="118"/>
      <c r="AC1030" s="118"/>
      <c r="AD1030" s="693"/>
      <c r="AE1030" s="693"/>
    </row>
    <row r="1031" spans="2:31" ht="9.75" customHeight="1" x14ac:dyDescent="0.2">
      <c r="B1031" s="705"/>
      <c r="C1031" s="704"/>
      <c r="D1031" s="146"/>
      <c r="E1031" s="704"/>
      <c r="F1031" s="118"/>
      <c r="G1031" s="118"/>
      <c r="H1031" s="118"/>
      <c r="I1031" s="118"/>
      <c r="J1031" s="118"/>
      <c r="K1031" s="118"/>
      <c r="L1031" s="118"/>
      <c r="M1031" s="118"/>
      <c r="N1031" s="118"/>
      <c r="O1031" s="118"/>
      <c r="P1031" s="118"/>
      <c r="Q1031" s="118"/>
      <c r="R1031" s="118"/>
      <c r="S1031" s="118"/>
      <c r="T1031" s="118"/>
      <c r="U1031" s="118"/>
      <c r="V1031" s="118"/>
      <c r="W1031" s="139"/>
      <c r="X1031" s="139"/>
      <c r="Y1031" s="139"/>
      <c r="Z1031" s="146"/>
      <c r="AA1031" s="139"/>
      <c r="AB1031" s="118"/>
      <c r="AC1031" s="118"/>
      <c r="AD1031" s="693"/>
      <c r="AE1031" s="693"/>
    </row>
    <row r="1032" spans="2:31" ht="19.350000000000001" customHeight="1" x14ac:dyDescent="0.2">
      <c r="B1032" s="705"/>
      <c r="C1032" s="704"/>
      <c r="D1032" s="144"/>
      <c r="E1032" s="704"/>
      <c r="F1032" s="118"/>
      <c r="G1032" s="118"/>
      <c r="H1032" s="118"/>
      <c r="I1032" s="118"/>
      <c r="J1032" s="118"/>
      <c r="K1032" s="118"/>
      <c r="L1032" s="118"/>
      <c r="M1032" s="118"/>
      <c r="N1032" s="118"/>
      <c r="O1032" s="118"/>
      <c r="P1032" s="118"/>
      <c r="Q1032" s="118"/>
      <c r="R1032" s="118"/>
      <c r="S1032" s="118"/>
      <c r="T1032" s="118"/>
      <c r="U1032" s="118"/>
      <c r="V1032" s="139"/>
      <c r="W1032" s="139"/>
      <c r="X1032" s="118"/>
      <c r="Y1032" s="144"/>
      <c r="Z1032" s="144"/>
      <c r="AA1032" s="118"/>
      <c r="AB1032" s="118"/>
      <c r="AC1032" s="118"/>
      <c r="AD1032" s="693"/>
      <c r="AE1032" s="693"/>
    </row>
    <row r="1033" spans="2:31" ht="9.75" customHeight="1" x14ac:dyDescent="0.2">
      <c r="B1033" s="705"/>
      <c r="C1033" s="704"/>
      <c r="D1033" s="146"/>
      <c r="E1033" s="704"/>
      <c r="F1033" s="118"/>
      <c r="G1033" s="118"/>
      <c r="H1033" s="118"/>
      <c r="I1033" s="118"/>
      <c r="J1033" s="118"/>
      <c r="K1033" s="118"/>
      <c r="L1033" s="118"/>
      <c r="M1033" s="118"/>
      <c r="N1033" s="118"/>
      <c r="O1033" s="118"/>
      <c r="P1033" s="118"/>
      <c r="Q1033" s="118"/>
      <c r="R1033" s="118"/>
      <c r="S1033" s="118"/>
      <c r="T1033" s="118"/>
      <c r="U1033" s="118"/>
      <c r="V1033" s="118"/>
      <c r="W1033" s="118"/>
      <c r="X1033" s="146"/>
      <c r="Y1033" s="146"/>
      <c r="Z1033" s="118"/>
      <c r="AA1033" s="118"/>
      <c r="AB1033" s="118"/>
      <c r="AC1033" s="118"/>
      <c r="AD1033" s="693"/>
      <c r="AE1033" s="693"/>
    </row>
    <row r="1034" spans="2:31" ht="9.75" customHeight="1" x14ac:dyDescent="0.2">
      <c r="B1034" s="705"/>
      <c r="C1034" s="704"/>
      <c r="D1034" s="144"/>
      <c r="E1034" s="704"/>
      <c r="F1034" s="118"/>
      <c r="G1034" s="118"/>
      <c r="H1034" s="118"/>
      <c r="I1034" s="118"/>
      <c r="J1034" s="118"/>
      <c r="K1034" s="118"/>
      <c r="L1034" s="118"/>
      <c r="M1034" s="118"/>
      <c r="N1034" s="118"/>
      <c r="O1034" s="118"/>
      <c r="P1034" s="118"/>
      <c r="Q1034" s="118"/>
      <c r="R1034" s="118"/>
      <c r="S1034" s="118"/>
      <c r="T1034" s="118"/>
      <c r="U1034" s="118"/>
      <c r="V1034" s="118"/>
      <c r="W1034" s="146"/>
      <c r="X1034" s="144"/>
      <c r="Y1034" s="146"/>
      <c r="Z1034" s="118"/>
      <c r="AA1034" s="118"/>
      <c r="AB1034" s="118"/>
      <c r="AC1034" s="118"/>
      <c r="AD1034" s="693"/>
      <c r="AE1034" s="693"/>
    </row>
    <row r="1035" spans="2:31" ht="9.75" customHeight="1" x14ac:dyDescent="0.2">
      <c r="B1035" s="705"/>
      <c r="C1035" s="704"/>
      <c r="D1035" s="146"/>
      <c r="E1035" s="704"/>
      <c r="F1035" s="118"/>
      <c r="G1035" s="118"/>
      <c r="H1035" s="118"/>
      <c r="I1035" s="118"/>
      <c r="J1035" s="118"/>
      <c r="K1035" s="118"/>
      <c r="L1035" s="118"/>
      <c r="M1035" s="118"/>
      <c r="N1035" s="118"/>
      <c r="O1035" s="118"/>
      <c r="P1035" s="118"/>
      <c r="Q1035" s="118"/>
      <c r="R1035" s="118"/>
      <c r="S1035" s="118"/>
      <c r="T1035" s="118"/>
      <c r="U1035" s="118"/>
      <c r="V1035" s="118"/>
      <c r="W1035" s="146"/>
      <c r="X1035" s="146"/>
      <c r="Y1035" s="146"/>
      <c r="Z1035" s="146"/>
      <c r="AA1035" s="118"/>
      <c r="AB1035" s="118"/>
      <c r="AC1035" s="118"/>
      <c r="AD1035" s="693"/>
      <c r="AE1035" s="693"/>
    </row>
    <row r="1036" spans="2:31" ht="9.75" customHeight="1" x14ac:dyDescent="0.2">
      <c r="B1036" s="705"/>
      <c r="C1036" s="704"/>
      <c r="D1036" s="144"/>
      <c r="E1036" s="704"/>
      <c r="F1036" s="118"/>
      <c r="G1036" s="118"/>
      <c r="H1036" s="118"/>
      <c r="I1036" s="118"/>
      <c r="J1036" s="118"/>
      <c r="K1036" s="118"/>
      <c r="L1036" s="118"/>
      <c r="M1036" s="118"/>
      <c r="N1036" s="118"/>
      <c r="O1036" s="118"/>
      <c r="P1036" s="118"/>
      <c r="Q1036" s="118"/>
      <c r="R1036" s="118"/>
      <c r="S1036" s="118"/>
      <c r="T1036" s="118"/>
      <c r="U1036" s="118"/>
      <c r="V1036" s="118"/>
      <c r="W1036" s="118"/>
      <c r="X1036" s="144"/>
      <c r="Y1036" s="144"/>
      <c r="Z1036" s="118"/>
      <c r="AA1036" s="118"/>
      <c r="AB1036" s="118"/>
      <c r="AC1036" s="118"/>
      <c r="AD1036" s="693"/>
      <c r="AE1036" s="693"/>
    </row>
    <row r="1037" spans="2:31" ht="9.75" customHeight="1" x14ac:dyDescent="0.2">
      <c r="B1037" s="705"/>
      <c r="C1037" s="704"/>
      <c r="D1037" s="146"/>
      <c r="E1037" s="704"/>
      <c r="F1037" s="118"/>
      <c r="G1037" s="118"/>
      <c r="H1037" s="118"/>
      <c r="I1037" s="118"/>
      <c r="J1037" s="118"/>
      <c r="K1037" s="118"/>
      <c r="L1037" s="118"/>
      <c r="M1037" s="118"/>
      <c r="N1037" s="118"/>
      <c r="O1037" s="118"/>
      <c r="P1037" s="118"/>
      <c r="Q1037" s="118"/>
      <c r="R1037" s="118"/>
      <c r="S1037" s="118"/>
      <c r="T1037" s="118"/>
      <c r="U1037" s="139"/>
      <c r="V1037" s="139"/>
      <c r="W1037" s="139"/>
      <c r="X1037" s="139"/>
      <c r="Y1037" s="139"/>
      <c r="Z1037" s="118"/>
      <c r="AA1037" s="118"/>
      <c r="AB1037" s="118"/>
      <c r="AC1037" s="118"/>
      <c r="AD1037" s="693"/>
      <c r="AE1037" s="693"/>
    </row>
    <row r="1038" spans="2:31" ht="19.350000000000001" customHeight="1" x14ac:dyDescent="0.2">
      <c r="B1038" s="705"/>
      <c r="C1038" s="704"/>
      <c r="D1038" s="146"/>
      <c r="E1038" s="704"/>
      <c r="F1038" s="118"/>
      <c r="G1038" s="118"/>
      <c r="H1038" s="118"/>
      <c r="I1038" s="118"/>
      <c r="J1038" s="118"/>
      <c r="K1038" s="118"/>
      <c r="L1038" s="118"/>
      <c r="M1038" s="118"/>
      <c r="N1038" s="118"/>
      <c r="O1038" s="118"/>
      <c r="P1038" s="118"/>
      <c r="Q1038" s="118"/>
      <c r="R1038" s="118"/>
      <c r="S1038" s="118"/>
      <c r="T1038" s="118"/>
      <c r="U1038" s="118"/>
      <c r="V1038" s="118"/>
      <c r="W1038" s="118"/>
      <c r="X1038" s="118"/>
      <c r="Y1038" s="118"/>
      <c r="Z1038" s="118"/>
      <c r="AA1038" s="118"/>
      <c r="AB1038" s="118"/>
      <c r="AC1038" s="146"/>
      <c r="AD1038" s="693"/>
      <c r="AE1038" s="693"/>
    </row>
    <row r="1039" spans="2:31" ht="19.350000000000001" customHeight="1" x14ac:dyDescent="0.2">
      <c r="B1039" s="705"/>
      <c r="C1039" s="704"/>
      <c r="D1039" s="144"/>
      <c r="E1039" s="704"/>
      <c r="F1039" s="118"/>
      <c r="G1039" s="118"/>
      <c r="H1039" s="118"/>
      <c r="I1039" s="118"/>
      <c r="J1039" s="118"/>
      <c r="K1039" s="118"/>
      <c r="L1039" s="118"/>
      <c r="M1039" s="118"/>
      <c r="N1039" s="118"/>
      <c r="O1039" s="118"/>
      <c r="P1039" s="118"/>
      <c r="Q1039" s="118"/>
      <c r="R1039" s="118"/>
      <c r="S1039" s="118"/>
      <c r="T1039" s="139"/>
      <c r="U1039" s="146"/>
      <c r="V1039" s="146"/>
      <c r="W1039" s="146"/>
      <c r="X1039" s="118"/>
      <c r="Y1039" s="118"/>
      <c r="Z1039" s="146"/>
      <c r="AA1039" s="146"/>
      <c r="AB1039" s="118"/>
      <c r="AC1039" s="118"/>
      <c r="AD1039" s="693"/>
      <c r="AE1039" s="693"/>
    </row>
    <row r="1040" spans="2:31" ht="19.350000000000001" customHeight="1" x14ac:dyDescent="0.2">
      <c r="B1040" s="705"/>
      <c r="C1040" s="704"/>
      <c r="D1040" s="139"/>
      <c r="E1040" s="704"/>
      <c r="F1040" s="118"/>
      <c r="G1040" s="118"/>
      <c r="H1040" s="118"/>
      <c r="I1040" s="118"/>
      <c r="J1040" s="118"/>
      <c r="K1040" s="118"/>
      <c r="L1040" s="139"/>
      <c r="M1040" s="118"/>
      <c r="N1040" s="118"/>
      <c r="O1040" s="118"/>
      <c r="P1040" s="118"/>
      <c r="Q1040" s="118"/>
      <c r="R1040" s="118"/>
      <c r="S1040" s="118"/>
      <c r="T1040" s="118"/>
      <c r="U1040" s="118"/>
      <c r="V1040" s="118"/>
      <c r="W1040" s="118"/>
      <c r="X1040" s="118"/>
      <c r="Y1040" s="118"/>
      <c r="Z1040" s="118"/>
      <c r="AA1040" s="118"/>
      <c r="AB1040" s="118"/>
      <c r="AC1040" s="118"/>
      <c r="AD1040" s="693"/>
      <c r="AE1040" s="693"/>
    </row>
    <row r="1041" spans="2:31" ht="19.350000000000001" customHeight="1" x14ac:dyDescent="0.2">
      <c r="B1041" s="705"/>
      <c r="C1041" s="704"/>
      <c r="D1041" s="139"/>
      <c r="E1041" s="704"/>
      <c r="F1041" s="118"/>
      <c r="G1041" s="118"/>
      <c r="H1041" s="118"/>
      <c r="I1041" s="118"/>
      <c r="J1041" s="118"/>
      <c r="K1041" s="118"/>
      <c r="L1041" s="118"/>
      <c r="M1041" s="118"/>
      <c r="N1041" s="118"/>
      <c r="O1041" s="118"/>
      <c r="P1041" s="118"/>
      <c r="Q1041" s="118"/>
      <c r="R1041" s="118"/>
      <c r="S1041" s="118"/>
      <c r="T1041" s="118"/>
      <c r="U1041" s="118"/>
      <c r="V1041" s="118"/>
      <c r="W1041" s="118"/>
      <c r="X1041" s="118"/>
      <c r="Y1041" s="118"/>
      <c r="Z1041" s="118"/>
      <c r="AA1041" s="118"/>
      <c r="AB1041" s="139"/>
      <c r="AC1041" s="118"/>
      <c r="AD1041" s="693"/>
      <c r="AE1041" s="693"/>
    </row>
    <row r="1042" spans="2:31" ht="9.75" customHeight="1" x14ac:dyDescent="0.2">
      <c r="B1042" s="705"/>
      <c r="C1042" s="704"/>
      <c r="D1042" s="139"/>
      <c r="E1042" s="704"/>
      <c r="F1042" s="118"/>
      <c r="G1042" s="118"/>
      <c r="H1042" s="118"/>
      <c r="I1042" s="118"/>
      <c r="J1042" s="118"/>
      <c r="K1042" s="118"/>
      <c r="L1042" s="118"/>
      <c r="M1042" s="118"/>
      <c r="N1042" s="118"/>
      <c r="O1042" s="118"/>
      <c r="P1042" s="118"/>
      <c r="Q1042" s="118"/>
      <c r="R1042" s="118"/>
      <c r="S1042" s="118"/>
      <c r="T1042" s="118"/>
      <c r="U1042" s="118"/>
      <c r="V1042" s="118"/>
      <c r="W1042" s="139"/>
      <c r="X1042" s="118"/>
      <c r="Y1042" s="118"/>
      <c r="Z1042" s="118"/>
      <c r="AA1042" s="118"/>
      <c r="AB1042" s="118"/>
      <c r="AC1042" s="118"/>
      <c r="AD1042" s="693"/>
      <c r="AE1042" s="693"/>
    </row>
    <row r="1043" spans="2:31" ht="9.75" customHeight="1" x14ac:dyDescent="0.2">
      <c r="B1043" s="705"/>
      <c r="C1043" s="704"/>
      <c r="D1043" s="139"/>
      <c r="E1043" s="704"/>
      <c r="F1043" s="118"/>
      <c r="G1043" s="118"/>
      <c r="H1043" s="118"/>
      <c r="I1043" s="118"/>
      <c r="J1043" s="118"/>
      <c r="K1043" s="118"/>
      <c r="L1043" s="118"/>
      <c r="M1043" s="118"/>
      <c r="N1043" s="118"/>
      <c r="O1043" s="118"/>
      <c r="P1043" s="118"/>
      <c r="Q1043" s="118"/>
      <c r="R1043" s="118"/>
      <c r="S1043" s="118"/>
      <c r="T1043" s="118"/>
      <c r="U1043" s="118"/>
      <c r="V1043" s="118"/>
      <c r="W1043" s="118"/>
      <c r="X1043" s="139"/>
      <c r="Y1043" s="139"/>
      <c r="Z1043" s="139"/>
      <c r="AA1043" s="139"/>
      <c r="AB1043" s="139"/>
      <c r="AC1043" s="118"/>
      <c r="AD1043" s="693"/>
      <c r="AE1043" s="693"/>
    </row>
    <row r="1044" spans="2:31" ht="9.75" customHeight="1" x14ac:dyDescent="0.2">
      <c r="B1044" s="705"/>
      <c r="C1044" s="704"/>
      <c r="D1044" s="146"/>
      <c r="E1044" s="704"/>
      <c r="F1044" s="118"/>
      <c r="G1044" s="118"/>
      <c r="H1044" s="118"/>
      <c r="I1044" s="118"/>
      <c r="J1044" s="118"/>
      <c r="K1044" s="118"/>
      <c r="L1044" s="118"/>
      <c r="M1044" s="118"/>
      <c r="N1044" s="118"/>
      <c r="O1044" s="118"/>
      <c r="P1044" s="118"/>
      <c r="Q1044" s="118"/>
      <c r="R1044" s="118"/>
      <c r="S1044" s="118"/>
      <c r="T1044" s="118"/>
      <c r="U1044" s="118"/>
      <c r="V1044" s="118"/>
      <c r="W1044" s="118"/>
      <c r="X1044" s="146"/>
      <c r="Y1044" s="146"/>
      <c r="Z1044" s="139"/>
      <c r="AA1044" s="139"/>
      <c r="AB1044" s="139"/>
      <c r="AC1044" s="118"/>
      <c r="AD1044" s="693"/>
      <c r="AE1044" s="693"/>
    </row>
    <row r="1045" spans="2:31" ht="9.75" customHeight="1" x14ac:dyDescent="0.2">
      <c r="B1045" s="705"/>
      <c r="C1045" s="704"/>
      <c r="D1045" s="139"/>
      <c r="E1045" s="704"/>
      <c r="F1045" s="118"/>
      <c r="G1045" s="118"/>
      <c r="H1045" s="118"/>
      <c r="I1045" s="118"/>
      <c r="J1045" s="118"/>
      <c r="K1045" s="118"/>
      <c r="L1045" s="139"/>
      <c r="M1045" s="118"/>
      <c r="N1045" s="118"/>
      <c r="O1045" s="118"/>
      <c r="P1045" s="118"/>
      <c r="Q1045" s="118"/>
      <c r="R1045" s="118"/>
      <c r="S1045" s="118"/>
      <c r="T1045" s="118"/>
      <c r="U1045" s="118"/>
      <c r="V1045" s="118"/>
      <c r="W1045" s="118"/>
      <c r="X1045" s="118"/>
      <c r="Y1045" s="118"/>
      <c r="Z1045" s="118"/>
      <c r="AA1045" s="118"/>
      <c r="AB1045" s="118"/>
      <c r="AC1045" s="118"/>
      <c r="AD1045" s="693"/>
      <c r="AE1045" s="693"/>
    </row>
    <row r="1046" spans="2:31" ht="9.75" customHeight="1" x14ac:dyDescent="0.2">
      <c r="B1046" s="705"/>
      <c r="C1046" s="704"/>
      <c r="D1046" s="139"/>
      <c r="E1046" s="704"/>
      <c r="F1046" s="118"/>
      <c r="G1046" s="118"/>
      <c r="H1046" s="118"/>
      <c r="I1046" s="118"/>
      <c r="J1046" s="118"/>
      <c r="K1046" s="118"/>
      <c r="L1046" s="118"/>
      <c r="M1046" s="118"/>
      <c r="N1046" s="118"/>
      <c r="O1046" s="118"/>
      <c r="P1046" s="118"/>
      <c r="Q1046" s="118"/>
      <c r="R1046" s="118"/>
      <c r="S1046" s="118"/>
      <c r="T1046" s="118"/>
      <c r="U1046" s="118"/>
      <c r="V1046" s="118"/>
      <c r="W1046" s="118"/>
      <c r="X1046" s="118"/>
      <c r="Y1046" s="118"/>
      <c r="Z1046" s="118"/>
      <c r="AA1046" s="118"/>
      <c r="AB1046" s="139"/>
      <c r="AC1046" s="139"/>
      <c r="AD1046" s="693"/>
      <c r="AE1046" s="693"/>
    </row>
    <row r="1047" spans="2:31" ht="9.75" customHeight="1" x14ac:dyDescent="0.2">
      <c r="B1047" s="705"/>
      <c r="C1047" s="704"/>
      <c r="D1047" s="144"/>
      <c r="E1047" s="704"/>
      <c r="F1047" s="118"/>
      <c r="G1047" s="118"/>
      <c r="H1047" s="118"/>
      <c r="I1047" s="118"/>
      <c r="J1047" s="118"/>
      <c r="K1047" s="118"/>
      <c r="L1047" s="118"/>
      <c r="M1047" s="118"/>
      <c r="N1047" s="118"/>
      <c r="O1047" s="118"/>
      <c r="P1047" s="118"/>
      <c r="Q1047" s="118"/>
      <c r="R1047" s="118"/>
      <c r="S1047" s="146"/>
      <c r="T1047" s="144"/>
      <c r="U1047" s="146"/>
      <c r="V1047" s="146"/>
      <c r="W1047" s="146"/>
      <c r="X1047" s="118"/>
      <c r="Y1047" s="118"/>
      <c r="Z1047" s="118"/>
      <c r="AA1047" s="118"/>
      <c r="AB1047" s="118"/>
      <c r="AC1047" s="118"/>
      <c r="AD1047" s="693"/>
      <c r="AE1047" s="693"/>
    </row>
    <row r="1048" spans="2:31" ht="9.75" customHeight="1" x14ac:dyDescent="0.2">
      <c r="B1048" s="705"/>
      <c r="C1048" s="704"/>
      <c r="D1048" s="144"/>
      <c r="E1048" s="704"/>
      <c r="F1048" s="118"/>
      <c r="G1048" s="118"/>
      <c r="H1048" s="118"/>
      <c r="I1048" s="118"/>
      <c r="J1048" s="118"/>
      <c r="K1048" s="118"/>
      <c r="L1048" s="118"/>
      <c r="M1048" s="118"/>
      <c r="N1048" s="118"/>
      <c r="O1048" s="118"/>
      <c r="P1048" s="118"/>
      <c r="Q1048" s="118"/>
      <c r="R1048" s="118"/>
      <c r="S1048" s="118"/>
      <c r="T1048" s="146"/>
      <c r="U1048" s="144"/>
      <c r="V1048" s="146"/>
      <c r="W1048" s="144"/>
      <c r="X1048" s="146"/>
      <c r="Y1048" s="146"/>
      <c r="Z1048" s="146"/>
      <c r="AA1048" s="146"/>
      <c r="AB1048" s="118"/>
      <c r="AC1048" s="139"/>
      <c r="AD1048" s="693"/>
      <c r="AE1048" s="693"/>
    </row>
    <row r="1049" spans="2:31" ht="9.75" customHeight="1" x14ac:dyDescent="0.2">
      <c r="B1049" s="705"/>
      <c r="C1049" s="704"/>
      <c r="D1049" s="144"/>
      <c r="E1049" s="704"/>
      <c r="F1049" s="118"/>
      <c r="G1049" s="118"/>
      <c r="H1049" s="118"/>
      <c r="I1049" s="118"/>
      <c r="J1049" s="118"/>
      <c r="K1049" s="118"/>
      <c r="L1049" s="118"/>
      <c r="M1049" s="118"/>
      <c r="N1049" s="118"/>
      <c r="O1049" s="118"/>
      <c r="P1049" s="118"/>
      <c r="Q1049" s="146"/>
      <c r="R1049" s="146"/>
      <c r="S1049" s="146"/>
      <c r="T1049" s="146"/>
      <c r="U1049" s="146"/>
      <c r="V1049" s="118"/>
      <c r="W1049" s="118"/>
      <c r="X1049" s="118"/>
      <c r="Y1049" s="118"/>
      <c r="Z1049" s="118"/>
      <c r="AA1049" s="118"/>
      <c r="AB1049" s="118"/>
      <c r="AC1049" s="118"/>
      <c r="AD1049" s="693"/>
      <c r="AE1049" s="693"/>
    </row>
    <row r="1050" spans="2:31" ht="9.75" customHeight="1" x14ac:dyDescent="0.2">
      <c r="B1050" s="705"/>
      <c r="C1050" s="704"/>
      <c r="D1050" s="139"/>
      <c r="E1050" s="704"/>
      <c r="F1050" s="118"/>
      <c r="G1050" s="118"/>
      <c r="H1050" s="118"/>
      <c r="I1050" s="118"/>
      <c r="J1050" s="118"/>
      <c r="K1050" s="118"/>
      <c r="L1050" s="118"/>
      <c r="M1050" s="118"/>
      <c r="N1050" s="118"/>
      <c r="O1050" s="118"/>
      <c r="P1050" s="118"/>
      <c r="Q1050" s="118"/>
      <c r="R1050" s="118"/>
      <c r="S1050" s="118"/>
      <c r="T1050" s="118"/>
      <c r="U1050" s="118"/>
      <c r="V1050" s="118"/>
      <c r="W1050" s="118"/>
      <c r="X1050" s="118"/>
      <c r="Y1050" s="139"/>
      <c r="Z1050" s="139"/>
      <c r="AA1050" s="118"/>
      <c r="AB1050" s="118"/>
      <c r="AC1050" s="118"/>
      <c r="AD1050" s="693"/>
      <c r="AE1050" s="693"/>
    </row>
    <row r="1051" spans="2:31" ht="19.350000000000001" customHeight="1" x14ac:dyDescent="0.2">
      <c r="B1051" s="705"/>
      <c r="C1051" s="704"/>
      <c r="D1051" s="142"/>
      <c r="E1051" s="704"/>
      <c r="F1051" s="118"/>
      <c r="G1051" s="118"/>
      <c r="H1051" s="118"/>
      <c r="I1051" s="118"/>
      <c r="J1051" s="118"/>
      <c r="K1051" s="118"/>
      <c r="L1051" s="118"/>
      <c r="M1051" s="118"/>
      <c r="N1051" s="146"/>
      <c r="O1051" s="118"/>
      <c r="P1051" s="118"/>
      <c r="Q1051" s="144"/>
      <c r="R1051" s="144"/>
      <c r="S1051" s="144"/>
      <c r="T1051" s="118"/>
      <c r="U1051" s="118"/>
      <c r="V1051" s="118"/>
      <c r="W1051" s="118"/>
      <c r="X1051" s="118"/>
      <c r="Y1051" s="118"/>
      <c r="Z1051" s="118"/>
      <c r="AA1051" s="118"/>
      <c r="AB1051" s="118"/>
      <c r="AC1051" s="118"/>
      <c r="AD1051" s="693"/>
      <c r="AE1051" s="693"/>
    </row>
    <row r="1052" spans="2:31" ht="9.75" customHeight="1" x14ac:dyDescent="0.2">
      <c r="B1052" s="705"/>
      <c r="C1052" s="704"/>
      <c r="D1052" s="139"/>
      <c r="E1052" s="704"/>
      <c r="F1052" s="139"/>
      <c r="G1052" s="139"/>
      <c r="H1052" s="139"/>
      <c r="I1052" s="139"/>
      <c r="J1052" s="139"/>
      <c r="K1052" s="118"/>
      <c r="L1052" s="118"/>
      <c r="M1052" s="118"/>
      <c r="N1052" s="118"/>
      <c r="O1052" s="118"/>
      <c r="P1052" s="118"/>
      <c r="Q1052" s="118"/>
      <c r="R1052" s="118"/>
      <c r="S1052" s="118"/>
      <c r="T1052" s="118"/>
      <c r="U1052" s="118"/>
      <c r="V1052" s="118"/>
      <c r="W1052" s="118"/>
      <c r="X1052" s="118"/>
      <c r="Y1052" s="118"/>
      <c r="Z1052" s="118"/>
      <c r="AA1052" s="118"/>
      <c r="AB1052" s="118"/>
      <c r="AC1052" s="118"/>
      <c r="AD1052" s="693"/>
      <c r="AE1052" s="693"/>
    </row>
    <row r="1053" spans="2:31" ht="9.75" customHeight="1" x14ac:dyDescent="0.2">
      <c r="B1053" s="705"/>
      <c r="C1053" s="704"/>
      <c r="D1053" s="139"/>
      <c r="E1053" s="704"/>
      <c r="F1053" s="118"/>
      <c r="G1053" s="118"/>
      <c r="H1053" s="139"/>
      <c r="I1053" s="118"/>
      <c r="J1053" s="118"/>
      <c r="K1053" s="118"/>
      <c r="L1053" s="118"/>
      <c r="M1053" s="118"/>
      <c r="N1053" s="118"/>
      <c r="O1053" s="118"/>
      <c r="P1053" s="118"/>
      <c r="Q1053" s="118"/>
      <c r="R1053" s="118"/>
      <c r="S1053" s="118"/>
      <c r="T1053" s="118"/>
      <c r="U1053" s="118"/>
      <c r="V1053" s="118"/>
      <c r="W1053" s="118"/>
      <c r="X1053" s="118"/>
      <c r="Y1053" s="118"/>
      <c r="Z1053" s="118"/>
      <c r="AA1053" s="118"/>
      <c r="AB1053" s="118"/>
      <c r="AC1053" s="118"/>
      <c r="AD1053" s="693"/>
      <c r="AE1053" s="693"/>
    </row>
    <row r="1054" spans="2:31" ht="9.75" customHeight="1" x14ac:dyDescent="0.2">
      <c r="B1054" s="705"/>
      <c r="C1054" s="704"/>
      <c r="D1054" s="139"/>
      <c r="E1054" s="704"/>
      <c r="F1054" s="118"/>
      <c r="G1054" s="118"/>
      <c r="H1054" s="139"/>
      <c r="I1054" s="118"/>
      <c r="J1054" s="118"/>
      <c r="K1054" s="118"/>
      <c r="L1054" s="118"/>
      <c r="M1054" s="118"/>
      <c r="N1054" s="118"/>
      <c r="O1054" s="118"/>
      <c r="P1054" s="118"/>
      <c r="Q1054" s="118"/>
      <c r="R1054" s="118"/>
      <c r="S1054" s="118"/>
      <c r="T1054" s="118"/>
      <c r="U1054" s="118"/>
      <c r="V1054" s="118"/>
      <c r="W1054" s="118"/>
      <c r="X1054" s="118"/>
      <c r="Y1054" s="118"/>
      <c r="Z1054" s="118"/>
      <c r="AA1054" s="118"/>
      <c r="AB1054" s="118"/>
      <c r="AC1054" s="118"/>
      <c r="AD1054" s="693"/>
      <c r="AE1054" s="693"/>
    </row>
    <row r="1055" spans="2:31" ht="9.75" customHeight="1" x14ac:dyDescent="0.2">
      <c r="B1055" s="705"/>
      <c r="C1055" s="704"/>
      <c r="D1055" s="139"/>
      <c r="E1055" s="704"/>
      <c r="F1055" s="118"/>
      <c r="G1055" s="118"/>
      <c r="H1055" s="139"/>
      <c r="I1055" s="118"/>
      <c r="J1055" s="118"/>
      <c r="K1055" s="118"/>
      <c r="L1055" s="118"/>
      <c r="M1055" s="118"/>
      <c r="N1055" s="118"/>
      <c r="O1055" s="118"/>
      <c r="P1055" s="118"/>
      <c r="Q1055" s="118"/>
      <c r="R1055" s="118"/>
      <c r="S1055" s="118"/>
      <c r="T1055" s="118"/>
      <c r="U1055" s="118"/>
      <c r="V1055" s="118"/>
      <c r="W1055" s="118"/>
      <c r="X1055" s="118"/>
      <c r="Y1055" s="118"/>
      <c r="Z1055" s="118"/>
      <c r="AA1055" s="118"/>
      <c r="AB1055" s="118"/>
      <c r="AC1055" s="118"/>
      <c r="AD1055" s="693"/>
      <c r="AE1055" s="693"/>
    </row>
    <row r="1056" spans="2:31" ht="19.350000000000001" customHeight="1" x14ac:dyDescent="0.2">
      <c r="B1056" s="705"/>
      <c r="C1056" s="704"/>
      <c r="D1056" s="146"/>
      <c r="E1056" s="704"/>
      <c r="F1056" s="146"/>
      <c r="G1056" s="118"/>
      <c r="H1056" s="118"/>
      <c r="I1056" s="118"/>
      <c r="J1056" s="118"/>
      <c r="K1056" s="118"/>
      <c r="L1056" s="118"/>
      <c r="M1056" s="118"/>
      <c r="N1056" s="118"/>
      <c r="O1056" s="118"/>
      <c r="P1056" s="118"/>
      <c r="Q1056" s="118"/>
      <c r="R1056" s="118"/>
      <c r="S1056" s="118"/>
      <c r="T1056" s="118"/>
      <c r="U1056" s="118"/>
      <c r="V1056" s="118"/>
      <c r="W1056" s="118"/>
      <c r="X1056" s="118"/>
      <c r="Y1056" s="118"/>
      <c r="Z1056" s="118"/>
      <c r="AA1056" s="118"/>
      <c r="AB1056" s="118"/>
      <c r="AC1056" s="118"/>
      <c r="AD1056" s="693"/>
      <c r="AE1056" s="693"/>
    </row>
    <row r="1057" spans="2:31" ht="9.75" customHeight="1" x14ac:dyDescent="0.2">
      <c r="B1057" s="705"/>
      <c r="C1057" s="704"/>
      <c r="D1057" s="139"/>
      <c r="E1057" s="704"/>
      <c r="F1057" s="118"/>
      <c r="G1057" s="118"/>
      <c r="H1057" s="139"/>
      <c r="I1057" s="118"/>
      <c r="J1057" s="118"/>
      <c r="K1057" s="118"/>
      <c r="L1057" s="118"/>
      <c r="M1057" s="118"/>
      <c r="N1057" s="118"/>
      <c r="O1057" s="118"/>
      <c r="P1057" s="118"/>
      <c r="Q1057" s="118"/>
      <c r="R1057" s="118"/>
      <c r="S1057" s="118"/>
      <c r="T1057" s="118"/>
      <c r="U1057" s="118"/>
      <c r="V1057" s="118"/>
      <c r="W1057" s="118"/>
      <c r="X1057" s="118"/>
      <c r="Y1057" s="118"/>
      <c r="Z1057" s="118"/>
      <c r="AA1057" s="118"/>
      <c r="AB1057" s="118"/>
      <c r="AC1057" s="118"/>
      <c r="AD1057" s="693"/>
      <c r="AE1057" s="693"/>
    </row>
    <row r="1058" spans="2:31" ht="19.350000000000001" customHeight="1" x14ac:dyDescent="0.2">
      <c r="B1058" s="705"/>
      <c r="C1058" s="704"/>
      <c r="D1058" s="142"/>
      <c r="E1058" s="704"/>
      <c r="F1058" s="118"/>
      <c r="G1058" s="118"/>
      <c r="H1058" s="118"/>
      <c r="I1058" s="118"/>
      <c r="J1058" s="118"/>
      <c r="K1058" s="118"/>
      <c r="L1058" s="118"/>
      <c r="M1058" s="118"/>
      <c r="N1058" s="118"/>
      <c r="O1058" s="118"/>
      <c r="P1058" s="144"/>
      <c r="Q1058" s="144"/>
      <c r="R1058" s="144"/>
      <c r="S1058" s="144"/>
      <c r="T1058" s="144"/>
      <c r="U1058" s="144"/>
      <c r="V1058" s="144"/>
      <c r="W1058" s="144"/>
      <c r="X1058" s="146"/>
      <c r="Y1058" s="146"/>
      <c r="Z1058" s="146"/>
      <c r="AA1058" s="146"/>
      <c r="AB1058" s="144"/>
      <c r="AC1058" s="139"/>
      <c r="AD1058" s="693"/>
      <c r="AE1058" s="693"/>
    </row>
    <row r="1059" spans="2:31" ht="19.350000000000001" customHeight="1" x14ac:dyDescent="0.2">
      <c r="B1059" s="705"/>
      <c r="C1059" s="704"/>
      <c r="D1059" s="139"/>
      <c r="E1059" s="704"/>
      <c r="F1059" s="118"/>
      <c r="G1059" s="118"/>
      <c r="H1059" s="139"/>
      <c r="I1059" s="118"/>
      <c r="J1059" s="118"/>
      <c r="K1059" s="118"/>
      <c r="L1059" s="118"/>
      <c r="M1059" s="118"/>
      <c r="N1059" s="118"/>
      <c r="O1059" s="118"/>
      <c r="P1059" s="118"/>
      <c r="Q1059" s="118"/>
      <c r="R1059" s="118"/>
      <c r="S1059" s="118"/>
      <c r="T1059" s="118"/>
      <c r="U1059" s="118"/>
      <c r="V1059" s="118"/>
      <c r="W1059" s="118"/>
      <c r="X1059" s="118"/>
      <c r="Y1059" s="118"/>
      <c r="Z1059" s="118"/>
      <c r="AA1059" s="118"/>
      <c r="AB1059" s="118"/>
      <c r="AC1059" s="118"/>
      <c r="AD1059" s="693"/>
      <c r="AE1059" s="693"/>
    </row>
    <row r="1060" spans="2:31" ht="9.75" customHeight="1" x14ac:dyDescent="0.2">
      <c r="B1060" s="705"/>
      <c r="C1060" s="704"/>
      <c r="D1060" s="142"/>
      <c r="E1060" s="704"/>
      <c r="F1060" s="146"/>
      <c r="G1060" s="139"/>
      <c r="H1060" s="118"/>
      <c r="I1060" s="146"/>
      <c r="J1060" s="146"/>
      <c r="K1060" s="146"/>
      <c r="L1060" s="146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18"/>
      <c r="AC1060" s="144"/>
      <c r="AD1060" s="693"/>
      <c r="AE1060" s="693"/>
    </row>
    <row r="1061" spans="2:31" ht="9.75" customHeight="1" x14ac:dyDescent="0.2">
      <c r="B1061" s="705"/>
      <c r="C1061" s="704"/>
      <c r="D1061" s="144"/>
      <c r="E1061" s="704"/>
      <c r="F1061" s="146"/>
      <c r="G1061" s="144"/>
      <c r="H1061" s="118"/>
      <c r="I1061" s="118"/>
      <c r="J1061" s="118"/>
      <c r="K1061" s="118"/>
      <c r="L1061" s="118"/>
      <c r="M1061" s="118"/>
      <c r="N1061" s="118"/>
      <c r="O1061" s="118"/>
      <c r="P1061" s="118"/>
      <c r="Q1061" s="118"/>
      <c r="R1061" s="118"/>
      <c r="S1061" s="118"/>
      <c r="T1061" s="118"/>
      <c r="U1061" s="118"/>
      <c r="V1061" s="118"/>
      <c r="W1061" s="118"/>
      <c r="X1061" s="118"/>
      <c r="Y1061" s="118"/>
      <c r="Z1061" s="118"/>
      <c r="AA1061" s="118"/>
      <c r="AB1061" s="118"/>
      <c r="AC1061" s="118"/>
      <c r="AD1061" s="693"/>
      <c r="AE1061" s="693"/>
    </row>
    <row r="1062" spans="2:31" ht="9.75" customHeight="1" x14ac:dyDescent="0.2">
      <c r="B1062" s="705"/>
      <c r="C1062" s="704"/>
      <c r="D1062" s="144"/>
      <c r="E1062" s="704"/>
      <c r="F1062" s="118"/>
      <c r="G1062" s="118"/>
      <c r="H1062" s="144"/>
      <c r="I1062" s="118"/>
      <c r="J1062" s="118"/>
      <c r="K1062" s="118"/>
      <c r="L1062" s="118"/>
      <c r="M1062" s="118"/>
      <c r="N1062" s="118"/>
      <c r="O1062" s="118"/>
      <c r="P1062" s="118"/>
      <c r="Q1062" s="118"/>
      <c r="R1062" s="118"/>
      <c r="S1062" s="118"/>
      <c r="T1062" s="118"/>
      <c r="U1062" s="118"/>
      <c r="V1062" s="118"/>
      <c r="W1062" s="118"/>
      <c r="X1062" s="118"/>
      <c r="Y1062" s="118"/>
      <c r="Z1062" s="118"/>
      <c r="AA1062" s="118"/>
      <c r="AB1062" s="118"/>
      <c r="AC1062" s="118"/>
      <c r="AD1062" s="693"/>
      <c r="AE1062" s="693"/>
    </row>
    <row r="1063" spans="2:31" ht="19.350000000000001" customHeight="1" x14ac:dyDescent="0.2">
      <c r="B1063" s="705"/>
      <c r="C1063" s="704"/>
      <c r="D1063" s="146"/>
      <c r="E1063" s="704"/>
      <c r="F1063" s="118"/>
      <c r="G1063" s="146"/>
      <c r="H1063" s="118"/>
      <c r="I1063" s="118"/>
      <c r="J1063" s="118"/>
      <c r="K1063" s="118"/>
      <c r="L1063" s="118"/>
      <c r="M1063" s="118"/>
      <c r="N1063" s="118"/>
      <c r="O1063" s="118"/>
      <c r="P1063" s="118"/>
      <c r="Q1063" s="118"/>
      <c r="R1063" s="118"/>
      <c r="S1063" s="118"/>
      <c r="T1063" s="118"/>
      <c r="U1063" s="118"/>
      <c r="V1063" s="118"/>
      <c r="W1063" s="118"/>
      <c r="X1063" s="118"/>
      <c r="Y1063" s="118"/>
      <c r="Z1063" s="118"/>
      <c r="AA1063" s="118"/>
      <c r="AB1063" s="118"/>
      <c r="AC1063" s="118"/>
      <c r="AD1063" s="693"/>
      <c r="AE1063" s="693"/>
    </row>
    <row r="1064" spans="2:31" ht="9.75" customHeight="1" x14ac:dyDescent="0.2">
      <c r="B1064" s="705"/>
      <c r="C1064" s="704"/>
      <c r="D1064" s="144"/>
      <c r="E1064" s="704"/>
      <c r="F1064" s="118"/>
      <c r="G1064" s="118"/>
      <c r="H1064" s="118"/>
      <c r="I1064" s="118"/>
      <c r="J1064" s="118"/>
      <c r="K1064" s="118"/>
      <c r="L1064" s="144"/>
      <c r="M1064" s="118"/>
      <c r="N1064" s="118"/>
      <c r="O1064" s="118"/>
      <c r="P1064" s="118"/>
      <c r="Q1064" s="118"/>
      <c r="R1064" s="118"/>
      <c r="S1064" s="118"/>
      <c r="T1064" s="118"/>
      <c r="U1064" s="118"/>
      <c r="V1064" s="118"/>
      <c r="W1064" s="118"/>
      <c r="X1064" s="118"/>
      <c r="Y1064" s="118"/>
      <c r="Z1064" s="118"/>
      <c r="AA1064" s="118"/>
      <c r="AB1064" s="118"/>
      <c r="AC1064" s="118"/>
      <c r="AD1064" s="693"/>
      <c r="AE1064" s="693"/>
    </row>
    <row r="1065" spans="2:31" ht="9.75" customHeight="1" x14ac:dyDescent="0.2">
      <c r="B1065" s="705"/>
      <c r="C1065" s="704"/>
      <c r="D1065" s="142"/>
      <c r="E1065" s="704"/>
      <c r="F1065" s="144"/>
      <c r="G1065" s="144"/>
      <c r="H1065" s="144"/>
      <c r="I1065" s="146"/>
      <c r="J1065" s="144"/>
      <c r="K1065" s="144"/>
      <c r="L1065" s="144"/>
      <c r="M1065" s="144"/>
      <c r="N1065" s="144"/>
      <c r="O1065" s="144"/>
      <c r="P1065" s="144"/>
      <c r="Q1065" s="146"/>
      <c r="R1065" s="118"/>
      <c r="S1065" s="118"/>
      <c r="T1065" s="118"/>
      <c r="U1065" s="118"/>
      <c r="V1065" s="118"/>
      <c r="W1065" s="118"/>
      <c r="X1065" s="118"/>
      <c r="Y1065" s="118"/>
      <c r="Z1065" s="118"/>
      <c r="AA1065" s="118"/>
      <c r="AB1065" s="118"/>
      <c r="AC1065" s="118"/>
      <c r="AD1065" s="693"/>
      <c r="AE1065" s="693"/>
    </row>
    <row r="1066" spans="2:31" ht="9.75" customHeight="1" x14ac:dyDescent="0.2">
      <c r="B1066" s="705"/>
      <c r="C1066" s="704"/>
      <c r="D1066" s="139"/>
      <c r="E1066" s="704"/>
      <c r="F1066" s="118"/>
      <c r="G1066" s="118"/>
      <c r="H1066" s="118"/>
      <c r="I1066" s="118"/>
      <c r="J1066" s="118"/>
      <c r="K1066" s="118"/>
      <c r="L1066" s="118"/>
      <c r="M1066" s="118"/>
      <c r="N1066" s="139"/>
      <c r="O1066" s="139"/>
      <c r="P1066" s="139"/>
      <c r="Q1066" s="139"/>
      <c r="R1066" s="139"/>
      <c r="S1066" s="139"/>
      <c r="T1066" s="139"/>
      <c r="U1066" s="139"/>
      <c r="V1066" s="118"/>
      <c r="W1066" s="118"/>
      <c r="X1066" s="118"/>
      <c r="Y1066" s="118"/>
      <c r="Z1066" s="118"/>
      <c r="AA1066" s="118"/>
      <c r="AB1066" s="118"/>
      <c r="AC1066" s="118"/>
      <c r="AD1066" s="693"/>
      <c r="AE1066" s="693"/>
    </row>
    <row r="1067" spans="2:31" ht="9.75" customHeight="1" x14ac:dyDescent="0.2">
      <c r="B1067" s="705"/>
      <c r="C1067" s="704"/>
      <c r="D1067" s="146"/>
      <c r="E1067" s="704"/>
      <c r="F1067" s="118"/>
      <c r="G1067" s="118"/>
      <c r="H1067" s="118"/>
      <c r="I1067" s="118"/>
      <c r="J1067" s="118"/>
      <c r="K1067" s="118"/>
      <c r="L1067" s="118"/>
      <c r="M1067" s="118"/>
      <c r="N1067" s="118"/>
      <c r="O1067" s="118"/>
      <c r="P1067" s="118"/>
      <c r="Q1067" s="118"/>
      <c r="R1067" s="118"/>
      <c r="S1067" s="118"/>
      <c r="T1067" s="118"/>
      <c r="U1067" s="118"/>
      <c r="V1067" s="118"/>
      <c r="W1067" s="118"/>
      <c r="X1067" s="118"/>
      <c r="Y1067" s="118"/>
      <c r="Z1067" s="118"/>
      <c r="AA1067" s="118"/>
      <c r="AB1067" s="146"/>
      <c r="AC1067" s="146"/>
      <c r="AD1067" s="693"/>
      <c r="AE1067" s="693"/>
    </row>
    <row r="1068" spans="2:31" ht="9.75" customHeight="1" x14ac:dyDescent="0.2">
      <c r="B1068" s="705"/>
      <c r="C1068" s="704"/>
      <c r="D1068" s="146"/>
      <c r="E1068" s="704"/>
      <c r="F1068" s="118"/>
      <c r="G1068" s="118"/>
      <c r="H1068" s="118"/>
      <c r="I1068" s="118"/>
      <c r="J1068" s="118"/>
      <c r="K1068" s="118"/>
      <c r="L1068" s="118"/>
      <c r="M1068" s="118"/>
      <c r="N1068" s="118"/>
      <c r="O1068" s="118"/>
      <c r="P1068" s="118"/>
      <c r="Q1068" s="118"/>
      <c r="R1068" s="118"/>
      <c r="S1068" s="118"/>
      <c r="T1068" s="118"/>
      <c r="U1068" s="118"/>
      <c r="V1068" s="118"/>
      <c r="W1068" s="118"/>
      <c r="X1068" s="118"/>
      <c r="Y1068" s="118"/>
      <c r="Z1068" s="118"/>
      <c r="AA1068" s="118"/>
      <c r="AB1068" s="146"/>
      <c r="AC1068" s="146"/>
      <c r="AD1068" s="693"/>
      <c r="AE1068" s="693"/>
    </row>
    <row r="1069" spans="2:31" ht="9.75" customHeight="1" x14ac:dyDescent="0.2">
      <c r="B1069" s="705"/>
      <c r="C1069" s="704"/>
      <c r="D1069" s="139"/>
      <c r="E1069" s="704"/>
      <c r="F1069" s="118"/>
      <c r="G1069" s="118"/>
      <c r="H1069" s="118"/>
      <c r="I1069" s="118"/>
      <c r="J1069" s="118"/>
      <c r="K1069" s="118"/>
      <c r="L1069" s="118"/>
      <c r="M1069" s="118"/>
      <c r="N1069" s="118"/>
      <c r="O1069" s="118"/>
      <c r="P1069" s="118"/>
      <c r="Q1069" s="118"/>
      <c r="R1069" s="118"/>
      <c r="S1069" s="118"/>
      <c r="T1069" s="118"/>
      <c r="U1069" s="118"/>
      <c r="V1069" s="118"/>
      <c r="W1069" s="118"/>
      <c r="X1069" s="118"/>
      <c r="Y1069" s="118"/>
      <c r="Z1069" s="118"/>
      <c r="AA1069" s="118"/>
      <c r="AB1069" s="139"/>
      <c r="AC1069" s="139"/>
      <c r="AD1069" s="693"/>
      <c r="AE1069" s="693"/>
    </row>
    <row r="1070" spans="2:31" ht="9.75" customHeight="1" x14ac:dyDescent="0.2">
      <c r="B1070" s="705"/>
      <c r="C1070" s="704"/>
      <c r="D1070" s="144"/>
      <c r="E1070" s="704"/>
      <c r="F1070" s="118"/>
      <c r="G1070" s="118"/>
      <c r="H1070" s="118"/>
      <c r="I1070" s="118"/>
      <c r="J1070" s="118"/>
      <c r="K1070" s="118"/>
      <c r="L1070" s="118"/>
      <c r="M1070" s="118"/>
      <c r="N1070" s="118"/>
      <c r="O1070" s="118"/>
      <c r="P1070" s="118"/>
      <c r="Q1070" s="118"/>
      <c r="R1070" s="118"/>
      <c r="S1070" s="118"/>
      <c r="T1070" s="118"/>
      <c r="U1070" s="118"/>
      <c r="V1070" s="118"/>
      <c r="W1070" s="118"/>
      <c r="X1070" s="118"/>
      <c r="Y1070" s="118"/>
      <c r="Z1070" s="118"/>
      <c r="AA1070" s="118"/>
      <c r="AB1070" s="146"/>
      <c r="AC1070" s="146"/>
      <c r="AD1070" s="693"/>
      <c r="AE1070" s="693"/>
    </row>
    <row r="1071" spans="2:31" ht="9.75" customHeight="1" x14ac:dyDescent="0.2">
      <c r="B1071" s="705"/>
      <c r="C1071" s="704"/>
      <c r="D1071" s="146"/>
      <c r="E1071" s="704"/>
      <c r="F1071" s="118"/>
      <c r="G1071" s="118"/>
      <c r="H1071" s="118"/>
      <c r="I1071" s="118"/>
      <c r="J1071" s="118"/>
      <c r="K1071" s="118"/>
      <c r="L1071" s="118"/>
      <c r="M1071" s="118"/>
      <c r="N1071" s="118"/>
      <c r="O1071" s="118"/>
      <c r="P1071" s="118"/>
      <c r="Q1071" s="118"/>
      <c r="R1071" s="118"/>
      <c r="S1071" s="118"/>
      <c r="T1071" s="118"/>
      <c r="U1071" s="118"/>
      <c r="V1071" s="118"/>
      <c r="W1071" s="118"/>
      <c r="X1071" s="118"/>
      <c r="Y1071" s="118"/>
      <c r="Z1071" s="118"/>
      <c r="AA1071" s="118"/>
      <c r="AB1071" s="146"/>
      <c r="AC1071" s="146"/>
      <c r="AD1071" s="693"/>
      <c r="AE1071" s="693"/>
    </row>
    <row r="1072" spans="2:31" ht="9.75" customHeight="1" x14ac:dyDescent="0.2">
      <c r="B1072" s="705"/>
      <c r="C1072" s="704"/>
      <c r="D1072" s="139"/>
      <c r="E1072" s="704"/>
      <c r="F1072" s="118"/>
      <c r="G1072" s="118"/>
      <c r="H1072" s="118"/>
      <c r="I1072" s="118"/>
      <c r="J1072" s="118"/>
      <c r="K1072" s="118"/>
      <c r="L1072" s="118"/>
      <c r="M1072" s="118"/>
      <c r="N1072" s="118"/>
      <c r="O1072" s="118"/>
      <c r="P1072" s="118"/>
      <c r="Q1072" s="118"/>
      <c r="R1072" s="118"/>
      <c r="S1072" s="118"/>
      <c r="T1072" s="118"/>
      <c r="U1072" s="118"/>
      <c r="V1072" s="118"/>
      <c r="W1072" s="118"/>
      <c r="X1072" s="118"/>
      <c r="Y1072" s="118"/>
      <c r="Z1072" s="118"/>
      <c r="AA1072" s="118"/>
      <c r="AB1072" s="139"/>
      <c r="AC1072" s="139"/>
      <c r="AD1072" s="693"/>
      <c r="AE1072" s="693"/>
    </row>
    <row r="1073" spans="2:31" ht="9.75" customHeight="1" x14ac:dyDescent="0.2">
      <c r="B1073" s="705"/>
      <c r="C1073" s="704"/>
      <c r="D1073" s="146"/>
      <c r="E1073" s="704"/>
      <c r="F1073" s="118"/>
      <c r="G1073" s="118"/>
      <c r="H1073" s="118"/>
      <c r="I1073" s="118"/>
      <c r="J1073" s="118"/>
      <c r="K1073" s="118"/>
      <c r="L1073" s="118"/>
      <c r="M1073" s="118"/>
      <c r="N1073" s="118"/>
      <c r="O1073" s="118"/>
      <c r="P1073" s="118"/>
      <c r="Q1073" s="118"/>
      <c r="R1073" s="118"/>
      <c r="S1073" s="118"/>
      <c r="T1073" s="118"/>
      <c r="U1073" s="139"/>
      <c r="V1073" s="139"/>
      <c r="W1073" s="139"/>
      <c r="X1073" s="146"/>
      <c r="Y1073" s="146"/>
      <c r="Z1073" s="139"/>
      <c r="AA1073" s="139"/>
      <c r="AB1073" s="139"/>
      <c r="AC1073" s="118"/>
      <c r="AD1073" s="693"/>
      <c r="AE1073" s="693"/>
    </row>
    <row r="1074" spans="2:31" ht="9.75" customHeight="1" x14ac:dyDescent="0.2">
      <c r="B1074" s="705"/>
      <c r="C1074" s="704"/>
      <c r="D1074" s="144"/>
      <c r="E1074" s="704"/>
      <c r="F1074" s="118"/>
      <c r="G1074" s="118"/>
      <c r="H1074" s="118"/>
      <c r="I1074" s="118"/>
      <c r="J1074" s="118"/>
      <c r="K1074" s="118"/>
      <c r="L1074" s="118"/>
      <c r="M1074" s="118"/>
      <c r="N1074" s="118"/>
      <c r="O1074" s="118"/>
      <c r="P1074" s="118"/>
      <c r="Q1074" s="118"/>
      <c r="R1074" s="118"/>
      <c r="S1074" s="118"/>
      <c r="T1074" s="118"/>
      <c r="U1074" s="118"/>
      <c r="V1074" s="118"/>
      <c r="W1074" s="146"/>
      <c r="X1074" s="146"/>
      <c r="Y1074" s="146"/>
      <c r="Z1074" s="118"/>
      <c r="AA1074" s="118"/>
      <c r="AB1074" s="118"/>
      <c r="AC1074" s="118"/>
      <c r="AD1074" s="693"/>
      <c r="AE1074" s="693"/>
    </row>
    <row r="1075" spans="2:31" ht="9.75" customHeight="1" x14ac:dyDescent="0.2">
      <c r="B1075" s="705"/>
      <c r="C1075" s="704"/>
      <c r="D1075" s="142"/>
      <c r="E1075" s="704"/>
      <c r="F1075" s="118"/>
      <c r="G1075" s="118"/>
      <c r="H1075" s="118"/>
      <c r="I1075" s="118"/>
      <c r="J1075" s="118"/>
      <c r="K1075" s="118"/>
      <c r="L1075" s="118"/>
      <c r="M1075" s="118"/>
      <c r="N1075" s="118"/>
      <c r="O1075" s="118"/>
      <c r="P1075" s="118"/>
      <c r="Q1075" s="118"/>
      <c r="R1075" s="118"/>
      <c r="S1075" s="118"/>
      <c r="T1075" s="142"/>
      <c r="U1075" s="142"/>
      <c r="V1075" s="142"/>
      <c r="W1075" s="142"/>
      <c r="X1075" s="144"/>
      <c r="Y1075" s="144"/>
      <c r="Z1075" s="142"/>
      <c r="AA1075" s="144"/>
      <c r="AB1075" s="118"/>
      <c r="AC1075" s="118"/>
      <c r="AD1075" s="693"/>
      <c r="AE1075" s="693"/>
    </row>
    <row r="1076" spans="2:31" ht="9.75" customHeight="1" x14ac:dyDescent="0.2">
      <c r="B1076" s="705"/>
      <c r="C1076" s="704"/>
      <c r="D1076" s="144"/>
      <c r="E1076" s="704"/>
      <c r="F1076" s="118"/>
      <c r="G1076" s="118"/>
      <c r="H1076" s="118"/>
      <c r="I1076" s="118"/>
      <c r="J1076" s="118"/>
      <c r="K1076" s="118"/>
      <c r="L1076" s="118"/>
      <c r="M1076" s="118"/>
      <c r="N1076" s="118"/>
      <c r="O1076" s="118"/>
      <c r="P1076" s="118"/>
      <c r="Q1076" s="118"/>
      <c r="R1076" s="118"/>
      <c r="S1076" s="118"/>
      <c r="T1076" s="118"/>
      <c r="U1076" s="118"/>
      <c r="V1076" s="118"/>
      <c r="W1076" s="118"/>
      <c r="X1076" s="118"/>
      <c r="Y1076" s="144"/>
      <c r="Z1076" s="144"/>
      <c r="AA1076" s="144"/>
      <c r="AB1076" s="146"/>
      <c r="AC1076" s="118"/>
      <c r="AD1076" s="693"/>
      <c r="AE1076" s="693"/>
    </row>
    <row r="1077" spans="2:31" ht="9.75" customHeight="1" x14ac:dyDescent="0.2">
      <c r="B1077" s="705"/>
      <c r="C1077" s="704"/>
      <c r="D1077" s="144"/>
      <c r="E1077" s="704"/>
      <c r="F1077" s="118"/>
      <c r="G1077" s="118"/>
      <c r="H1077" s="118"/>
      <c r="I1077" s="118"/>
      <c r="J1077" s="118"/>
      <c r="K1077" s="118"/>
      <c r="L1077" s="118"/>
      <c r="M1077" s="118"/>
      <c r="N1077" s="118"/>
      <c r="O1077" s="118"/>
      <c r="P1077" s="118"/>
      <c r="Q1077" s="118"/>
      <c r="R1077" s="118"/>
      <c r="S1077" s="118"/>
      <c r="T1077" s="139"/>
      <c r="U1077" s="118"/>
      <c r="V1077" s="118"/>
      <c r="W1077" s="139"/>
      <c r="X1077" s="139"/>
      <c r="Y1077" s="146"/>
      <c r="Z1077" s="144"/>
      <c r="AA1077" s="118"/>
      <c r="AB1077" s="118"/>
      <c r="AC1077" s="118"/>
      <c r="AD1077" s="693"/>
      <c r="AE1077" s="693"/>
    </row>
    <row r="1078" spans="2:31" ht="19.350000000000001" customHeight="1" x14ac:dyDescent="0.2">
      <c r="B1078" s="705"/>
      <c r="C1078" s="704"/>
      <c r="D1078" s="146"/>
      <c r="E1078" s="704"/>
      <c r="F1078" s="118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  <c r="R1078" s="118"/>
      <c r="S1078" s="118"/>
      <c r="T1078" s="118"/>
      <c r="U1078" s="118"/>
      <c r="V1078" s="118"/>
      <c r="W1078" s="118"/>
      <c r="X1078" s="118"/>
      <c r="Y1078" s="118"/>
      <c r="Z1078" s="118"/>
      <c r="AA1078" s="118"/>
      <c r="AB1078" s="118"/>
      <c r="AC1078" s="146"/>
      <c r="AD1078" s="693"/>
      <c r="AE1078" s="693"/>
    </row>
    <row r="1079" spans="2:31" ht="19.350000000000001" customHeight="1" x14ac:dyDescent="0.2">
      <c r="B1079" s="705"/>
      <c r="C1079" s="704"/>
      <c r="D1079" s="144"/>
      <c r="E1079" s="704"/>
      <c r="F1079" s="118"/>
      <c r="G1079" s="118"/>
      <c r="H1079" s="118"/>
      <c r="I1079" s="118"/>
      <c r="J1079" s="118"/>
      <c r="K1079" s="118"/>
      <c r="L1079" s="118"/>
      <c r="M1079" s="118"/>
      <c r="N1079" s="118"/>
      <c r="O1079" s="118"/>
      <c r="P1079" s="118"/>
      <c r="Q1079" s="118"/>
      <c r="R1079" s="118"/>
      <c r="S1079" s="118"/>
      <c r="T1079" s="144"/>
      <c r="U1079" s="144"/>
      <c r="V1079" s="144"/>
      <c r="W1079" s="144"/>
      <c r="X1079" s="146"/>
      <c r="Y1079" s="118"/>
      <c r="Z1079" s="118"/>
      <c r="AA1079" s="118"/>
      <c r="AB1079" s="118"/>
      <c r="AC1079" s="118"/>
      <c r="AD1079" s="693"/>
      <c r="AE1079" s="693"/>
    </row>
    <row r="1080" spans="2:31" ht="19.350000000000001" customHeight="1" x14ac:dyDescent="0.2">
      <c r="B1080" s="705"/>
      <c r="C1080" s="704"/>
      <c r="D1080" s="144"/>
      <c r="E1080" s="704"/>
      <c r="F1080" s="118"/>
      <c r="G1080" s="118"/>
      <c r="H1080" s="118"/>
      <c r="I1080" s="118"/>
      <c r="J1080" s="118"/>
      <c r="K1080" s="118"/>
      <c r="L1080" s="118"/>
      <c r="M1080" s="118"/>
      <c r="N1080" s="118"/>
      <c r="O1080" s="118"/>
      <c r="P1080" s="118"/>
      <c r="Q1080" s="118"/>
      <c r="R1080" s="118"/>
      <c r="S1080" s="118"/>
      <c r="T1080" s="139"/>
      <c r="U1080" s="146"/>
      <c r="V1080" s="146"/>
      <c r="W1080" s="146"/>
      <c r="X1080" s="139"/>
      <c r="Y1080" s="139"/>
      <c r="Z1080" s="146"/>
      <c r="AA1080" s="146"/>
      <c r="AB1080" s="118"/>
      <c r="AC1080" s="118"/>
      <c r="AD1080" s="693"/>
      <c r="AE1080" s="693"/>
    </row>
    <row r="1081" spans="2:31" ht="19.350000000000001" customHeight="1" x14ac:dyDescent="0.2">
      <c r="B1081" s="705"/>
      <c r="C1081" s="704"/>
      <c r="D1081" s="144"/>
      <c r="E1081" s="704"/>
      <c r="F1081" s="118"/>
      <c r="G1081" s="118"/>
      <c r="H1081" s="118"/>
      <c r="I1081" s="118"/>
      <c r="J1081" s="118"/>
      <c r="K1081" s="118"/>
      <c r="L1081" s="118"/>
      <c r="M1081" s="118"/>
      <c r="N1081" s="118"/>
      <c r="O1081" s="118"/>
      <c r="P1081" s="118"/>
      <c r="Q1081" s="118"/>
      <c r="R1081" s="118"/>
      <c r="S1081" s="118"/>
      <c r="T1081" s="146"/>
      <c r="U1081" s="146"/>
      <c r="V1081" s="144"/>
      <c r="W1081" s="144"/>
      <c r="X1081" s="144"/>
      <c r="Y1081" s="144"/>
      <c r="Z1081" s="144"/>
      <c r="AA1081" s="146"/>
      <c r="AB1081" s="118"/>
      <c r="AC1081" s="139"/>
      <c r="AD1081" s="693"/>
      <c r="AE1081" s="693"/>
    </row>
    <row r="1082" spans="2:31" ht="19.350000000000001" customHeight="1" x14ac:dyDescent="0.2">
      <c r="B1082" s="705"/>
      <c r="C1082" s="704"/>
      <c r="D1082" s="139"/>
      <c r="E1082" s="704"/>
      <c r="F1082" s="118"/>
      <c r="G1082" s="118"/>
      <c r="H1082" s="118"/>
      <c r="I1082" s="118"/>
      <c r="J1082" s="118"/>
      <c r="K1082" s="118"/>
      <c r="L1082" s="118"/>
      <c r="M1082" s="118"/>
      <c r="N1082" s="118"/>
      <c r="O1082" s="118"/>
      <c r="P1082" s="118"/>
      <c r="Q1082" s="118"/>
      <c r="R1082" s="118"/>
      <c r="S1082" s="118"/>
      <c r="T1082" s="118"/>
      <c r="U1082" s="118"/>
      <c r="V1082" s="118"/>
      <c r="W1082" s="118"/>
      <c r="X1082" s="118"/>
      <c r="Y1082" s="118"/>
      <c r="Z1082" s="118"/>
      <c r="AA1082" s="139"/>
      <c r="AB1082" s="139"/>
      <c r="AC1082" s="118"/>
      <c r="AD1082" s="693"/>
      <c r="AE1082" s="693"/>
    </row>
    <row r="1083" spans="2:31" ht="9.75" customHeight="1" x14ac:dyDescent="0.2">
      <c r="B1083" s="705"/>
      <c r="C1083" s="704"/>
      <c r="D1083" s="139"/>
      <c r="E1083" s="704"/>
      <c r="F1083" s="118"/>
      <c r="G1083" s="118"/>
      <c r="H1083" s="118"/>
      <c r="I1083" s="118"/>
      <c r="J1083" s="118"/>
      <c r="K1083" s="118"/>
      <c r="L1083" s="118"/>
      <c r="M1083" s="118"/>
      <c r="N1083" s="118"/>
      <c r="O1083" s="118"/>
      <c r="P1083" s="118"/>
      <c r="Q1083" s="118"/>
      <c r="R1083" s="118"/>
      <c r="S1083" s="118"/>
      <c r="T1083" s="118"/>
      <c r="U1083" s="118"/>
      <c r="V1083" s="118"/>
      <c r="W1083" s="118"/>
      <c r="X1083" s="118"/>
      <c r="Y1083" s="118"/>
      <c r="Z1083" s="118"/>
      <c r="AA1083" s="139"/>
      <c r="AB1083" s="139"/>
      <c r="AC1083" s="118"/>
      <c r="AD1083" s="693"/>
      <c r="AE1083" s="693"/>
    </row>
    <row r="1084" spans="2:31" ht="9.75" customHeight="1" x14ac:dyDescent="0.2">
      <c r="B1084" s="705"/>
      <c r="C1084" s="704"/>
      <c r="D1084" s="139"/>
      <c r="E1084" s="704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18"/>
      <c r="Y1084" s="118"/>
      <c r="Z1084" s="118"/>
      <c r="AA1084" s="118"/>
      <c r="AB1084" s="139"/>
      <c r="AC1084" s="118"/>
      <c r="AD1084" s="693"/>
      <c r="AE1084" s="693"/>
    </row>
    <row r="1085" spans="2:31" ht="9.75" customHeight="1" x14ac:dyDescent="0.2">
      <c r="B1085" s="705"/>
      <c r="C1085" s="704"/>
      <c r="D1085" s="139"/>
      <c r="E1085" s="704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39"/>
      <c r="Y1085" s="139"/>
      <c r="Z1085" s="118"/>
      <c r="AA1085" s="118"/>
      <c r="AB1085" s="118"/>
      <c r="AC1085" s="118"/>
      <c r="AD1085" s="693"/>
      <c r="AE1085" s="693"/>
    </row>
    <row r="1086" spans="2:31" ht="9.75" customHeight="1" x14ac:dyDescent="0.2">
      <c r="B1086" s="705"/>
      <c r="C1086" s="704"/>
      <c r="D1086" s="139"/>
      <c r="E1086" s="704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39"/>
      <c r="Q1086" s="139"/>
      <c r="R1086" s="139"/>
      <c r="S1086" s="139"/>
      <c r="T1086" s="139"/>
      <c r="U1086" s="118"/>
      <c r="V1086" s="118"/>
      <c r="W1086" s="118"/>
      <c r="X1086" s="118"/>
      <c r="Y1086" s="118"/>
      <c r="Z1086" s="118"/>
      <c r="AA1086" s="118"/>
      <c r="AB1086" s="118"/>
      <c r="AC1086" s="118"/>
      <c r="AD1086" s="693"/>
      <c r="AE1086" s="693"/>
    </row>
    <row r="1087" spans="2:31" ht="9.75" customHeight="1" x14ac:dyDescent="0.2">
      <c r="B1087" s="705"/>
      <c r="C1087" s="704"/>
      <c r="D1087" s="144"/>
      <c r="E1087" s="704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  <c r="R1087" s="118"/>
      <c r="S1087" s="118"/>
      <c r="T1087" s="118"/>
      <c r="U1087" s="118"/>
      <c r="V1087" s="118"/>
      <c r="W1087" s="118"/>
      <c r="X1087" s="146"/>
      <c r="Y1087" s="146"/>
      <c r="Z1087" s="146"/>
      <c r="AA1087" s="146"/>
      <c r="AB1087" s="146"/>
      <c r="AC1087" s="118"/>
      <c r="AD1087" s="693"/>
      <c r="AE1087" s="693"/>
    </row>
    <row r="1088" spans="2:31" ht="9.75" customHeight="1" x14ac:dyDescent="0.2">
      <c r="B1088" s="705"/>
      <c r="C1088" s="704"/>
      <c r="D1088" s="146"/>
      <c r="E1088" s="704"/>
      <c r="F1088" s="118"/>
      <c r="G1088" s="118"/>
      <c r="H1088" s="118"/>
      <c r="I1088" s="118"/>
      <c r="J1088" s="118"/>
      <c r="K1088" s="118"/>
      <c r="L1088" s="118"/>
      <c r="M1088" s="118"/>
      <c r="N1088" s="118"/>
      <c r="O1088" s="118"/>
      <c r="P1088" s="118"/>
      <c r="Q1088" s="118"/>
      <c r="R1088" s="118"/>
      <c r="S1088" s="118"/>
      <c r="T1088" s="118"/>
      <c r="U1088" s="118"/>
      <c r="V1088" s="118"/>
      <c r="W1088" s="118"/>
      <c r="X1088" s="146"/>
      <c r="Y1088" s="146"/>
      <c r="Z1088" s="139"/>
      <c r="AA1088" s="139"/>
      <c r="AB1088" s="139"/>
      <c r="AC1088" s="118"/>
      <c r="AD1088" s="693"/>
      <c r="AE1088" s="693"/>
    </row>
    <row r="1089" spans="2:31" ht="9.75" customHeight="1" x14ac:dyDescent="0.2">
      <c r="B1089" s="705"/>
      <c r="C1089" s="704"/>
      <c r="D1089" s="144"/>
      <c r="E1089" s="704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18"/>
      <c r="T1089" s="118"/>
      <c r="U1089" s="139"/>
      <c r="V1089" s="139"/>
      <c r="W1089" s="139"/>
      <c r="X1089" s="146"/>
      <c r="Y1089" s="146"/>
      <c r="Z1089" s="146"/>
      <c r="AA1089" s="146"/>
      <c r="AB1089" s="139"/>
      <c r="AC1089" s="118"/>
      <c r="AD1089" s="693"/>
      <c r="AE1089" s="693"/>
    </row>
    <row r="1090" spans="2:31" ht="9.75" customHeight="1" x14ac:dyDescent="0.2">
      <c r="B1090" s="705"/>
      <c r="C1090" s="704"/>
      <c r="D1090" s="146"/>
      <c r="E1090" s="704"/>
      <c r="F1090" s="118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39"/>
      <c r="Y1090" s="139"/>
      <c r="Z1090" s="139"/>
      <c r="AA1090" s="139"/>
      <c r="AB1090" s="139"/>
      <c r="AC1090" s="118"/>
      <c r="AD1090" s="693"/>
      <c r="AE1090" s="693"/>
    </row>
    <row r="1091" spans="2:31" ht="19.350000000000001" customHeight="1" x14ac:dyDescent="0.2">
      <c r="B1091" s="705"/>
      <c r="C1091" s="704"/>
      <c r="D1091" s="144"/>
      <c r="E1091" s="704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46"/>
      <c r="X1091" s="146"/>
      <c r="Y1091" s="146"/>
      <c r="Z1091" s="146"/>
      <c r="AA1091" s="139"/>
      <c r="AB1091" s="118"/>
      <c r="AC1091" s="118"/>
      <c r="AD1091" s="693"/>
      <c r="AE1091" s="693"/>
    </row>
    <row r="1092" spans="2:31" ht="9.75" customHeight="1" x14ac:dyDescent="0.2">
      <c r="B1092" s="705"/>
      <c r="C1092" s="704"/>
      <c r="D1092" s="146"/>
      <c r="E1092" s="704"/>
      <c r="F1092" s="118"/>
      <c r="G1092" s="118"/>
      <c r="H1092" s="118"/>
      <c r="I1092" s="118"/>
      <c r="J1092" s="118"/>
      <c r="K1092" s="118"/>
      <c r="L1092" s="118"/>
      <c r="M1092" s="118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46"/>
      <c r="Y1092" s="139"/>
      <c r="Z1092" s="118"/>
      <c r="AA1092" s="118"/>
      <c r="AB1092" s="118"/>
      <c r="AC1092" s="146"/>
      <c r="AD1092" s="693"/>
      <c r="AE1092" s="693"/>
    </row>
    <row r="1093" spans="2:31" ht="19.350000000000001" customHeight="1" x14ac:dyDescent="0.2">
      <c r="B1093" s="705"/>
      <c r="C1093" s="704"/>
      <c r="D1093" s="146"/>
      <c r="E1093" s="704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39"/>
      <c r="AA1093" s="139"/>
      <c r="AB1093" s="118"/>
      <c r="AC1093" s="118"/>
      <c r="AD1093" s="693"/>
      <c r="AE1093" s="693"/>
    </row>
    <row r="1094" spans="2:31" ht="9.75" customHeight="1" x14ac:dyDescent="0.2">
      <c r="B1094" s="705"/>
      <c r="C1094" s="704"/>
      <c r="D1094" s="146"/>
      <c r="E1094" s="704"/>
      <c r="F1094" s="118"/>
      <c r="G1094" s="118"/>
      <c r="H1094" s="118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18"/>
      <c r="AC1094" s="146"/>
      <c r="AD1094" s="693"/>
      <c r="AE1094" s="693"/>
    </row>
    <row r="1095" spans="2:31" ht="9.75" customHeight="1" x14ac:dyDescent="0.2">
      <c r="B1095" s="705"/>
      <c r="C1095" s="704"/>
      <c r="D1095" s="139"/>
      <c r="E1095" s="704"/>
      <c r="F1095" s="118"/>
      <c r="G1095" s="118"/>
      <c r="H1095" s="118"/>
      <c r="I1095" s="118"/>
      <c r="J1095" s="118"/>
      <c r="K1095" s="118"/>
      <c r="L1095" s="118"/>
      <c r="M1095" s="118"/>
      <c r="N1095" s="118"/>
      <c r="O1095" s="118"/>
      <c r="P1095" s="118"/>
      <c r="Q1095" s="118"/>
      <c r="R1095" s="118"/>
      <c r="S1095" s="118"/>
      <c r="T1095" s="118"/>
      <c r="U1095" s="118"/>
      <c r="V1095" s="118"/>
      <c r="W1095" s="118"/>
      <c r="X1095" s="118"/>
      <c r="Y1095" s="118"/>
      <c r="Z1095" s="118"/>
      <c r="AA1095" s="118"/>
      <c r="AB1095" s="118"/>
      <c r="AC1095" s="139"/>
      <c r="AD1095" s="693"/>
      <c r="AE1095" s="693"/>
    </row>
    <row r="1096" spans="2:31" ht="19.350000000000001" customHeight="1" x14ac:dyDescent="0.2">
      <c r="B1096" s="705"/>
      <c r="C1096" s="704"/>
      <c r="D1096" s="139"/>
      <c r="E1096" s="704"/>
      <c r="F1096" s="118"/>
      <c r="G1096" s="118"/>
      <c r="H1096" s="118"/>
      <c r="I1096" s="118"/>
      <c r="J1096" s="118"/>
      <c r="K1096" s="118"/>
      <c r="L1096" s="118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18"/>
      <c r="AC1096" s="139"/>
      <c r="AD1096" s="693"/>
      <c r="AE1096" s="693"/>
    </row>
    <row r="1097" spans="2:31" ht="9.75" customHeight="1" x14ac:dyDescent="0.2">
      <c r="B1097" s="705"/>
      <c r="C1097" s="704"/>
      <c r="D1097" s="146"/>
      <c r="E1097" s="704"/>
      <c r="F1097" s="118"/>
      <c r="G1097" s="118"/>
      <c r="H1097" s="118"/>
      <c r="I1097" s="118"/>
      <c r="J1097" s="118"/>
      <c r="K1097" s="118"/>
      <c r="L1097" s="118"/>
      <c r="M1097" s="118"/>
      <c r="N1097" s="118"/>
      <c r="O1097" s="118"/>
      <c r="P1097" s="118"/>
      <c r="Q1097" s="118"/>
      <c r="R1097" s="118"/>
      <c r="S1097" s="118"/>
      <c r="T1097" s="118"/>
      <c r="U1097" s="118"/>
      <c r="V1097" s="118"/>
      <c r="W1097" s="118"/>
      <c r="X1097" s="118"/>
      <c r="Y1097" s="118"/>
      <c r="Z1097" s="118"/>
      <c r="AA1097" s="118"/>
      <c r="AB1097" s="146"/>
      <c r="AC1097" s="118"/>
      <c r="AD1097" s="693"/>
      <c r="AE1097" s="693"/>
    </row>
    <row r="1098" spans="2:31" ht="9.75" customHeight="1" x14ac:dyDescent="0.2">
      <c r="B1098" s="705"/>
      <c r="C1098" s="704"/>
      <c r="D1098" s="142"/>
      <c r="E1098" s="704"/>
      <c r="F1098" s="118"/>
      <c r="G1098" s="118"/>
      <c r="H1098" s="118"/>
      <c r="I1098" s="118"/>
      <c r="J1098" s="118"/>
      <c r="K1098" s="118"/>
      <c r="L1098" s="118"/>
      <c r="M1098" s="118"/>
      <c r="N1098" s="118"/>
      <c r="O1098" s="118"/>
      <c r="P1098" s="118"/>
      <c r="Q1098" s="118"/>
      <c r="R1098" s="118"/>
      <c r="S1098" s="118"/>
      <c r="T1098" s="146"/>
      <c r="U1098" s="146"/>
      <c r="V1098" s="144"/>
      <c r="W1098" s="144"/>
      <c r="X1098" s="144"/>
      <c r="Y1098" s="144"/>
      <c r="Z1098" s="144"/>
      <c r="AA1098" s="118"/>
      <c r="AB1098" s="118"/>
      <c r="AC1098" s="118"/>
      <c r="AD1098" s="693"/>
      <c r="AE1098" s="693"/>
    </row>
    <row r="1099" spans="2:31" ht="9.75" customHeight="1" x14ac:dyDescent="0.2">
      <c r="B1099" s="705"/>
      <c r="C1099" s="704"/>
      <c r="D1099" s="144"/>
      <c r="E1099" s="704"/>
      <c r="F1099" s="118"/>
      <c r="G1099" s="118"/>
      <c r="H1099" s="118"/>
      <c r="I1099" s="118"/>
      <c r="J1099" s="118"/>
      <c r="K1099" s="118"/>
      <c r="L1099" s="118"/>
      <c r="M1099" s="118"/>
      <c r="N1099" s="118"/>
      <c r="O1099" s="118"/>
      <c r="P1099" s="118"/>
      <c r="Q1099" s="118"/>
      <c r="R1099" s="118"/>
      <c r="S1099" s="118"/>
      <c r="T1099" s="118"/>
      <c r="U1099" s="146"/>
      <c r="V1099" s="146"/>
      <c r="W1099" s="146"/>
      <c r="X1099" s="146"/>
      <c r="Y1099" s="144"/>
      <c r="Z1099" s="144"/>
      <c r="AA1099" s="118"/>
      <c r="AB1099" s="118"/>
      <c r="AC1099" s="118"/>
      <c r="AD1099" s="693"/>
      <c r="AE1099" s="693"/>
    </row>
    <row r="1100" spans="2:31" ht="9.75" customHeight="1" x14ac:dyDescent="0.2">
      <c r="B1100" s="705"/>
      <c r="C1100" s="704"/>
      <c r="D1100" s="146"/>
      <c r="E1100" s="704"/>
      <c r="F1100" s="118"/>
      <c r="G1100" s="118"/>
      <c r="H1100" s="118"/>
      <c r="I1100" s="118"/>
      <c r="J1100" s="118"/>
      <c r="K1100" s="118"/>
      <c r="L1100" s="118"/>
      <c r="M1100" s="118"/>
      <c r="N1100" s="118"/>
      <c r="O1100" s="118"/>
      <c r="P1100" s="118"/>
      <c r="Q1100" s="118"/>
      <c r="R1100" s="118"/>
      <c r="S1100" s="118"/>
      <c r="T1100" s="118"/>
      <c r="U1100" s="118"/>
      <c r="V1100" s="118"/>
      <c r="W1100" s="118"/>
      <c r="X1100" s="146"/>
      <c r="Y1100" s="146"/>
      <c r="Z1100" s="146"/>
      <c r="AA1100" s="146"/>
      <c r="AB1100" s="139"/>
      <c r="AC1100" s="118"/>
      <c r="AD1100" s="693"/>
      <c r="AE1100" s="693"/>
    </row>
    <row r="1101" spans="2:31" ht="9.75" customHeight="1" x14ac:dyDescent="0.2">
      <c r="B1101" s="705"/>
      <c r="C1101" s="704"/>
      <c r="D1101" s="146"/>
      <c r="E1101" s="704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18"/>
      <c r="X1101" s="146"/>
      <c r="Y1101" s="139"/>
      <c r="Z1101" s="118"/>
      <c r="AA1101" s="146"/>
      <c r="AB1101" s="146"/>
      <c r="AC1101" s="146"/>
      <c r="AD1101" s="693"/>
      <c r="AE1101" s="693"/>
    </row>
    <row r="1102" spans="2:31" ht="9.75" customHeight="1" x14ac:dyDescent="0.2">
      <c r="B1102" s="705"/>
      <c r="C1102" s="704"/>
      <c r="D1102" s="139"/>
      <c r="E1102" s="704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18"/>
      <c r="X1102" s="118"/>
      <c r="Y1102" s="118"/>
      <c r="Z1102" s="118"/>
      <c r="AA1102" s="118"/>
      <c r="AB1102" s="139"/>
      <c r="AC1102" s="139"/>
      <c r="AD1102" s="693"/>
      <c r="AE1102" s="693"/>
    </row>
    <row r="1103" spans="2:31" ht="9.75" customHeight="1" x14ac:dyDescent="0.2">
      <c r="B1103" s="705"/>
      <c r="C1103" s="704"/>
      <c r="D1103" s="146"/>
      <c r="E1103" s="704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18"/>
      <c r="U1103" s="118"/>
      <c r="V1103" s="118"/>
      <c r="W1103" s="118"/>
      <c r="X1103" s="118"/>
      <c r="Y1103" s="118"/>
      <c r="Z1103" s="118"/>
      <c r="AA1103" s="118"/>
      <c r="AB1103" s="146"/>
      <c r="AC1103" s="118"/>
      <c r="AD1103" s="693"/>
      <c r="AE1103" s="693"/>
    </row>
    <row r="1104" spans="2:31" ht="19.350000000000001" customHeight="1" x14ac:dyDescent="0.2">
      <c r="B1104" s="705"/>
      <c r="C1104" s="704"/>
      <c r="D1104" s="144"/>
      <c r="E1104" s="704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18"/>
      <c r="Y1104" s="118"/>
      <c r="Z1104" s="118"/>
      <c r="AA1104" s="118"/>
      <c r="AB1104" s="146"/>
      <c r="AC1104" s="146"/>
      <c r="AD1104" s="693"/>
      <c r="AE1104" s="693"/>
    </row>
    <row r="1105" spans="2:31" ht="9.75" customHeight="1" x14ac:dyDescent="0.2">
      <c r="B1105" s="705"/>
      <c r="C1105" s="704"/>
      <c r="D1105" s="146"/>
      <c r="E1105" s="704"/>
      <c r="F1105" s="118"/>
      <c r="G1105" s="118"/>
      <c r="H1105" s="118"/>
      <c r="I1105" s="118"/>
      <c r="J1105" s="118"/>
      <c r="K1105" s="118"/>
      <c r="L1105" s="118"/>
      <c r="M1105" s="118"/>
      <c r="N1105" s="118"/>
      <c r="O1105" s="118"/>
      <c r="P1105" s="118"/>
      <c r="Q1105" s="118"/>
      <c r="R1105" s="118"/>
      <c r="S1105" s="118"/>
      <c r="T1105" s="118"/>
      <c r="U1105" s="118"/>
      <c r="V1105" s="118"/>
      <c r="W1105" s="118"/>
      <c r="X1105" s="139"/>
      <c r="Y1105" s="139"/>
      <c r="Z1105" s="139"/>
      <c r="AA1105" s="139"/>
      <c r="AB1105" s="139"/>
      <c r="AC1105" s="118"/>
      <c r="AD1105" s="693"/>
      <c r="AE1105" s="693"/>
    </row>
    <row r="1106" spans="2:31" ht="9.75" customHeight="1" x14ac:dyDescent="0.2">
      <c r="B1106" s="705"/>
      <c r="C1106" s="704"/>
      <c r="D1106" s="142"/>
      <c r="E1106" s="704"/>
      <c r="F1106" s="118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44"/>
      <c r="W1106" s="144"/>
      <c r="X1106" s="144"/>
      <c r="Y1106" s="142"/>
      <c r="Z1106" s="144"/>
      <c r="AA1106" s="144"/>
      <c r="AB1106" s="118"/>
      <c r="AC1106" s="146"/>
      <c r="AD1106" s="693"/>
      <c r="AE1106" s="693"/>
    </row>
    <row r="1107" spans="2:31" ht="9.75" customHeight="1" x14ac:dyDescent="0.2">
      <c r="B1107" s="705"/>
      <c r="C1107" s="704"/>
      <c r="D1107" s="146"/>
      <c r="E1107" s="704"/>
      <c r="F1107" s="118"/>
      <c r="G1107" s="146"/>
      <c r="H1107" s="139"/>
      <c r="I1107" s="139"/>
      <c r="J1107" s="118"/>
      <c r="K1107" s="118"/>
      <c r="L1107" s="118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693"/>
      <c r="AE1107" s="693"/>
    </row>
    <row r="1108" spans="2:31" ht="9.75" customHeight="1" x14ac:dyDescent="0.2">
      <c r="B1108" s="705"/>
      <c r="C1108" s="704"/>
      <c r="D1108" s="142"/>
      <c r="E1108" s="704"/>
      <c r="F1108" s="142"/>
      <c r="G1108" s="144"/>
      <c r="H1108" s="118"/>
      <c r="I1108" s="118"/>
      <c r="J1108" s="118"/>
      <c r="K1108" s="118"/>
      <c r="L1108" s="118"/>
      <c r="M1108" s="118"/>
      <c r="N1108" s="118"/>
      <c r="O1108" s="118"/>
      <c r="P1108" s="118"/>
      <c r="Q1108" s="118"/>
      <c r="R1108" s="118"/>
      <c r="S1108" s="118"/>
      <c r="T1108" s="118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3"/>
      <c r="AE1108" s="693"/>
    </row>
    <row r="1109" spans="2:31" ht="9.75" customHeight="1" x14ac:dyDescent="0.2">
      <c r="B1109" s="705"/>
      <c r="C1109" s="704"/>
      <c r="D1109" s="139"/>
      <c r="E1109" s="704"/>
      <c r="F1109" s="139"/>
      <c r="G1109" s="118"/>
      <c r="H1109" s="118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693"/>
      <c r="AE1109" s="693"/>
    </row>
    <row r="1110" spans="2:31" ht="9.75" customHeight="1" x14ac:dyDescent="0.2">
      <c r="B1110" s="705"/>
      <c r="C1110" s="704"/>
      <c r="D1110" s="144"/>
      <c r="E1110" s="704"/>
      <c r="F1110" s="146"/>
      <c r="G1110" s="144"/>
      <c r="H1110" s="146"/>
      <c r="I1110" s="146"/>
      <c r="J1110" s="146"/>
      <c r="K1110" s="146"/>
      <c r="L1110" s="146"/>
      <c r="M1110" s="146"/>
      <c r="N1110" s="146"/>
      <c r="O1110" s="146"/>
      <c r="P1110" s="146"/>
      <c r="Q1110" s="146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693"/>
      <c r="AE1110" s="693"/>
    </row>
    <row r="1111" spans="2:31" ht="19.350000000000001" customHeight="1" x14ac:dyDescent="0.2">
      <c r="B1111" s="705"/>
      <c r="C1111" s="704"/>
      <c r="D1111" s="146"/>
      <c r="E1111" s="704"/>
      <c r="F1111" s="139"/>
      <c r="G1111" s="139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39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693"/>
      <c r="AE1111" s="693"/>
    </row>
    <row r="1112" spans="2:31" ht="19.350000000000001" customHeight="1" x14ac:dyDescent="0.2">
      <c r="B1112" s="705"/>
      <c r="C1112" s="704"/>
      <c r="D1112" s="146"/>
      <c r="E1112" s="704"/>
      <c r="F1112" s="146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693"/>
      <c r="AE1112" s="693"/>
    </row>
    <row r="1113" spans="2:31" ht="9.75" customHeight="1" x14ac:dyDescent="0.2">
      <c r="B1113" s="705"/>
      <c r="C1113" s="704"/>
      <c r="D1113" s="139"/>
      <c r="E1113" s="704"/>
      <c r="F1113" s="139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18"/>
      <c r="T1113" s="118"/>
      <c r="U1113" s="118"/>
      <c r="V1113" s="118"/>
      <c r="W1113" s="118"/>
      <c r="X1113" s="118"/>
      <c r="Y1113" s="118"/>
      <c r="Z1113" s="118"/>
      <c r="AA1113" s="118"/>
      <c r="AB1113" s="118"/>
      <c r="AC1113" s="118"/>
      <c r="AD1113" s="693"/>
      <c r="AE1113" s="693"/>
    </row>
    <row r="1114" spans="2:31" ht="19.350000000000001" customHeight="1" x14ac:dyDescent="0.2">
      <c r="B1114" s="705"/>
      <c r="C1114" s="704"/>
      <c r="D1114" s="146"/>
      <c r="E1114" s="704"/>
      <c r="F1114" s="118"/>
      <c r="G1114" s="118"/>
      <c r="H1114" s="118"/>
      <c r="I1114" s="118"/>
      <c r="J1114" s="118"/>
      <c r="K1114" s="118"/>
      <c r="L1114" s="118"/>
      <c r="M1114" s="146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18"/>
      <c r="Y1114" s="118"/>
      <c r="Z1114" s="118"/>
      <c r="AA1114" s="118"/>
      <c r="AB1114" s="118"/>
      <c r="AC1114" s="118"/>
      <c r="AD1114" s="693"/>
      <c r="AE1114" s="693"/>
    </row>
    <row r="1115" spans="2:31" ht="9.75" customHeight="1" x14ac:dyDescent="0.2">
      <c r="B1115" s="705"/>
      <c r="C1115" s="704"/>
      <c r="D1115" s="146"/>
      <c r="E1115" s="704"/>
      <c r="F1115" s="146"/>
      <c r="G1115" s="118"/>
      <c r="H1115" s="118"/>
      <c r="I1115" s="118"/>
      <c r="J1115" s="118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693"/>
      <c r="AE1115" s="693"/>
    </row>
    <row r="1116" spans="2:31" ht="9.75" customHeight="1" x14ac:dyDescent="0.2">
      <c r="B1116" s="705"/>
      <c r="C1116" s="704"/>
      <c r="D1116" s="142"/>
      <c r="E1116" s="70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6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18"/>
      <c r="AD1116" s="693"/>
      <c r="AE1116" s="693"/>
    </row>
    <row r="1117" spans="2:31" ht="9.75" customHeight="1" x14ac:dyDescent="0.2">
      <c r="B1117" s="705"/>
      <c r="C1117" s="704"/>
      <c r="D1117" s="140"/>
      <c r="E1117" s="704"/>
      <c r="F1117" s="118"/>
      <c r="G1117" s="118"/>
      <c r="H1117" s="118"/>
      <c r="I1117" s="118"/>
      <c r="J1117" s="118"/>
      <c r="K1117" s="118"/>
      <c r="L1117" s="118"/>
      <c r="M1117" s="144"/>
      <c r="N1117" s="142"/>
      <c r="O1117" s="142"/>
      <c r="P1117" s="142"/>
      <c r="Q1117" s="142"/>
      <c r="R1117" s="142"/>
      <c r="S1117" s="144"/>
      <c r="T1117" s="118"/>
      <c r="U1117" s="118"/>
      <c r="V1117" s="118"/>
      <c r="W1117" s="144"/>
      <c r="X1117" s="144"/>
      <c r="Y1117" s="144"/>
      <c r="Z1117" s="142"/>
      <c r="AA1117" s="144"/>
      <c r="AB1117" s="144"/>
      <c r="AC1117" s="118"/>
      <c r="AD1117" s="693"/>
      <c r="AE1117" s="693"/>
    </row>
    <row r="1118" spans="2:31" ht="9.75" customHeight="1" x14ac:dyDescent="0.2">
      <c r="B1118" s="705"/>
      <c r="C1118" s="704"/>
      <c r="D1118" s="144"/>
      <c r="E1118" s="704"/>
      <c r="F1118" s="144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18"/>
      <c r="AD1118" s="693"/>
      <c r="AE1118" s="693"/>
    </row>
    <row r="1119" spans="2:31" ht="9.75" customHeight="1" x14ac:dyDescent="0.2">
      <c r="B1119" s="705"/>
      <c r="C1119" s="704"/>
      <c r="D1119" s="142"/>
      <c r="E1119" s="704"/>
      <c r="F1119" s="118"/>
      <c r="G1119" s="118"/>
      <c r="H1119" s="118"/>
      <c r="I1119" s="139"/>
      <c r="J1119" s="139"/>
      <c r="K1119" s="139"/>
      <c r="L1119" s="139"/>
      <c r="M1119" s="146"/>
      <c r="N1119" s="146"/>
      <c r="O1119" s="146"/>
      <c r="P1119" s="146"/>
      <c r="Q1119" s="146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18"/>
      <c r="AC1119" s="144"/>
      <c r="AD1119" s="693"/>
      <c r="AE1119" s="693"/>
    </row>
    <row r="1120" spans="2:31" ht="9.75" customHeight="1" x14ac:dyDescent="0.2">
      <c r="B1120" s="705"/>
      <c r="C1120" s="704"/>
      <c r="D1120" s="146"/>
      <c r="E1120" s="704"/>
      <c r="F1120" s="118"/>
      <c r="G1120" s="118"/>
      <c r="H1120" s="118"/>
      <c r="I1120" s="118"/>
      <c r="J1120" s="118"/>
      <c r="K1120" s="118"/>
      <c r="L1120" s="118"/>
      <c r="M1120" s="118"/>
      <c r="N1120" s="118"/>
      <c r="O1120" s="118"/>
      <c r="P1120" s="118"/>
      <c r="Q1120" s="118"/>
      <c r="R1120" s="118"/>
      <c r="S1120" s="139"/>
      <c r="T1120" s="139"/>
      <c r="U1120" s="118"/>
      <c r="V1120" s="118"/>
      <c r="W1120" s="118"/>
      <c r="X1120" s="118"/>
      <c r="Y1120" s="118"/>
      <c r="Z1120" s="118"/>
      <c r="AA1120" s="118"/>
      <c r="AB1120" s="139"/>
      <c r="AC1120" s="118"/>
      <c r="AD1120" s="693"/>
      <c r="AE1120" s="693"/>
    </row>
    <row r="1121" spans="2:31" ht="19.350000000000001" customHeight="1" x14ac:dyDescent="0.2">
      <c r="B1121" s="705"/>
      <c r="C1121" s="704"/>
      <c r="D1121" s="146"/>
      <c r="E1121" s="704"/>
      <c r="F1121" s="118"/>
      <c r="G1121" s="118"/>
      <c r="H1121" s="118"/>
      <c r="I1121" s="118"/>
      <c r="J1121" s="118"/>
      <c r="K1121" s="118"/>
      <c r="L1121" s="146"/>
      <c r="M1121" s="118"/>
      <c r="N1121" s="118"/>
      <c r="O1121" s="118"/>
      <c r="P1121" s="118"/>
      <c r="Q1121" s="118"/>
      <c r="R1121" s="118"/>
      <c r="S1121" s="118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693"/>
      <c r="AE1121" s="693"/>
    </row>
    <row r="1122" spans="2:31" ht="19.350000000000001" customHeight="1" x14ac:dyDescent="0.2">
      <c r="B1122" s="705"/>
      <c r="C1122" s="704"/>
      <c r="D1122" s="142"/>
      <c r="E1122" s="704"/>
      <c r="F1122" s="118"/>
      <c r="G1122" s="118"/>
      <c r="H1122" s="118"/>
      <c r="I1122" s="146"/>
      <c r="J1122" s="144"/>
      <c r="K1122" s="144"/>
      <c r="L1122" s="144"/>
      <c r="M1122" s="144"/>
      <c r="N1122" s="144"/>
      <c r="O1122" s="144"/>
      <c r="P1122" s="144"/>
      <c r="Q1122" s="146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18"/>
      <c r="AD1122" s="693"/>
      <c r="AE1122" s="693"/>
    </row>
    <row r="1123" spans="2:31" ht="9.75" customHeight="1" x14ac:dyDescent="0.2">
      <c r="B1123" s="705"/>
      <c r="C1123" s="704"/>
      <c r="D1123" s="139"/>
      <c r="E1123" s="704"/>
      <c r="F1123" s="118"/>
      <c r="G1123" s="139"/>
      <c r="H1123" s="139"/>
      <c r="I1123" s="118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18"/>
      <c r="Y1123" s="118"/>
      <c r="Z1123" s="118"/>
      <c r="AA1123" s="118"/>
      <c r="AB1123" s="118"/>
      <c r="AC1123" s="118"/>
      <c r="AD1123" s="693"/>
      <c r="AE1123" s="693"/>
    </row>
    <row r="1124" spans="2:31" ht="9.75" customHeight="1" x14ac:dyDescent="0.2">
      <c r="B1124" s="705"/>
      <c r="C1124" s="704"/>
      <c r="D1124" s="146"/>
      <c r="E1124" s="704"/>
      <c r="F1124" s="118"/>
      <c r="G1124" s="139"/>
      <c r="H1124" s="139"/>
      <c r="I1124" s="139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18"/>
      <c r="X1124" s="118"/>
      <c r="Y1124" s="118"/>
      <c r="Z1124" s="118"/>
      <c r="AA1124" s="118"/>
      <c r="AB1124" s="118"/>
      <c r="AC1124" s="118"/>
      <c r="AD1124" s="693"/>
      <c r="AE1124" s="693"/>
    </row>
    <row r="1125" spans="2:31" ht="9.75" customHeight="1" x14ac:dyDescent="0.2">
      <c r="B1125" s="705"/>
      <c r="C1125" s="704"/>
      <c r="D1125" s="142"/>
      <c r="E1125" s="704"/>
      <c r="F1125" s="118"/>
      <c r="G1125" s="118"/>
      <c r="H1125" s="118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44"/>
      <c r="Z1125" s="144"/>
      <c r="AA1125" s="118"/>
      <c r="AB1125" s="118"/>
      <c r="AC1125" s="118"/>
      <c r="AD1125" s="693"/>
      <c r="AE1125" s="693"/>
    </row>
    <row r="1126" spans="2:31" ht="9.75" customHeight="1" x14ac:dyDescent="0.2">
      <c r="B1126" s="705"/>
      <c r="C1126" s="704"/>
      <c r="D1126" s="146"/>
      <c r="E1126" s="704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18"/>
      <c r="T1126" s="118"/>
      <c r="U1126" s="118"/>
      <c r="V1126" s="118"/>
      <c r="W1126" s="118"/>
      <c r="X1126" s="118"/>
      <c r="Y1126" s="118"/>
      <c r="Z1126" s="118"/>
      <c r="AA1126" s="118"/>
      <c r="AB1126" s="146"/>
      <c r="AC1126" s="118"/>
      <c r="AD1126" s="693"/>
      <c r="AE1126" s="693"/>
    </row>
    <row r="1127" spans="2:31" ht="9.75" customHeight="1" x14ac:dyDescent="0.2">
      <c r="B1127" s="705"/>
      <c r="C1127" s="704"/>
      <c r="D1127" s="144"/>
      <c r="E1127" s="704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46"/>
      <c r="W1127" s="146"/>
      <c r="X1127" s="146"/>
      <c r="Y1127" s="144"/>
      <c r="Z1127" s="144"/>
      <c r="AA1127" s="144"/>
      <c r="AB1127" s="144"/>
      <c r="AC1127" s="146"/>
      <c r="AD1127" s="693"/>
      <c r="AE1127" s="693"/>
    </row>
    <row r="1128" spans="2:31" ht="9.75" customHeight="1" x14ac:dyDescent="0.2">
      <c r="B1128" s="705"/>
      <c r="C1128" s="704"/>
      <c r="D1128" s="146"/>
      <c r="E1128" s="704"/>
      <c r="F1128" s="118"/>
      <c r="G1128" s="118"/>
      <c r="H1128" s="118"/>
      <c r="I1128" s="118"/>
      <c r="J1128" s="118"/>
      <c r="K1128" s="118"/>
      <c r="L1128" s="118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18"/>
      <c r="W1128" s="118"/>
      <c r="X1128" s="139"/>
      <c r="Y1128" s="139"/>
      <c r="Z1128" s="139"/>
      <c r="AA1128" s="139"/>
      <c r="AB1128" s="139"/>
      <c r="AC1128" s="118"/>
      <c r="AD1128" s="693"/>
      <c r="AE1128" s="693"/>
    </row>
    <row r="1129" spans="2:31" ht="9.75" customHeight="1" x14ac:dyDescent="0.2">
      <c r="B1129" s="705"/>
      <c r="C1129" s="704"/>
      <c r="D1129" s="140"/>
      <c r="E1129" s="704"/>
      <c r="F1129" s="118"/>
      <c r="G1129" s="144"/>
      <c r="H1129" s="142"/>
      <c r="I1129" s="142"/>
      <c r="J1129" s="142"/>
      <c r="K1129" s="142"/>
      <c r="L1129" s="142"/>
      <c r="M1129" s="142"/>
      <c r="N1129" s="142"/>
      <c r="O1129" s="142"/>
      <c r="P1129" s="142"/>
      <c r="Q1129" s="144"/>
      <c r="R1129" s="118"/>
      <c r="S1129" s="118"/>
      <c r="T1129" s="118"/>
      <c r="U1129" s="118"/>
      <c r="V1129" s="118"/>
      <c r="W1129" s="118"/>
      <c r="X1129" s="118"/>
      <c r="Y1129" s="118"/>
      <c r="Z1129" s="118"/>
      <c r="AA1129" s="118"/>
      <c r="AB1129" s="118"/>
      <c r="AC1129" s="118"/>
      <c r="AD1129" s="693"/>
      <c r="AE1129" s="693"/>
    </row>
    <row r="1130" spans="2:31" ht="9.75" customHeight="1" x14ac:dyDescent="0.2">
      <c r="B1130" s="705"/>
      <c r="C1130" s="704"/>
      <c r="D1130" s="146"/>
      <c r="E1130" s="704"/>
      <c r="F1130" s="118"/>
      <c r="G1130" s="118"/>
      <c r="H1130" s="118"/>
      <c r="I1130" s="118"/>
      <c r="J1130" s="118"/>
      <c r="K1130" s="118"/>
      <c r="L1130" s="118"/>
      <c r="M1130" s="118"/>
      <c r="N1130" s="118"/>
      <c r="O1130" s="118"/>
      <c r="P1130" s="118"/>
      <c r="Q1130" s="118"/>
      <c r="R1130" s="118"/>
      <c r="S1130" s="118"/>
      <c r="T1130" s="118"/>
      <c r="U1130" s="118"/>
      <c r="V1130" s="118"/>
      <c r="W1130" s="118"/>
      <c r="X1130" s="118"/>
      <c r="Y1130" s="118"/>
      <c r="Z1130" s="118"/>
      <c r="AA1130" s="118"/>
      <c r="AB1130" s="118"/>
      <c r="AC1130" s="146"/>
      <c r="AD1130" s="693"/>
      <c r="AE1130" s="693"/>
    </row>
    <row r="1131" spans="2:31" ht="19.350000000000001" customHeight="1" x14ac:dyDescent="0.2">
      <c r="B1131" s="705"/>
      <c r="C1131" s="704"/>
      <c r="D1131" s="142"/>
      <c r="E1131" s="704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44"/>
      <c r="U1131" s="142"/>
      <c r="V1131" s="144"/>
      <c r="W1131" s="118"/>
      <c r="X1131" s="118"/>
      <c r="Y1131" s="118"/>
      <c r="Z1131" s="118"/>
      <c r="AA1131" s="144"/>
      <c r="AB1131" s="144"/>
      <c r="AC1131" s="118"/>
      <c r="AD1131" s="693"/>
      <c r="AE1131" s="693"/>
    </row>
    <row r="1132" spans="2:31" ht="19.350000000000001" customHeight="1" x14ac:dyDescent="0.2">
      <c r="B1132" s="705"/>
      <c r="C1132" s="704"/>
      <c r="D1132" s="146"/>
      <c r="E1132" s="704"/>
      <c r="F1132" s="118"/>
      <c r="G1132" s="118"/>
      <c r="H1132" s="118"/>
      <c r="I1132" s="118"/>
      <c r="J1132" s="118"/>
      <c r="K1132" s="118"/>
      <c r="L1132" s="118"/>
      <c r="M1132" s="118"/>
      <c r="N1132" s="118"/>
      <c r="O1132" s="118"/>
      <c r="P1132" s="118"/>
      <c r="Q1132" s="118"/>
      <c r="R1132" s="118"/>
      <c r="S1132" s="118"/>
      <c r="T1132" s="118"/>
      <c r="U1132" s="146"/>
      <c r="V1132" s="146"/>
      <c r="W1132" s="146"/>
      <c r="X1132" s="139"/>
      <c r="Y1132" s="139"/>
      <c r="Z1132" s="118"/>
      <c r="AA1132" s="118"/>
      <c r="AB1132" s="118"/>
      <c r="AC1132" s="118"/>
      <c r="AD1132" s="693"/>
      <c r="AE1132" s="693"/>
    </row>
    <row r="1133" spans="2:31" ht="9.75" customHeight="1" x14ac:dyDescent="0.2">
      <c r="B1133" s="705"/>
      <c r="C1133" s="704"/>
      <c r="D1133" s="144"/>
      <c r="E1133" s="704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  <c r="R1133" s="118"/>
      <c r="S1133" s="118"/>
      <c r="T1133" s="118"/>
      <c r="U1133" s="146"/>
      <c r="V1133" s="146"/>
      <c r="W1133" s="146"/>
      <c r="X1133" s="146"/>
      <c r="Y1133" s="139"/>
      <c r="Z1133" s="118"/>
      <c r="AA1133" s="118"/>
      <c r="AB1133" s="118"/>
      <c r="AC1133" s="118"/>
      <c r="AD1133" s="693"/>
      <c r="AE1133" s="693"/>
    </row>
    <row r="1134" spans="2:31" ht="9.75" customHeight="1" x14ac:dyDescent="0.2">
      <c r="B1134" s="705"/>
      <c r="C1134" s="704"/>
      <c r="D1134" s="146"/>
      <c r="E1134" s="704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18"/>
      <c r="Q1134" s="118"/>
      <c r="R1134" s="118"/>
      <c r="S1134" s="118"/>
      <c r="T1134" s="118"/>
      <c r="U1134" s="118"/>
      <c r="V1134" s="118"/>
      <c r="W1134" s="118"/>
      <c r="X1134" s="118"/>
      <c r="Y1134" s="118"/>
      <c r="Z1134" s="118"/>
      <c r="AA1134" s="118"/>
      <c r="AB1134" s="146"/>
      <c r="AC1134" s="146"/>
      <c r="AD1134" s="693"/>
      <c r="AE1134" s="693"/>
    </row>
    <row r="1135" spans="2:31" ht="9.75" customHeight="1" x14ac:dyDescent="0.2">
      <c r="B1135" s="705"/>
      <c r="C1135" s="704"/>
      <c r="D1135" s="146"/>
      <c r="E1135" s="704"/>
      <c r="F1135" s="118"/>
      <c r="G1135" s="118"/>
      <c r="H1135" s="118"/>
      <c r="I1135" s="118"/>
      <c r="J1135" s="118"/>
      <c r="K1135" s="118"/>
      <c r="L1135" s="118"/>
      <c r="M1135" s="118"/>
      <c r="N1135" s="118"/>
      <c r="O1135" s="118"/>
      <c r="P1135" s="118"/>
      <c r="Q1135" s="118"/>
      <c r="R1135" s="118"/>
      <c r="S1135" s="118"/>
      <c r="T1135" s="118"/>
      <c r="U1135" s="118"/>
      <c r="V1135" s="118"/>
      <c r="W1135" s="139"/>
      <c r="X1135" s="139"/>
      <c r="Y1135" s="146"/>
      <c r="Z1135" s="139"/>
      <c r="AA1135" s="118"/>
      <c r="AB1135" s="118"/>
      <c r="AC1135" s="118"/>
      <c r="AD1135" s="693"/>
      <c r="AE1135" s="693"/>
    </row>
    <row r="1136" spans="2:31" ht="19.350000000000001" customHeight="1" x14ac:dyDescent="0.2">
      <c r="B1136" s="705"/>
      <c r="C1136" s="704"/>
      <c r="D1136" s="139"/>
      <c r="E1136" s="704"/>
      <c r="F1136" s="118"/>
      <c r="G1136" s="118"/>
      <c r="H1136" s="118"/>
      <c r="I1136" s="139"/>
      <c r="J1136" s="118"/>
      <c r="K1136" s="118"/>
      <c r="L1136" s="139"/>
      <c r="M1136" s="118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3"/>
      <c r="AE1136" s="693"/>
    </row>
    <row r="1137" spans="2:31" ht="9.75" customHeight="1" x14ac:dyDescent="0.2">
      <c r="B1137" s="705"/>
      <c r="C1137" s="704"/>
      <c r="D1137" s="139"/>
      <c r="E1137" s="704"/>
      <c r="F1137" s="118"/>
      <c r="G1137" s="139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18"/>
      <c r="Y1137" s="118"/>
      <c r="Z1137" s="118"/>
      <c r="AA1137" s="118"/>
      <c r="AB1137" s="118"/>
      <c r="AC1137" s="118"/>
      <c r="AD1137" s="693"/>
      <c r="AE1137" s="693"/>
    </row>
    <row r="1138" spans="2:31" ht="9.75" customHeight="1" x14ac:dyDescent="0.2">
      <c r="B1138" s="705"/>
      <c r="C1138" s="704"/>
      <c r="D1138" s="139"/>
      <c r="E1138" s="704"/>
      <c r="F1138" s="139"/>
      <c r="G1138" s="118"/>
      <c r="H1138" s="118"/>
      <c r="I1138" s="118"/>
      <c r="J1138" s="118"/>
      <c r="K1138" s="118"/>
      <c r="L1138" s="118"/>
      <c r="M1138" s="118"/>
      <c r="N1138" s="118"/>
      <c r="O1138" s="118"/>
      <c r="P1138" s="118"/>
      <c r="Q1138" s="118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3"/>
      <c r="AE1138" s="693"/>
    </row>
    <row r="1139" spans="2:31" ht="9.75" customHeight="1" x14ac:dyDescent="0.2">
      <c r="B1139" s="705"/>
      <c r="C1139" s="704"/>
      <c r="D1139" s="146"/>
      <c r="E1139" s="704"/>
      <c r="F1139" s="118"/>
      <c r="G1139" s="118"/>
      <c r="H1139" s="146"/>
      <c r="I1139" s="118"/>
      <c r="J1139" s="118"/>
      <c r="K1139" s="118"/>
      <c r="L1139" s="118"/>
      <c r="M1139" s="118"/>
      <c r="N1139" s="118"/>
      <c r="O1139" s="118"/>
      <c r="P1139" s="118"/>
      <c r="Q1139" s="118"/>
      <c r="R1139" s="118"/>
      <c r="S1139" s="118"/>
      <c r="T1139" s="118"/>
      <c r="U1139" s="118"/>
      <c r="V1139" s="118"/>
      <c r="W1139" s="118"/>
      <c r="X1139" s="118"/>
      <c r="Y1139" s="118"/>
      <c r="Z1139" s="118"/>
      <c r="AA1139" s="118"/>
      <c r="AB1139" s="118"/>
      <c r="AC1139" s="118"/>
      <c r="AD1139" s="693"/>
      <c r="AE1139" s="693"/>
    </row>
    <row r="1140" spans="2:31" ht="9.75" customHeight="1" x14ac:dyDescent="0.2">
      <c r="B1140" s="705"/>
      <c r="C1140" s="704"/>
      <c r="D1140" s="144"/>
      <c r="E1140" s="704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44"/>
      <c r="X1140" s="139"/>
      <c r="Y1140" s="139"/>
      <c r="Z1140" s="146"/>
      <c r="AA1140" s="146"/>
      <c r="AB1140" s="118"/>
      <c r="AC1140" s="118"/>
      <c r="AD1140" s="693"/>
      <c r="AE1140" s="693"/>
    </row>
    <row r="1141" spans="2:31" ht="9.75" customHeight="1" x14ac:dyDescent="0.2">
      <c r="B1141" s="705"/>
      <c r="C1141" s="704"/>
      <c r="D1141" s="140"/>
      <c r="E1141" s="704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  <c r="R1141" s="118"/>
      <c r="S1141" s="142"/>
      <c r="T1141" s="142"/>
      <c r="U1141" s="142"/>
      <c r="V1141" s="142"/>
      <c r="W1141" s="144"/>
      <c r="X1141" s="118"/>
      <c r="Y1141" s="118"/>
      <c r="Z1141" s="118"/>
      <c r="AA1141" s="118"/>
      <c r="AB1141" s="118"/>
      <c r="AC1141" s="118"/>
      <c r="AD1141" s="693"/>
      <c r="AE1141" s="693"/>
    </row>
    <row r="1142" spans="2:31" ht="9.75" customHeight="1" x14ac:dyDescent="0.2">
      <c r="B1142" s="705"/>
      <c r="C1142" s="704"/>
      <c r="D1142" s="144"/>
      <c r="E1142" s="704"/>
      <c r="F1142" s="118"/>
      <c r="G1142" s="118"/>
      <c r="H1142" s="118"/>
      <c r="I1142" s="118"/>
      <c r="J1142" s="118"/>
      <c r="K1142" s="118"/>
      <c r="L1142" s="118"/>
      <c r="M1142" s="118"/>
      <c r="N1142" s="118"/>
      <c r="O1142" s="118"/>
      <c r="P1142" s="118"/>
      <c r="Q1142" s="118"/>
      <c r="R1142" s="118"/>
      <c r="S1142" s="118"/>
      <c r="T1142" s="118"/>
      <c r="U1142" s="146"/>
      <c r="V1142" s="146"/>
      <c r="W1142" s="146"/>
      <c r="X1142" s="146"/>
      <c r="Y1142" s="139"/>
      <c r="Z1142" s="118"/>
      <c r="AA1142" s="118"/>
      <c r="AB1142" s="118"/>
      <c r="AC1142" s="118"/>
      <c r="AD1142" s="693"/>
      <c r="AE1142" s="693"/>
    </row>
    <row r="1143" spans="2:31" ht="9.75" customHeight="1" x14ac:dyDescent="0.2">
      <c r="B1143" s="705"/>
      <c r="C1143" s="704"/>
      <c r="D1143" s="142"/>
      <c r="E1143" s="704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  <c r="R1143" s="118"/>
      <c r="S1143" s="144"/>
      <c r="T1143" s="144"/>
      <c r="U1143" s="144"/>
      <c r="V1143" s="144"/>
      <c r="W1143" s="146"/>
      <c r="X1143" s="118"/>
      <c r="Y1143" s="118"/>
      <c r="Z1143" s="118"/>
      <c r="AA1143" s="118"/>
      <c r="AB1143" s="118"/>
      <c r="AC1143" s="118"/>
      <c r="AD1143" s="693"/>
      <c r="AE1143" s="693"/>
    </row>
    <row r="1144" spans="2:31" ht="19.350000000000001" customHeight="1" x14ac:dyDescent="0.2">
      <c r="B1144" s="705"/>
      <c r="C1144" s="704"/>
      <c r="D1144" s="146"/>
      <c r="E1144" s="704"/>
      <c r="F1144" s="118"/>
      <c r="G1144" s="118"/>
      <c r="H1144" s="118"/>
      <c r="I1144" s="139"/>
      <c r="J1144" s="139"/>
      <c r="K1144" s="139"/>
      <c r="L1144" s="139"/>
      <c r="M1144" s="139"/>
      <c r="N1144" s="139"/>
      <c r="O1144" s="139"/>
      <c r="P1144" s="139"/>
      <c r="Q1144" s="139"/>
      <c r="R1144" s="139"/>
      <c r="S1144" s="139"/>
      <c r="T1144" s="139"/>
      <c r="U1144" s="139"/>
      <c r="V1144" s="139"/>
      <c r="W1144" s="139"/>
      <c r="X1144" s="139"/>
      <c r="Y1144" s="139"/>
      <c r="Z1144" s="139"/>
      <c r="AA1144" s="139"/>
      <c r="AB1144" s="118"/>
      <c r="AC1144" s="139"/>
      <c r="AD1144" s="693"/>
      <c r="AE1144" s="693"/>
    </row>
    <row r="1145" spans="2:31" ht="19.350000000000001" customHeight="1" x14ac:dyDescent="0.2">
      <c r="B1145" s="705"/>
      <c r="C1145" s="704"/>
      <c r="D1145" s="146"/>
      <c r="E1145" s="704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39"/>
      <c r="Q1145" s="139"/>
      <c r="R1145" s="139"/>
      <c r="S1145" s="139"/>
      <c r="T1145" s="139"/>
      <c r="U1145" s="139"/>
      <c r="V1145" s="139"/>
      <c r="W1145" s="139"/>
      <c r="X1145" s="139"/>
      <c r="Y1145" s="139"/>
      <c r="Z1145" s="139"/>
      <c r="AA1145" s="139"/>
      <c r="AB1145" s="139"/>
      <c r="AC1145" s="139"/>
      <c r="AD1145" s="693"/>
      <c r="AE1145" s="693"/>
    </row>
    <row r="1146" spans="2:31" ht="9.75" customHeight="1" x14ac:dyDescent="0.2">
      <c r="B1146" s="705"/>
      <c r="C1146" s="704"/>
      <c r="D1146" s="146"/>
      <c r="E1146" s="704"/>
      <c r="F1146" s="118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39"/>
      <c r="V1146" s="146"/>
      <c r="W1146" s="146"/>
      <c r="X1146" s="139"/>
      <c r="Y1146" s="139"/>
      <c r="Z1146" s="118"/>
      <c r="AA1146" s="118"/>
      <c r="AB1146" s="118"/>
      <c r="AC1146" s="118"/>
      <c r="AD1146" s="693"/>
      <c r="AE1146" s="693"/>
    </row>
    <row r="1147" spans="2:31" ht="9.75" customHeight="1" x14ac:dyDescent="0.2">
      <c r="B1147" s="705"/>
      <c r="C1147" s="704"/>
      <c r="D1147" s="139"/>
      <c r="E1147" s="704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18"/>
      <c r="Z1147" s="118"/>
      <c r="AA1147" s="118"/>
      <c r="AB1147" s="118"/>
      <c r="AC1147" s="139"/>
      <c r="AD1147" s="693"/>
      <c r="AE1147" s="693"/>
    </row>
    <row r="1148" spans="2:31" ht="9.75" customHeight="1" x14ac:dyDescent="0.2">
      <c r="B1148" s="705"/>
      <c r="C1148" s="704"/>
      <c r="D1148" s="146"/>
      <c r="E1148" s="704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39"/>
      <c r="T1148" s="139"/>
      <c r="U1148" s="139"/>
      <c r="V1148" s="139"/>
      <c r="W1148" s="139"/>
      <c r="X1148" s="118"/>
      <c r="Y1148" s="118"/>
      <c r="Z1148" s="118"/>
      <c r="AA1148" s="118"/>
      <c r="AB1148" s="118"/>
      <c r="AC1148" s="118"/>
      <c r="AD1148" s="693"/>
      <c r="AE1148" s="693"/>
    </row>
    <row r="1149" spans="2:31" ht="9.75" customHeight="1" x14ac:dyDescent="0.2">
      <c r="B1149" s="705"/>
      <c r="C1149" s="704"/>
      <c r="D1149" s="146"/>
      <c r="E1149" s="704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18"/>
      <c r="W1149" s="118"/>
      <c r="X1149" s="146"/>
      <c r="Y1149" s="146"/>
      <c r="Z1149" s="118"/>
      <c r="AA1149" s="118"/>
      <c r="AB1149" s="118"/>
      <c r="AC1149" s="118"/>
      <c r="AD1149" s="693"/>
      <c r="AE1149" s="693"/>
    </row>
    <row r="1150" spans="2:31" ht="9.75" customHeight="1" x14ac:dyDescent="0.2">
      <c r="B1150" s="705"/>
      <c r="C1150" s="704"/>
      <c r="D1150" s="139"/>
      <c r="E1150" s="704"/>
      <c r="F1150" s="118"/>
      <c r="G1150" s="118"/>
      <c r="H1150" s="139"/>
      <c r="I1150" s="139"/>
      <c r="J1150" s="139"/>
      <c r="K1150" s="139"/>
      <c r="L1150" s="139"/>
      <c r="M1150" s="139"/>
      <c r="N1150" s="139"/>
      <c r="O1150" s="139"/>
      <c r="P1150" s="139"/>
      <c r="Q1150" s="139"/>
      <c r="R1150" s="118"/>
      <c r="S1150" s="118"/>
      <c r="T1150" s="118"/>
      <c r="U1150" s="118"/>
      <c r="V1150" s="118"/>
      <c r="W1150" s="118"/>
      <c r="X1150" s="139"/>
      <c r="Y1150" s="118"/>
      <c r="Z1150" s="118"/>
      <c r="AA1150" s="118"/>
      <c r="AB1150" s="118"/>
      <c r="AC1150" s="118"/>
      <c r="AD1150" s="693"/>
      <c r="AE1150" s="693"/>
    </row>
    <row r="1151" spans="2:31" ht="9.75" customHeight="1" x14ac:dyDescent="0.2">
      <c r="B1151" s="705"/>
      <c r="C1151" s="704"/>
      <c r="D1151" s="146"/>
      <c r="E1151" s="704"/>
      <c r="F1151" s="146"/>
      <c r="G1151" s="139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  <c r="R1151" s="118"/>
      <c r="S1151" s="118"/>
      <c r="T1151" s="118"/>
      <c r="U1151" s="118"/>
      <c r="V1151" s="118"/>
      <c r="W1151" s="118"/>
      <c r="X1151" s="118"/>
      <c r="Y1151" s="118"/>
      <c r="Z1151" s="118"/>
      <c r="AA1151" s="118"/>
      <c r="AB1151" s="118"/>
      <c r="AC1151" s="118"/>
      <c r="AD1151" s="693"/>
      <c r="AE1151" s="693"/>
    </row>
    <row r="1152" spans="2:31" ht="9.75" customHeight="1" x14ac:dyDescent="0.2">
      <c r="B1152" s="705"/>
      <c r="C1152" s="704"/>
      <c r="D1152" s="144"/>
      <c r="E1152" s="704"/>
      <c r="F1152" s="144"/>
      <c r="G1152" s="118"/>
      <c r="H1152" s="144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18"/>
      <c r="W1152" s="118"/>
      <c r="X1152" s="118"/>
      <c r="Y1152" s="118"/>
      <c r="Z1152" s="118"/>
      <c r="AA1152" s="118"/>
      <c r="AB1152" s="118"/>
      <c r="AC1152" s="118"/>
      <c r="AD1152" s="693"/>
      <c r="AE1152" s="693"/>
    </row>
    <row r="1153" spans="2:31" ht="19.350000000000001" customHeight="1" x14ac:dyDescent="0.2">
      <c r="B1153" s="705"/>
      <c r="C1153" s="704"/>
      <c r="D1153" s="146"/>
      <c r="E1153" s="704"/>
      <c r="F1153" s="118"/>
      <c r="G1153" s="146"/>
      <c r="H1153" s="139"/>
      <c r="I1153" s="139"/>
      <c r="J1153" s="139"/>
      <c r="K1153" s="139"/>
      <c r="L1153" s="139"/>
      <c r="M1153" s="118"/>
      <c r="N1153" s="118"/>
      <c r="O1153" s="118"/>
      <c r="P1153" s="118"/>
      <c r="Q1153" s="118"/>
      <c r="R1153" s="118"/>
      <c r="S1153" s="118"/>
      <c r="T1153" s="118"/>
      <c r="U1153" s="118"/>
      <c r="V1153" s="118"/>
      <c r="W1153" s="118"/>
      <c r="X1153" s="118"/>
      <c r="Y1153" s="118"/>
      <c r="Z1153" s="118"/>
      <c r="AA1153" s="118"/>
      <c r="AB1153" s="118"/>
      <c r="AC1153" s="118"/>
      <c r="AD1153" s="693"/>
      <c r="AE1153" s="693"/>
    </row>
    <row r="1154" spans="2:31" ht="19.350000000000001" customHeight="1" x14ac:dyDescent="0.2">
      <c r="B1154" s="705"/>
      <c r="C1154" s="704"/>
      <c r="D1154" s="144"/>
      <c r="E1154" s="704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18"/>
      <c r="V1154" s="146"/>
      <c r="W1154" s="146"/>
      <c r="X1154" s="146"/>
      <c r="Y1154" s="144"/>
      <c r="Z1154" s="144"/>
      <c r="AA1154" s="144"/>
      <c r="AB1154" s="144"/>
      <c r="AC1154" s="146"/>
      <c r="AD1154" s="693"/>
      <c r="AE1154" s="693"/>
    </row>
    <row r="1155" spans="2:31" ht="19.350000000000001" customHeight="1" x14ac:dyDescent="0.2">
      <c r="B1155" s="705"/>
      <c r="C1155" s="704"/>
      <c r="D1155" s="142"/>
      <c r="E1155" s="704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44"/>
      <c r="W1155" s="144"/>
      <c r="X1155" s="144"/>
      <c r="Y1155" s="144"/>
      <c r="Z1155" s="144"/>
      <c r="AA1155" s="144"/>
      <c r="AB1155" s="118"/>
      <c r="AC1155" s="146"/>
      <c r="AD1155" s="693"/>
      <c r="AE1155" s="693"/>
    </row>
    <row r="1156" spans="2:31" ht="19.350000000000001" customHeight="1" x14ac:dyDescent="0.2">
      <c r="B1156" s="705"/>
      <c r="C1156" s="704"/>
      <c r="D1156" s="144"/>
      <c r="E1156" s="704"/>
      <c r="F1156" s="118"/>
      <c r="G1156" s="118"/>
      <c r="H1156" s="118"/>
      <c r="I1156" s="118"/>
      <c r="J1156" s="118"/>
      <c r="K1156" s="118"/>
      <c r="L1156" s="144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18"/>
      <c r="Y1156" s="118"/>
      <c r="Z1156" s="118"/>
      <c r="AA1156" s="118"/>
      <c r="AB1156" s="118"/>
      <c r="AC1156" s="118"/>
      <c r="AD1156" s="693"/>
      <c r="AE1156" s="693"/>
    </row>
    <row r="1157" spans="2:31" ht="19.350000000000001" customHeight="1" x14ac:dyDescent="0.2">
      <c r="B1157" s="705"/>
      <c r="C1157" s="704"/>
      <c r="D1157" s="146"/>
      <c r="E1157" s="704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18"/>
      <c r="V1157" s="118"/>
      <c r="W1157" s="118"/>
      <c r="X1157" s="118"/>
      <c r="Y1157" s="118"/>
      <c r="Z1157" s="118"/>
      <c r="AA1157" s="118"/>
      <c r="AB1157" s="146"/>
      <c r="AC1157" s="118"/>
      <c r="AD1157" s="693"/>
      <c r="AE1157" s="693"/>
    </row>
    <row r="1158" spans="2:31" ht="9.75" customHeight="1" x14ac:dyDescent="0.2">
      <c r="B1158" s="705"/>
      <c r="C1158" s="704"/>
      <c r="D1158" s="139"/>
      <c r="E1158" s="704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39"/>
      <c r="AC1158" s="118"/>
      <c r="AD1158" s="693"/>
      <c r="AE1158" s="693"/>
    </row>
    <row r="1159" spans="2:31" ht="9.75" customHeight="1" x14ac:dyDescent="0.2">
      <c r="B1159" s="705"/>
      <c r="C1159" s="704"/>
      <c r="D1159" s="139"/>
      <c r="E1159" s="704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18"/>
      <c r="U1159" s="118"/>
      <c r="V1159" s="118"/>
      <c r="W1159" s="118"/>
      <c r="X1159" s="118"/>
      <c r="Y1159" s="118"/>
      <c r="Z1159" s="118"/>
      <c r="AA1159" s="118"/>
      <c r="AB1159" s="139"/>
      <c r="AC1159" s="118"/>
      <c r="AD1159" s="693"/>
      <c r="AE1159" s="693"/>
    </row>
    <row r="1160" spans="2:31" ht="9.75" customHeight="1" x14ac:dyDescent="0.2">
      <c r="B1160" s="705"/>
      <c r="C1160" s="704"/>
      <c r="D1160" s="139"/>
      <c r="E1160" s="704"/>
      <c r="F1160" s="118"/>
      <c r="G1160" s="118"/>
      <c r="H1160" s="118"/>
      <c r="I1160" s="118"/>
      <c r="J1160" s="118"/>
      <c r="K1160" s="118"/>
      <c r="L1160" s="118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39"/>
      <c r="AC1160" s="118"/>
      <c r="AD1160" s="693"/>
      <c r="AE1160" s="693"/>
    </row>
    <row r="1161" spans="2:31" ht="9.75" customHeight="1" x14ac:dyDescent="0.2">
      <c r="B1161" s="705"/>
      <c r="C1161" s="704"/>
      <c r="D1161" s="142"/>
      <c r="E1161" s="704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46"/>
      <c r="W1161" s="146"/>
      <c r="X1161" s="146"/>
      <c r="Y1161" s="144"/>
      <c r="Z1161" s="144"/>
      <c r="AA1161" s="144"/>
      <c r="AB1161" s="144"/>
      <c r="AC1161" s="144"/>
      <c r="AD1161" s="693"/>
      <c r="AE1161" s="693"/>
    </row>
    <row r="1162" spans="2:31" ht="9.75" customHeight="1" x14ac:dyDescent="0.2">
      <c r="B1162" s="705"/>
      <c r="C1162" s="704"/>
      <c r="D1162" s="146"/>
      <c r="E1162" s="704"/>
      <c r="F1162" s="118"/>
      <c r="G1162" s="139"/>
      <c r="H1162" s="139"/>
      <c r="I1162" s="139"/>
      <c r="J1162" s="118"/>
      <c r="K1162" s="118"/>
      <c r="L1162" s="146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18"/>
      <c r="X1162" s="118"/>
      <c r="Y1162" s="118"/>
      <c r="Z1162" s="118"/>
      <c r="AA1162" s="118"/>
      <c r="AB1162" s="146"/>
      <c r="AC1162" s="118"/>
      <c r="AD1162" s="693"/>
      <c r="AE1162" s="693"/>
    </row>
    <row r="1163" spans="2:31" ht="9.75" customHeight="1" x14ac:dyDescent="0.2">
      <c r="B1163" s="705"/>
      <c r="C1163" s="704"/>
      <c r="D1163" s="144"/>
      <c r="E1163" s="704"/>
      <c r="F1163" s="118"/>
      <c r="G1163" s="118"/>
      <c r="H1163" s="118"/>
      <c r="I1163" s="118"/>
      <c r="J1163" s="118"/>
      <c r="K1163" s="118"/>
      <c r="L1163" s="118"/>
      <c r="M1163" s="139"/>
      <c r="N1163" s="146"/>
      <c r="O1163" s="146"/>
      <c r="P1163" s="146"/>
      <c r="Q1163" s="146"/>
      <c r="R1163" s="146"/>
      <c r="S1163" s="146"/>
      <c r="T1163" s="146"/>
      <c r="U1163" s="146"/>
      <c r="V1163" s="146"/>
      <c r="W1163" s="146"/>
      <c r="X1163" s="146"/>
      <c r="Y1163" s="146"/>
      <c r="Z1163" s="139"/>
      <c r="AA1163" s="139"/>
      <c r="AB1163" s="118"/>
      <c r="AC1163" s="139"/>
      <c r="AD1163" s="693"/>
      <c r="AE1163" s="693"/>
    </row>
    <row r="1164" spans="2:31" ht="9.75" customHeight="1" x14ac:dyDescent="0.2">
      <c r="B1164" s="705"/>
      <c r="C1164" s="704"/>
      <c r="D1164" s="144"/>
      <c r="E1164" s="704"/>
      <c r="F1164" s="118"/>
      <c r="G1164" s="118"/>
      <c r="H1164" s="118"/>
      <c r="I1164" s="118"/>
      <c r="J1164" s="118"/>
      <c r="K1164" s="118"/>
      <c r="L1164" s="118"/>
      <c r="M1164" s="144"/>
      <c r="N1164" s="118"/>
      <c r="O1164" s="118"/>
      <c r="P1164" s="118"/>
      <c r="Q1164" s="118"/>
      <c r="R1164" s="118"/>
      <c r="S1164" s="118"/>
      <c r="T1164" s="118"/>
      <c r="U1164" s="118"/>
      <c r="V1164" s="118"/>
      <c r="W1164" s="118"/>
      <c r="X1164" s="118"/>
      <c r="Y1164" s="118"/>
      <c r="Z1164" s="118"/>
      <c r="AA1164" s="118"/>
      <c r="AB1164" s="118"/>
      <c r="AC1164" s="118"/>
      <c r="AD1164" s="693"/>
      <c r="AE1164" s="693"/>
    </row>
    <row r="1165" spans="2:31" ht="19.350000000000001" customHeight="1" x14ac:dyDescent="0.2">
      <c r="B1165" s="705"/>
      <c r="C1165" s="704"/>
      <c r="D1165" s="146"/>
      <c r="E1165" s="704"/>
      <c r="F1165" s="118"/>
      <c r="G1165" s="118"/>
      <c r="H1165" s="118"/>
      <c r="I1165" s="118"/>
      <c r="J1165" s="118"/>
      <c r="K1165" s="118"/>
      <c r="L1165" s="118"/>
      <c r="M1165" s="118"/>
      <c r="N1165" s="118"/>
      <c r="O1165" s="118"/>
      <c r="P1165" s="118"/>
      <c r="Q1165" s="118"/>
      <c r="R1165" s="118"/>
      <c r="S1165" s="118"/>
      <c r="T1165" s="118"/>
      <c r="U1165" s="118"/>
      <c r="V1165" s="118"/>
      <c r="W1165" s="139"/>
      <c r="X1165" s="139"/>
      <c r="Y1165" s="139"/>
      <c r="Z1165" s="118"/>
      <c r="AA1165" s="118"/>
      <c r="AB1165" s="118"/>
      <c r="AC1165" s="118"/>
      <c r="AD1165" s="693"/>
      <c r="AE1165" s="693"/>
    </row>
    <row r="1166" spans="2:31" ht="9.75" customHeight="1" x14ac:dyDescent="0.2">
      <c r="B1166" s="705"/>
      <c r="C1166" s="704"/>
      <c r="D1166" s="144"/>
      <c r="E1166" s="704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  <c r="R1166" s="118"/>
      <c r="S1166" s="118"/>
      <c r="T1166" s="146"/>
      <c r="U1166" s="146"/>
      <c r="V1166" s="146"/>
      <c r="W1166" s="146"/>
      <c r="X1166" s="146"/>
      <c r="Y1166" s="118"/>
      <c r="Z1166" s="139"/>
      <c r="AA1166" s="118"/>
      <c r="AB1166" s="118"/>
      <c r="AC1166" s="118"/>
      <c r="AD1166" s="693"/>
      <c r="AE1166" s="693"/>
    </row>
    <row r="1167" spans="2:31" ht="9.75" customHeight="1" x14ac:dyDescent="0.2">
      <c r="B1167" s="705"/>
      <c r="C1167" s="704"/>
      <c r="D1167" s="146"/>
      <c r="E1167" s="704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  <c r="R1167" s="118"/>
      <c r="S1167" s="118"/>
      <c r="T1167" s="139"/>
      <c r="U1167" s="139"/>
      <c r="V1167" s="139"/>
      <c r="W1167" s="139"/>
      <c r="X1167" s="146"/>
      <c r="Y1167" s="146"/>
      <c r="Z1167" s="139"/>
      <c r="AA1167" s="118"/>
      <c r="AB1167" s="118"/>
      <c r="AC1167" s="118"/>
      <c r="AD1167" s="693"/>
      <c r="AE1167" s="693"/>
    </row>
    <row r="1168" spans="2:31" ht="9.75" customHeight="1" x14ac:dyDescent="0.2">
      <c r="B1168" s="705"/>
      <c r="C1168" s="704"/>
      <c r="D1168" s="139"/>
      <c r="E1168" s="704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39"/>
      <c r="U1168" s="139"/>
      <c r="V1168" s="139"/>
      <c r="W1168" s="139"/>
      <c r="X1168" s="139"/>
      <c r="Y1168" s="139"/>
      <c r="Z1168" s="118"/>
      <c r="AA1168" s="118"/>
      <c r="AB1168" s="118"/>
      <c r="AC1168" s="118"/>
      <c r="AD1168" s="693"/>
      <c r="AE1168" s="693"/>
    </row>
    <row r="1169" spans="2:31" ht="9.75" customHeight="1" x14ac:dyDescent="0.2">
      <c r="B1169" s="705"/>
      <c r="C1169" s="704"/>
      <c r="D1169" s="146"/>
      <c r="E1169" s="704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18"/>
      <c r="R1169" s="118"/>
      <c r="S1169" s="118"/>
      <c r="T1169" s="118"/>
      <c r="U1169" s="146"/>
      <c r="V1169" s="146"/>
      <c r="W1169" s="146"/>
      <c r="X1169" s="146"/>
      <c r="Y1169" s="139"/>
      <c r="Z1169" s="118"/>
      <c r="AA1169" s="118"/>
      <c r="AB1169" s="118"/>
      <c r="AC1169" s="118"/>
      <c r="AD1169" s="693"/>
      <c r="AE1169" s="693"/>
    </row>
    <row r="1170" spans="2:31" ht="9.75" customHeight="1" x14ac:dyDescent="0.2">
      <c r="B1170" s="705"/>
      <c r="C1170" s="704"/>
      <c r="D1170" s="146"/>
      <c r="E1170" s="704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39"/>
      <c r="V1170" s="146"/>
      <c r="W1170" s="146"/>
      <c r="X1170" s="139"/>
      <c r="Y1170" s="139"/>
      <c r="Z1170" s="118"/>
      <c r="AA1170" s="118"/>
      <c r="AB1170" s="118"/>
      <c r="AC1170" s="118"/>
      <c r="AD1170" s="693"/>
      <c r="AE1170" s="693"/>
    </row>
    <row r="1171" spans="2:31" ht="9.75" customHeight="1" x14ac:dyDescent="0.2">
      <c r="B1171" s="705"/>
      <c r="C1171" s="704"/>
      <c r="D1171" s="146"/>
      <c r="E1171" s="704"/>
      <c r="F1171" s="118"/>
      <c r="G1171" s="118"/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  <c r="R1171" s="118"/>
      <c r="S1171" s="118"/>
      <c r="T1171" s="118"/>
      <c r="U1171" s="118"/>
      <c r="V1171" s="118"/>
      <c r="W1171" s="118"/>
      <c r="X1171" s="118"/>
      <c r="Y1171" s="118"/>
      <c r="Z1171" s="118"/>
      <c r="AA1171" s="118"/>
      <c r="AB1171" s="146"/>
      <c r="AC1171" s="118"/>
      <c r="AD1171" s="693"/>
      <c r="AE1171" s="693"/>
    </row>
    <row r="1172" spans="2:31" ht="9.75" customHeight="1" x14ac:dyDescent="0.2">
      <c r="B1172" s="705"/>
      <c r="C1172" s="704"/>
      <c r="D1172" s="139"/>
      <c r="E1172" s="704"/>
      <c r="F1172" s="139"/>
      <c r="G1172" s="118"/>
      <c r="H1172" s="118"/>
      <c r="I1172" s="118"/>
      <c r="J1172" s="118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693"/>
      <c r="AE1172" s="693"/>
    </row>
    <row r="1173" spans="2:31" ht="9.75" customHeight="1" x14ac:dyDescent="0.2">
      <c r="B1173" s="705"/>
      <c r="C1173" s="704"/>
      <c r="D1173" s="139"/>
      <c r="E1173" s="704"/>
      <c r="F1173" s="118"/>
      <c r="G1173" s="118"/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39"/>
      <c r="X1173" s="139"/>
      <c r="Y1173" s="139"/>
      <c r="Z1173" s="139"/>
      <c r="AA1173" s="118"/>
      <c r="AB1173" s="118"/>
      <c r="AC1173" s="118"/>
      <c r="AD1173" s="693"/>
      <c r="AE1173" s="693"/>
    </row>
    <row r="1174" spans="2:31" ht="19.350000000000001" customHeight="1" x14ac:dyDescent="0.2">
      <c r="B1174" s="705"/>
      <c r="C1174" s="704"/>
      <c r="D1174" s="146"/>
      <c r="E1174" s="704"/>
      <c r="F1174" s="118"/>
      <c r="G1174" s="118"/>
      <c r="H1174" s="118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39"/>
      <c r="X1174" s="139"/>
      <c r="Y1174" s="139"/>
      <c r="Z1174" s="139"/>
      <c r="AA1174" s="139"/>
      <c r="AB1174" s="118"/>
      <c r="AC1174" s="118"/>
      <c r="AD1174" s="693"/>
      <c r="AE1174" s="693"/>
    </row>
    <row r="1175" spans="2:31" ht="9.75" customHeight="1" x14ac:dyDescent="0.2">
      <c r="B1175" s="705"/>
      <c r="C1175" s="704"/>
      <c r="D1175" s="146"/>
      <c r="E1175" s="704"/>
      <c r="F1175" s="118"/>
      <c r="G1175" s="118"/>
      <c r="H1175" s="118"/>
      <c r="I1175" s="118"/>
      <c r="J1175" s="118"/>
      <c r="K1175" s="118"/>
      <c r="L1175" s="118"/>
      <c r="M1175" s="118"/>
      <c r="N1175" s="118"/>
      <c r="O1175" s="118"/>
      <c r="P1175" s="139"/>
      <c r="Q1175" s="139"/>
      <c r="R1175" s="139"/>
      <c r="S1175" s="139"/>
      <c r="T1175" s="139"/>
      <c r="U1175" s="118"/>
      <c r="V1175" s="118"/>
      <c r="W1175" s="118"/>
      <c r="X1175" s="118"/>
      <c r="Y1175" s="118"/>
      <c r="Z1175" s="118"/>
      <c r="AA1175" s="118"/>
      <c r="AB1175" s="146"/>
      <c r="AC1175" s="118"/>
      <c r="AD1175" s="693"/>
      <c r="AE1175" s="693"/>
    </row>
    <row r="1176" spans="2:31" ht="9.75" customHeight="1" x14ac:dyDescent="0.2">
      <c r="B1176" s="705"/>
      <c r="C1176" s="704"/>
      <c r="D1176" s="146"/>
      <c r="E1176" s="704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39"/>
      <c r="R1176" s="139"/>
      <c r="S1176" s="139"/>
      <c r="T1176" s="118"/>
      <c r="U1176" s="118"/>
      <c r="V1176" s="118"/>
      <c r="W1176" s="118"/>
      <c r="X1176" s="118"/>
      <c r="Y1176" s="118"/>
      <c r="Z1176" s="146"/>
      <c r="AA1176" s="118"/>
      <c r="AB1176" s="118"/>
      <c r="AC1176" s="118"/>
      <c r="AD1176" s="693"/>
      <c r="AE1176" s="693"/>
    </row>
    <row r="1177" spans="2:31" ht="9.75" customHeight="1" x14ac:dyDescent="0.2">
      <c r="B1177" s="705"/>
      <c r="C1177" s="704"/>
      <c r="D1177" s="139"/>
      <c r="E1177" s="704"/>
      <c r="F1177" s="118"/>
      <c r="G1177" s="118"/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39"/>
      <c r="AD1177" s="693"/>
      <c r="AE1177" s="693"/>
    </row>
    <row r="1178" spans="2:31" ht="9.75" customHeight="1" x14ac:dyDescent="0.2">
      <c r="B1178" s="705"/>
      <c r="C1178" s="704"/>
      <c r="D1178" s="139"/>
      <c r="E1178" s="704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18"/>
      <c r="Q1178" s="118"/>
      <c r="R1178" s="118"/>
      <c r="S1178" s="118"/>
      <c r="T1178" s="118"/>
      <c r="U1178" s="118"/>
      <c r="V1178" s="118"/>
      <c r="W1178" s="118"/>
      <c r="X1178" s="118"/>
      <c r="Y1178" s="118"/>
      <c r="Z1178" s="118"/>
      <c r="AA1178" s="118"/>
      <c r="AB1178" s="118"/>
      <c r="AC1178" s="139"/>
      <c r="AD1178" s="693"/>
      <c r="AE1178" s="693"/>
    </row>
    <row r="1179" spans="2:31" ht="9.75" customHeight="1" x14ac:dyDescent="0.2">
      <c r="B1179" s="705"/>
      <c r="C1179" s="704"/>
      <c r="D1179" s="139"/>
      <c r="E1179" s="704"/>
      <c r="F1179" s="118"/>
      <c r="G1179" s="139"/>
      <c r="H1179" s="139"/>
      <c r="I1179" s="139"/>
      <c r="J1179" s="139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693"/>
      <c r="AE1179" s="693"/>
    </row>
    <row r="1180" spans="2:31" ht="9.75" customHeight="1" x14ac:dyDescent="0.2">
      <c r="B1180" s="705"/>
      <c r="C1180" s="704"/>
      <c r="D1180" s="139"/>
      <c r="E1180" s="704"/>
      <c r="F1180" s="118"/>
      <c r="G1180" s="1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  <c r="R1180" s="118"/>
      <c r="S1180" s="139"/>
      <c r="T1180" s="139"/>
      <c r="U1180" s="118"/>
      <c r="V1180" s="118"/>
      <c r="W1180" s="118"/>
      <c r="X1180" s="118"/>
      <c r="Y1180" s="118"/>
      <c r="Z1180" s="118"/>
      <c r="AA1180" s="118"/>
      <c r="AB1180" s="118"/>
      <c r="AC1180" s="118"/>
      <c r="AD1180" s="693"/>
      <c r="AE1180" s="693"/>
    </row>
    <row r="1181" spans="2:31" ht="9.75" customHeight="1" x14ac:dyDescent="0.2">
      <c r="B1181" s="705"/>
      <c r="C1181" s="704"/>
      <c r="D1181" s="139"/>
      <c r="E1181" s="704"/>
      <c r="F1181" s="118"/>
      <c r="G1181" s="118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39"/>
      <c r="AC1181" s="118"/>
      <c r="AD1181" s="693"/>
      <c r="AE1181" s="693"/>
    </row>
    <row r="1182" spans="2:31" ht="9.75" customHeight="1" x14ac:dyDescent="0.2">
      <c r="B1182" s="705"/>
      <c r="C1182" s="704"/>
      <c r="D1182" s="139"/>
      <c r="E1182" s="704"/>
      <c r="F1182" s="118"/>
      <c r="G1182" s="118"/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39"/>
      <c r="AC1182" s="118"/>
      <c r="AD1182" s="693"/>
      <c r="AE1182" s="693"/>
    </row>
    <row r="1183" spans="2:31" ht="9.75" customHeight="1" x14ac:dyDescent="0.2">
      <c r="B1183" s="705"/>
      <c r="C1183" s="704"/>
      <c r="D1183" s="139"/>
      <c r="E1183" s="704"/>
      <c r="F1183" s="118"/>
      <c r="G1183" s="1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39"/>
      <c r="AA1183" s="139"/>
      <c r="AB1183" s="139"/>
      <c r="AC1183" s="118"/>
      <c r="AD1183" s="693"/>
      <c r="AE1183" s="693"/>
    </row>
    <row r="1184" spans="2:31" ht="9.75" customHeight="1" x14ac:dyDescent="0.2">
      <c r="B1184" s="705"/>
      <c r="C1184" s="704"/>
      <c r="D1184" s="142"/>
      <c r="E1184" s="704"/>
      <c r="F1184" s="118"/>
      <c r="G1184" s="118"/>
      <c r="H1184" s="118"/>
      <c r="I1184" s="118"/>
      <c r="J1184" s="118"/>
      <c r="K1184" s="118"/>
      <c r="L1184" s="118"/>
      <c r="M1184" s="118"/>
      <c r="N1184" s="118"/>
      <c r="O1184" s="118"/>
      <c r="P1184" s="118"/>
      <c r="Q1184" s="118"/>
      <c r="R1184" s="118"/>
      <c r="S1184" s="144"/>
      <c r="T1184" s="144"/>
      <c r="U1184" s="144"/>
      <c r="V1184" s="144"/>
      <c r="W1184" s="144"/>
      <c r="X1184" s="144"/>
      <c r="Y1184" s="144"/>
      <c r="Z1184" s="118"/>
      <c r="AA1184" s="118"/>
      <c r="AB1184" s="118"/>
      <c r="AC1184" s="118"/>
      <c r="AD1184" s="693"/>
      <c r="AE1184" s="693"/>
    </row>
    <row r="1185" spans="2:31" ht="19.350000000000001" customHeight="1" x14ac:dyDescent="0.2">
      <c r="B1185" s="705"/>
      <c r="C1185" s="704"/>
      <c r="D1185" s="142"/>
      <c r="E1185" s="704"/>
      <c r="F1185" s="118"/>
      <c r="G1185" s="118"/>
      <c r="H1185" s="118"/>
      <c r="I1185" s="118"/>
      <c r="J1185" s="118"/>
      <c r="K1185" s="118"/>
      <c r="L1185" s="118"/>
      <c r="M1185" s="118"/>
      <c r="N1185" s="118"/>
      <c r="O1185" s="118"/>
      <c r="P1185" s="118"/>
      <c r="Q1185" s="118"/>
      <c r="R1185" s="118"/>
      <c r="S1185" s="144"/>
      <c r="T1185" s="144"/>
      <c r="U1185" s="144"/>
      <c r="V1185" s="144"/>
      <c r="W1185" s="144"/>
      <c r="X1185" s="144"/>
      <c r="Y1185" s="144"/>
      <c r="Z1185" s="118"/>
      <c r="AA1185" s="118"/>
      <c r="AB1185" s="118"/>
      <c r="AC1185" s="118"/>
      <c r="AD1185" s="693"/>
      <c r="AE1185" s="693"/>
    </row>
    <row r="1186" spans="2:31" ht="9.75" customHeight="1" x14ac:dyDescent="0.2">
      <c r="B1186" s="705"/>
      <c r="C1186" s="704"/>
      <c r="D1186" s="146"/>
      <c r="E1186" s="704"/>
      <c r="F1186" s="146"/>
      <c r="G1186" s="118"/>
      <c r="H1186" s="118"/>
      <c r="I1186" s="118"/>
      <c r="J1186" s="118"/>
      <c r="K1186" s="118"/>
      <c r="L1186" s="118"/>
      <c r="M1186" s="118"/>
      <c r="N1186" s="118"/>
      <c r="O1186" s="118"/>
      <c r="P1186" s="118"/>
      <c r="Q1186" s="118"/>
      <c r="R1186" s="118"/>
      <c r="S1186" s="118"/>
      <c r="T1186" s="118"/>
      <c r="U1186" s="118"/>
      <c r="V1186" s="118"/>
      <c r="W1186" s="118"/>
      <c r="X1186" s="118"/>
      <c r="Y1186" s="118"/>
      <c r="Z1186" s="118"/>
      <c r="AA1186" s="118"/>
      <c r="AB1186" s="118"/>
      <c r="AC1186" s="118"/>
      <c r="AD1186" s="693"/>
      <c r="AE1186" s="693"/>
    </row>
    <row r="1187" spans="2:31" ht="19.350000000000001" customHeight="1" x14ac:dyDescent="0.2">
      <c r="B1187" s="705"/>
      <c r="C1187" s="704"/>
      <c r="D1187" s="146"/>
      <c r="E1187" s="704"/>
      <c r="F1187" s="146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18"/>
      <c r="X1187" s="118"/>
      <c r="Y1187" s="118"/>
      <c r="Z1187" s="118"/>
      <c r="AA1187" s="118"/>
      <c r="AB1187" s="118"/>
      <c r="AC1187" s="118"/>
      <c r="AD1187" s="693"/>
      <c r="AE1187" s="693"/>
    </row>
    <row r="1188" spans="2:31" ht="19.350000000000001" customHeight="1" x14ac:dyDescent="0.2">
      <c r="B1188" s="705"/>
      <c r="C1188" s="704"/>
      <c r="D1188" s="146"/>
      <c r="E1188" s="704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18"/>
      <c r="U1188" s="118"/>
      <c r="V1188" s="118"/>
      <c r="W1188" s="118"/>
      <c r="X1188" s="118"/>
      <c r="Y1188" s="139"/>
      <c r="Z1188" s="139"/>
      <c r="AA1188" s="118"/>
      <c r="AB1188" s="118"/>
      <c r="AC1188" s="146"/>
      <c r="AD1188" s="693"/>
      <c r="AE1188" s="693"/>
    </row>
    <row r="1189" spans="2:31" ht="19.350000000000001" customHeight="1" x14ac:dyDescent="0.2">
      <c r="B1189" s="705"/>
      <c r="C1189" s="704"/>
      <c r="D1189" s="146"/>
      <c r="E1189" s="704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46"/>
      <c r="U1189" s="146"/>
      <c r="V1189" s="146"/>
      <c r="W1189" s="146"/>
      <c r="X1189" s="146"/>
      <c r="Y1189" s="139"/>
      <c r="Z1189" s="118"/>
      <c r="AA1189" s="118"/>
      <c r="AB1189" s="118"/>
      <c r="AC1189" s="118"/>
      <c r="AD1189" s="693"/>
      <c r="AE1189" s="693"/>
    </row>
    <row r="1190" spans="2:31" ht="19.350000000000001" customHeight="1" x14ac:dyDescent="0.2">
      <c r="B1190" s="705"/>
      <c r="C1190" s="704"/>
      <c r="D1190" s="144"/>
      <c r="E1190" s="704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46"/>
      <c r="U1190" s="146"/>
      <c r="V1190" s="146"/>
      <c r="W1190" s="144"/>
      <c r="X1190" s="144"/>
      <c r="Y1190" s="144"/>
      <c r="Z1190" s="144"/>
      <c r="AA1190" s="118"/>
      <c r="AB1190" s="118"/>
      <c r="AC1190" s="118"/>
      <c r="AD1190" s="693"/>
      <c r="AE1190" s="693"/>
    </row>
    <row r="1191" spans="2:31" ht="19.350000000000001" customHeight="1" x14ac:dyDescent="0.2">
      <c r="B1191" s="705"/>
      <c r="C1191" s="704"/>
      <c r="D1191" s="142"/>
      <c r="E1191" s="704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44"/>
      <c r="S1191" s="144"/>
      <c r="T1191" s="144"/>
      <c r="U1191" s="144"/>
      <c r="V1191" s="146"/>
      <c r="W1191" s="144"/>
      <c r="X1191" s="144"/>
      <c r="Y1191" s="144"/>
      <c r="Z1191" s="144"/>
      <c r="AA1191" s="146"/>
      <c r="AB1191" s="118"/>
      <c r="AC1191" s="118"/>
      <c r="AD1191" s="693"/>
      <c r="AE1191" s="693"/>
    </row>
    <row r="1192" spans="2:31" ht="19.350000000000001" customHeight="1" x14ac:dyDescent="0.2">
      <c r="B1192" s="705"/>
      <c r="C1192" s="704"/>
      <c r="D1192" s="142"/>
      <c r="E1192" s="704"/>
      <c r="F1192" s="118"/>
      <c r="G1192" s="118"/>
      <c r="H1192" s="118"/>
      <c r="I1192" s="118"/>
      <c r="J1192" s="118"/>
      <c r="K1192" s="144"/>
      <c r="L1192" s="144"/>
      <c r="M1192" s="144"/>
      <c r="N1192" s="118"/>
      <c r="O1192" s="118"/>
      <c r="P1192" s="118"/>
      <c r="Q1192" s="118"/>
      <c r="R1192" s="118"/>
      <c r="S1192" s="118"/>
      <c r="T1192" s="118"/>
      <c r="U1192" s="118"/>
      <c r="V1192" s="118"/>
      <c r="W1192" s="118"/>
      <c r="X1192" s="118"/>
      <c r="Y1192" s="118"/>
      <c r="Z1192" s="118"/>
      <c r="AA1192" s="118"/>
      <c r="AB1192" s="118"/>
      <c r="AC1192" s="118"/>
      <c r="AD1192" s="693"/>
      <c r="AE1192" s="693"/>
    </row>
    <row r="1193" spans="2:31" ht="19.350000000000001" customHeight="1" x14ac:dyDescent="0.2">
      <c r="B1193" s="705"/>
      <c r="C1193" s="704"/>
      <c r="D1193" s="139"/>
      <c r="E1193" s="704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18"/>
      <c r="V1193" s="118"/>
      <c r="W1193" s="139"/>
      <c r="X1193" s="118"/>
      <c r="Y1193" s="118"/>
      <c r="Z1193" s="118"/>
      <c r="AA1193" s="118"/>
      <c r="AB1193" s="118"/>
      <c r="AC1193" s="118"/>
      <c r="AD1193" s="693"/>
      <c r="AE1193" s="693"/>
    </row>
    <row r="1194" spans="2:31" ht="19.350000000000001" customHeight="1" x14ac:dyDescent="0.2">
      <c r="B1194" s="705"/>
      <c r="C1194" s="704"/>
      <c r="D1194" s="142"/>
      <c r="E1194" s="704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44"/>
      <c r="W1194" s="144"/>
      <c r="X1194" s="144"/>
      <c r="Y1194" s="144"/>
      <c r="Z1194" s="146"/>
      <c r="AA1194" s="118"/>
      <c r="AB1194" s="118"/>
      <c r="AC1194" s="118"/>
      <c r="AD1194" s="693"/>
      <c r="AE1194" s="693"/>
    </row>
    <row r="1195" spans="2:31" ht="19.350000000000001" customHeight="1" x14ac:dyDescent="0.2">
      <c r="B1195" s="705"/>
      <c r="C1195" s="704"/>
      <c r="D1195" s="142"/>
      <c r="E1195" s="704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44"/>
      <c r="U1195" s="144"/>
      <c r="V1195" s="144"/>
      <c r="W1195" s="144"/>
      <c r="X1195" s="146"/>
      <c r="Y1195" s="139"/>
      <c r="Z1195" s="144"/>
      <c r="AA1195" s="146"/>
      <c r="AB1195" s="118"/>
      <c r="AC1195" s="118"/>
      <c r="AD1195" s="693"/>
      <c r="AE1195" s="693"/>
    </row>
    <row r="1196" spans="2:31" ht="19.350000000000001" customHeight="1" x14ac:dyDescent="0.2">
      <c r="B1196" s="705"/>
      <c r="C1196" s="704"/>
      <c r="D1196" s="146"/>
      <c r="E1196" s="704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18"/>
      <c r="X1196" s="146"/>
      <c r="Y1196" s="118"/>
      <c r="Z1196" s="118"/>
      <c r="AA1196" s="118"/>
      <c r="AB1196" s="118"/>
      <c r="AC1196" s="118"/>
      <c r="AD1196" s="693"/>
      <c r="AE1196" s="693"/>
    </row>
    <row r="1197" spans="2:31" ht="19.350000000000001" customHeight="1" x14ac:dyDescent="0.2">
      <c r="B1197" s="705"/>
      <c r="C1197" s="704"/>
      <c r="D1197" s="144"/>
      <c r="E1197" s="704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  <c r="R1197" s="118"/>
      <c r="S1197" s="118"/>
      <c r="T1197" s="146"/>
      <c r="U1197" s="146"/>
      <c r="V1197" s="146"/>
      <c r="W1197" s="146"/>
      <c r="X1197" s="146"/>
      <c r="Y1197" s="139"/>
      <c r="Z1197" s="118"/>
      <c r="AA1197" s="118"/>
      <c r="AB1197" s="118"/>
      <c r="AC1197" s="118"/>
      <c r="AD1197" s="693"/>
      <c r="AE1197" s="693"/>
    </row>
    <row r="1198" spans="2:31" ht="19.350000000000001" customHeight="1" x14ac:dyDescent="0.2">
      <c r="B1198" s="705"/>
      <c r="C1198" s="704"/>
      <c r="D1198" s="139"/>
      <c r="E1198" s="704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  <c r="R1198" s="118"/>
      <c r="S1198" s="118"/>
      <c r="T1198" s="118"/>
      <c r="U1198" s="118"/>
      <c r="V1198" s="118"/>
      <c r="W1198" s="118"/>
      <c r="X1198" s="118"/>
      <c r="Y1198" s="118"/>
      <c r="Z1198" s="118"/>
      <c r="AA1198" s="118"/>
      <c r="AB1198" s="118"/>
      <c r="AC1198" s="139"/>
      <c r="AD1198" s="693"/>
      <c r="AE1198" s="693"/>
    </row>
    <row r="1199" spans="2:31" ht="19.350000000000001" customHeight="1" x14ac:dyDescent="0.2">
      <c r="B1199" s="705"/>
      <c r="C1199" s="704"/>
      <c r="D1199" s="146"/>
      <c r="E1199" s="704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18"/>
      <c r="U1199" s="118"/>
      <c r="V1199" s="118"/>
      <c r="W1199" s="118"/>
      <c r="X1199" s="118"/>
      <c r="Y1199" s="118"/>
      <c r="Z1199" s="118"/>
      <c r="AA1199" s="118"/>
      <c r="AB1199" s="118"/>
      <c r="AC1199" s="146"/>
      <c r="AD1199" s="693"/>
      <c r="AE1199" s="693"/>
    </row>
    <row r="1200" spans="2:31" ht="19.350000000000001" customHeight="1" x14ac:dyDescent="0.2">
      <c r="B1200" s="705"/>
      <c r="C1200" s="704"/>
      <c r="D1200" s="142"/>
      <c r="E1200" s="704"/>
      <c r="F1200" s="118"/>
      <c r="G1200" s="118"/>
      <c r="H1200" s="118"/>
      <c r="I1200" s="118"/>
      <c r="J1200" s="118"/>
      <c r="K1200" s="118"/>
      <c r="L1200" s="118"/>
      <c r="M1200" s="118"/>
      <c r="N1200" s="144"/>
      <c r="O1200" s="144"/>
      <c r="P1200" s="144"/>
      <c r="Q1200" s="144"/>
      <c r="R1200" s="144"/>
      <c r="S1200" s="144"/>
      <c r="T1200" s="144"/>
      <c r="U1200" s="118"/>
      <c r="V1200" s="118"/>
      <c r="W1200" s="118"/>
      <c r="X1200" s="118"/>
      <c r="Y1200" s="118"/>
      <c r="Z1200" s="118"/>
      <c r="AA1200" s="118"/>
      <c r="AB1200" s="118"/>
      <c r="AC1200" s="118"/>
      <c r="AD1200" s="693"/>
      <c r="AE1200" s="693"/>
    </row>
    <row r="1201" spans="2:31" ht="19.350000000000001" customHeight="1" x14ac:dyDescent="0.2">
      <c r="B1201" s="705"/>
      <c r="C1201" s="704"/>
      <c r="D1201" s="144"/>
      <c r="E1201" s="704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  <c r="R1201" s="118"/>
      <c r="S1201" s="144"/>
      <c r="T1201" s="146"/>
      <c r="U1201" s="146"/>
      <c r="V1201" s="146"/>
      <c r="W1201" s="146"/>
      <c r="X1201" s="144"/>
      <c r="Y1201" s="144"/>
      <c r="Z1201" s="118"/>
      <c r="AA1201" s="118"/>
      <c r="AB1201" s="118"/>
      <c r="AC1201" s="118"/>
      <c r="AD1201" s="693"/>
      <c r="AE1201" s="693"/>
    </row>
    <row r="1202" spans="2:31" ht="19.350000000000001" customHeight="1" x14ac:dyDescent="0.2">
      <c r="B1202" s="705"/>
      <c r="C1202" s="704"/>
      <c r="D1202" s="142"/>
      <c r="E1202" s="704"/>
      <c r="F1202" s="118"/>
      <c r="G1202" s="118"/>
      <c r="H1202" s="118"/>
      <c r="I1202" s="118"/>
      <c r="J1202" s="118"/>
      <c r="K1202" s="118"/>
      <c r="L1202" s="118"/>
      <c r="M1202" s="118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18"/>
      <c r="X1202" s="118"/>
      <c r="Y1202" s="118"/>
      <c r="Z1202" s="118"/>
      <c r="AA1202" s="118"/>
      <c r="AB1202" s="118"/>
      <c r="AC1202" s="118"/>
      <c r="AD1202" s="693"/>
      <c r="AE1202" s="693"/>
    </row>
    <row r="1203" spans="2:31" ht="19.350000000000001" customHeight="1" x14ac:dyDescent="0.2">
      <c r="B1203" s="705"/>
      <c r="C1203" s="704"/>
      <c r="D1203" s="142"/>
      <c r="E1203" s="704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44"/>
      <c r="T1203" s="144"/>
      <c r="U1203" s="144"/>
      <c r="V1203" s="144"/>
      <c r="W1203" s="144"/>
      <c r="X1203" s="144"/>
      <c r="Y1203" s="144"/>
      <c r="Z1203" s="118"/>
      <c r="AA1203" s="118"/>
      <c r="AB1203" s="118"/>
      <c r="AC1203" s="118"/>
      <c r="AD1203" s="693"/>
      <c r="AE1203" s="693"/>
    </row>
    <row r="1204" spans="2:31" ht="19.350000000000001" customHeight="1" x14ac:dyDescent="0.2">
      <c r="B1204" s="705"/>
      <c r="C1204" s="704"/>
      <c r="D1204" s="142"/>
      <c r="E1204" s="704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44"/>
      <c r="R1204" s="142"/>
      <c r="S1204" s="142"/>
      <c r="T1204" s="144"/>
      <c r="U1204" s="144"/>
      <c r="V1204" s="118"/>
      <c r="W1204" s="118"/>
      <c r="X1204" s="118"/>
      <c r="Y1204" s="118"/>
      <c r="Z1204" s="118"/>
      <c r="AA1204" s="118"/>
      <c r="AB1204" s="118"/>
      <c r="AC1204" s="118"/>
      <c r="AD1204" s="693"/>
      <c r="AE1204" s="693"/>
    </row>
    <row r="1205" spans="2:31" ht="19.350000000000001" customHeight="1" x14ac:dyDescent="0.2">
      <c r="B1205" s="705"/>
      <c r="C1205" s="704"/>
      <c r="D1205" s="144"/>
      <c r="E1205" s="704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44"/>
      <c r="W1205" s="144"/>
      <c r="X1205" s="144"/>
      <c r="Y1205" s="118"/>
      <c r="Z1205" s="118"/>
      <c r="AA1205" s="118"/>
      <c r="AB1205" s="118"/>
      <c r="AC1205" s="118"/>
      <c r="AD1205" s="693"/>
      <c r="AE1205" s="693"/>
    </row>
    <row r="1206" spans="2:31" ht="19.350000000000001" customHeight="1" x14ac:dyDescent="0.2">
      <c r="B1206" s="705"/>
      <c r="C1206" s="704"/>
      <c r="D1206" s="142"/>
      <c r="E1206" s="704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18"/>
      <c r="Q1206" s="118"/>
      <c r="R1206" s="118"/>
      <c r="S1206" s="144"/>
      <c r="T1206" s="144"/>
      <c r="U1206" s="144"/>
      <c r="V1206" s="144"/>
      <c r="W1206" s="146"/>
      <c r="X1206" s="118"/>
      <c r="Y1206" s="118"/>
      <c r="Z1206" s="118"/>
      <c r="AA1206" s="118"/>
      <c r="AB1206" s="118"/>
      <c r="AC1206" s="118"/>
      <c r="AD1206" s="693"/>
      <c r="AE1206" s="693"/>
    </row>
    <row r="1207" spans="2:31" ht="19.350000000000001" customHeight="1" x14ac:dyDescent="0.2">
      <c r="B1207" s="705"/>
      <c r="C1207" s="704"/>
      <c r="D1207" s="144"/>
      <c r="E1207" s="704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18"/>
      <c r="T1207" s="118"/>
      <c r="U1207" s="146"/>
      <c r="V1207" s="146"/>
      <c r="W1207" s="144"/>
      <c r="X1207" s="146"/>
      <c r="Y1207" s="139"/>
      <c r="Z1207" s="118"/>
      <c r="AA1207" s="118"/>
      <c r="AB1207" s="118"/>
      <c r="AC1207" s="118"/>
      <c r="AD1207" s="693"/>
      <c r="AE1207" s="693"/>
    </row>
    <row r="1208" spans="2:31" ht="19.350000000000001" customHeight="1" x14ac:dyDescent="0.2">
      <c r="B1208" s="705"/>
      <c r="C1208" s="704"/>
      <c r="D1208" s="142"/>
      <c r="E1208" s="704"/>
      <c r="F1208" s="118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44"/>
      <c r="T1208" s="144"/>
      <c r="U1208" s="144"/>
      <c r="V1208" s="144"/>
      <c r="W1208" s="144"/>
      <c r="X1208" s="144"/>
      <c r="Y1208" s="144"/>
      <c r="Z1208" s="118"/>
      <c r="AA1208" s="118"/>
      <c r="AB1208" s="118"/>
      <c r="AC1208" s="118"/>
      <c r="AD1208" s="693"/>
      <c r="AE1208" s="693"/>
    </row>
    <row r="1209" spans="2:31" ht="19.350000000000001" customHeight="1" x14ac:dyDescent="0.2">
      <c r="B1209" s="705"/>
      <c r="C1209" s="704"/>
      <c r="D1209" s="142"/>
      <c r="E1209" s="704"/>
      <c r="F1209" s="144"/>
      <c r="G1209" s="118"/>
      <c r="H1209" s="144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18"/>
      <c r="V1209" s="118"/>
      <c r="W1209" s="118"/>
      <c r="X1209" s="118"/>
      <c r="Y1209" s="118"/>
      <c r="Z1209" s="118"/>
      <c r="AA1209" s="118"/>
      <c r="AB1209" s="118"/>
      <c r="AC1209" s="118"/>
      <c r="AD1209" s="693"/>
      <c r="AE1209" s="693"/>
    </row>
    <row r="1210" spans="2:31" ht="19.350000000000001" customHeight="1" x14ac:dyDescent="0.2">
      <c r="B1210" s="705"/>
      <c r="C1210" s="704"/>
      <c r="D1210" s="146"/>
      <c r="E1210" s="704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39"/>
      <c r="T1210" s="139"/>
      <c r="U1210" s="139"/>
      <c r="V1210" s="139"/>
      <c r="W1210" s="139"/>
      <c r="X1210" s="139"/>
      <c r="Y1210" s="139"/>
      <c r="Z1210" s="118"/>
      <c r="AA1210" s="118"/>
      <c r="AB1210" s="118"/>
      <c r="AC1210" s="118"/>
      <c r="AD1210" s="693"/>
      <c r="AE1210" s="693"/>
    </row>
    <row r="1211" spans="2:31" ht="19.350000000000001" customHeight="1" x14ac:dyDescent="0.2">
      <c r="B1211" s="705"/>
      <c r="C1211" s="704"/>
      <c r="D1211" s="144"/>
      <c r="E1211" s="704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46"/>
      <c r="T1211" s="146"/>
      <c r="U1211" s="146"/>
      <c r="V1211" s="146"/>
      <c r="W1211" s="144"/>
      <c r="X1211" s="144"/>
      <c r="Y1211" s="144"/>
      <c r="Z1211" s="118"/>
      <c r="AA1211" s="118"/>
      <c r="AB1211" s="118"/>
      <c r="AC1211" s="118"/>
      <c r="AD1211" s="693"/>
      <c r="AE1211" s="693"/>
    </row>
    <row r="1212" spans="2:31" ht="19.350000000000001" customHeight="1" x14ac:dyDescent="0.2">
      <c r="B1212" s="705"/>
      <c r="C1212" s="704"/>
      <c r="D1212" s="142"/>
      <c r="E1212" s="704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44"/>
      <c r="T1212" s="144"/>
      <c r="U1212" s="118"/>
      <c r="V1212" s="144"/>
      <c r="W1212" s="144"/>
      <c r="X1212" s="144"/>
      <c r="Y1212" s="142"/>
      <c r="Z1212" s="142"/>
      <c r="AA1212" s="144"/>
      <c r="AB1212" s="142"/>
      <c r="AC1212" s="144"/>
      <c r="AD1212" s="693"/>
      <c r="AE1212" s="693"/>
    </row>
    <row r="1213" spans="2:31" ht="19.350000000000001" customHeight="1" x14ac:dyDescent="0.2">
      <c r="B1213" s="705"/>
      <c r="C1213" s="704"/>
      <c r="D1213" s="142"/>
      <c r="E1213" s="704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18"/>
      <c r="S1213" s="146"/>
      <c r="T1213" s="146"/>
      <c r="U1213" s="118"/>
      <c r="V1213" s="144"/>
      <c r="W1213" s="144"/>
      <c r="X1213" s="144"/>
      <c r="Y1213" s="142"/>
      <c r="Z1213" s="144"/>
      <c r="AA1213" s="144"/>
      <c r="AB1213" s="144"/>
      <c r="AC1213" s="144"/>
      <c r="AD1213" s="693"/>
      <c r="AE1213" s="693"/>
    </row>
    <row r="1214" spans="2:31" ht="19.350000000000001" customHeight="1" x14ac:dyDescent="0.2">
      <c r="B1214" s="705"/>
      <c r="C1214" s="704"/>
      <c r="D1214" s="144"/>
      <c r="E1214" s="704"/>
      <c r="F1214" s="118"/>
      <c r="G1214" s="118"/>
      <c r="H1214" s="118"/>
      <c r="I1214" s="118"/>
      <c r="J1214" s="118"/>
      <c r="K1214" s="118"/>
      <c r="L1214" s="118"/>
      <c r="M1214" s="118"/>
      <c r="N1214" s="118"/>
      <c r="O1214" s="118"/>
      <c r="P1214" s="118"/>
      <c r="Q1214" s="118"/>
      <c r="R1214" s="118"/>
      <c r="S1214" s="139"/>
      <c r="T1214" s="139"/>
      <c r="U1214" s="118"/>
      <c r="V1214" s="146"/>
      <c r="W1214" s="146"/>
      <c r="X1214" s="146"/>
      <c r="Y1214" s="146"/>
      <c r="Z1214" s="146"/>
      <c r="AA1214" s="146"/>
      <c r="AB1214" s="146"/>
      <c r="AC1214" s="146"/>
      <c r="AD1214" s="693"/>
      <c r="AE1214" s="693"/>
    </row>
    <row r="1215" spans="2:31" ht="19.350000000000001" customHeight="1" x14ac:dyDescent="0.2">
      <c r="B1215" s="705"/>
      <c r="C1215" s="704"/>
      <c r="D1215" s="144"/>
      <c r="E1215" s="704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18"/>
      <c r="X1215" s="118"/>
      <c r="Y1215" s="118"/>
      <c r="Z1215" s="118"/>
      <c r="AA1215" s="118"/>
      <c r="AB1215" s="144"/>
      <c r="AC1215" s="118"/>
      <c r="AD1215" s="693"/>
      <c r="AE1215" s="693"/>
    </row>
    <row r="1216" spans="2:31" ht="19.350000000000001" customHeight="1" x14ac:dyDescent="0.2">
      <c r="B1216" s="705"/>
      <c r="C1216" s="704"/>
      <c r="D1216" s="144"/>
      <c r="E1216" s="704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46"/>
      <c r="T1216" s="146"/>
      <c r="U1216" s="118"/>
      <c r="V1216" s="146"/>
      <c r="W1216" s="146"/>
      <c r="X1216" s="146"/>
      <c r="Y1216" s="144"/>
      <c r="Z1216" s="146"/>
      <c r="AA1216" s="146"/>
      <c r="AB1216" s="146"/>
      <c r="AC1216" s="146"/>
      <c r="AD1216" s="693"/>
      <c r="AE1216" s="693"/>
    </row>
    <row r="1217" spans="2:31" ht="19.350000000000001" customHeight="1" x14ac:dyDescent="0.2">
      <c r="B1217" s="705"/>
      <c r="C1217" s="704"/>
      <c r="D1217" s="144"/>
      <c r="E1217" s="704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46"/>
      <c r="T1217" s="146"/>
      <c r="U1217" s="118"/>
      <c r="V1217" s="146"/>
      <c r="W1217" s="146"/>
      <c r="X1217" s="146"/>
      <c r="Y1217" s="144"/>
      <c r="Z1217" s="146"/>
      <c r="AA1217" s="146"/>
      <c r="AB1217" s="144"/>
      <c r="AC1217" s="146"/>
      <c r="AD1217" s="693"/>
      <c r="AE1217" s="693"/>
    </row>
    <row r="1218" spans="2:31" ht="19.350000000000001" customHeight="1" x14ac:dyDescent="0.2">
      <c r="B1218" s="705"/>
      <c r="C1218" s="704"/>
      <c r="D1218" s="144"/>
      <c r="E1218" s="704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39"/>
      <c r="T1218" s="139"/>
      <c r="U1218" s="118"/>
      <c r="V1218" s="146"/>
      <c r="W1218" s="146"/>
      <c r="X1218" s="146"/>
      <c r="Y1218" s="146"/>
      <c r="Z1218" s="146"/>
      <c r="AA1218" s="146"/>
      <c r="AB1218" s="146"/>
      <c r="AC1218" s="146"/>
      <c r="AD1218" s="693"/>
      <c r="AE1218" s="693"/>
    </row>
    <row r="1219" spans="2:31" ht="19.350000000000001" customHeight="1" x14ac:dyDescent="0.2">
      <c r="B1219" s="705"/>
      <c r="C1219" s="704"/>
      <c r="D1219" s="140"/>
      <c r="E1219" s="704"/>
      <c r="F1219" s="118"/>
      <c r="G1219" s="118"/>
      <c r="H1219" s="118"/>
      <c r="I1219" s="144"/>
      <c r="J1219" s="142"/>
      <c r="K1219" s="142"/>
      <c r="L1219" s="142"/>
      <c r="M1219" s="142"/>
      <c r="N1219" s="142"/>
      <c r="O1219" s="142"/>
      <c r="P1219" s="142"/>
      <c r="Q1219" s="144"/>
      <c r="R1219" s="118"/>
      <c r="S1219" s="118"/>
      <c r="T1219" s="118"/>
      <c r="U1219" s="118"/>
      <c r="V1219" s="118"/>
      <c r="W1219" s="118"/>
      <c r="X1219" s="118"/>
      <c r="Y1219" s="118"/>
      <c r="Z1219" s="118"/>
      <c r="AA1219" s="118"/>
      <c r="AB1219" s="118"/>
      <c r="AC1219" s="118"/>
      <c r="AD1219" s="693"/>
      <c r="AE1219" s="693"/>
    </row>
    <row r="1220" spans="2:31" ht="19.350000000000001" customHeight="1" x14ac:dyDescent="0.2">
      <c r="B1220" s="705"/>
      <c r="C1220" s="704"/>
      <c r="D1220" s="142"/>
      <c r="E1220" s="704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18"/>
      <c r="Y1220" s="144"/>
      <c r="Z1220" s="144"/>
      <c r="AA1220" s="118"/>
      <c r="AB1220" s="118"/>
      <c r="AC1220" s="118"/>
      <c r="AD1220" s="693"/>
      <c r="AE1220" s="693"/>
    </row>
    <row r="1221" spans="2:31" ht="19.350000000000001" customHeight="1" x14ac:dyDescent="0.2">
      <c r="B1221" s="705"/>
      <c r="C1221" s="704"/>
      <c r="D1221" s="144"/>
      <c r="E1221" s="704"/>
      <c r="F1221" s="118"/>
      <c r="G1221" s="118"/>
      <c r="H1221" s="118"/>
      <c r="I1221" s="118"/>
      <c r="J1221" s="118"/>
      <c r="K1221" s="118"/>
      <c r="L1221" s="144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18"/>
      <c r="Y1221" s="118"/>
      <c r="Z1221" s="118"/>
      <c r="AA1221" s="118"/>
      <c r="AB1221" s="118"/>
      <c r="AC1221" s="118"/>
      <c r="AD1221" s="693"/>
      <c r="AE1221" s="693"/>
    </row>
    <row r="1222" spans="2:31" ht="19.350000000000001" customHeight="1" x14ac:dyDescent="0.2">
      <c r="B1222" s="705"/>
      <c r="C1222" s="704"/>
      <c r="D1222" s="142"/>
      <c r="E1222" s="704"/>
      <c r="F1222" s="118"/>
      <c r="G1222" s="118"/>
      <c r="H1222" s="118"/>
      <c r="I1222" s="144"/>
      <c r="J1222" s="144"/>
      <c r="K1222" s="144"/>
      <c r="L1222" s="144"/>
      <c r="M1222" s="144"/>
      <c r="N1222" s="144"/>
      <c r="O1222" s="144"/>
      <c r="P1222" s="144"/>
      <c r="Q1222" s="146"/>
      <c r="R1222" s="118"/>
      <c r="S1222" s="118"/>
      <c r="T1222" s="118"/>
      <c r="U1222" s="118"/>
      <c r="V1222" s="118"/>
      <c r="W1222" s="118"/>
      <c r="X1222" s="118"/>
      <c r="Y1222" s="118"/>
      <c r="Z1222" s="118"/>
      <c r="AA1222" s="118"/>
      <c r="AB1222" s="118"/>
      <c r="AC1222" s="118"/>
      <c r="AD1222" s="693"/>
      <c r="AE1222" s="693"/>
    </row>
    <row r="1223" spans="2:31" ht="19.350000000000001" customHeight="1" x14ac:dyDescent="0.2">
      <c r="B1223" s="705"/>
      <c r="C1223" s="704"/>
      <c r="D1223" s="142"/>
      <c r="E1223" s="704"/>
      <c r="F1223" s="118"/>
      <c r="G1223" s="118"/>
      <c r="H1223" s="118"/>
      <c r="I1223" s="118"/>
      <c r="J1223" s="118"/>
      <c r="K1223" s="118"/>
      <c r="L1223" s="118"/>
      <c r="M1223" s="144"/>
      <c r="N1223" s="144"/>
      <c r="O1223" s="142"/>
      <c r="P1223" s="144"/>
      <c r="Q1223" s="144"/>
      <c r="R1223" s="144"/>
      <c r="S1223" s="144"/>
      <c r="T1223" s="118"/>
      <c r="U1223" s="118"/>
      <c r="V1223" s="118"/>
      <c r="W1223" s="118"/>
      <c r="X1223" s="118"/>
      <c r="Y1223" s="118"/>
      <c r="Z1223" s="118"/>
      <c r="AA1223" s="118"/>
      <c r="AB1223" s="118"/>
      <c r="AC1223" s="118"/>
      <c r="AD1223" s="693"/>
      <c r="AE1223" s="693"/>
    </row>
    <row r="1224" spans="2:31" ht="19.350000000000001" customHeight="1" x14ac:dyDescent="0.2">
      <c r="B1224" s="705"/>
      <c r="C1224" s="704"/>
      <c r="D1224" s="146"/>
      <c r="E1224" s="704"/>
      <c r="F1224" s="118"/>
      <c r="G1224" s="118"/>
      <c r="H1224" s="118"/>
      <c r="I1224" s="118"/>
      <c r="J1224" s="118"/>
      <c r="K1224" s="118"/>
      <c r="L1224" s="118"/>
      <c r="M1224" s="118"/>
      <c r="N1224" s="118"/>
      <c r="O1224" s="118"/>
      <c r="P1224" s="118"/>
      <c r="Q1224" s="118"/>
      <c r="R1224" s="139"/>
      <c r="S1224" s="139"/>
      <c r="T1224" s="146"/>
      <c r="U1224" s="139"/>
      <c r="V1224" s="118"/>
      <c r="W1224" s="118"/>
      <c r="X1224" s="118"/>
      <c r="Y1224" s="118"/>
      <c r="Z1224" s="118"/>
      <c r="AA1224" s="118"/>
      <c r="AB1224" s="118"/>
      <c r="AC1224" s="118"/>
      <c r="AD1224" s="693"/>
      <c r="AE1224" s="693"/>
    </row>
    <row r="1225" spans="2:31" ht="19.350000000000001" customHeight="1" x14ac:dyDescent="0.2">
      <c r="B1225" s="705"/>
      <c r="C1225" s="704"/>
      <c r="D1225" s="139"/>
      <c r="E1225" s="704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18"/>
      <c r="T1225" s="118"/>
      <c r="U1225" s="118"/>
      <c r="V1225" s="118"/>
      <c r="W1225" s="118"/>
      <c r="X1225" s="118"/>
      <c r="Y1225" s="118"/>
      <c r="Z1225" s="118"/>
      <c r="AA1225" s="118"/>
      <c r="AB1225" s="139"/>
      <c r="AC1225" s="118"/>
      <c r="AD1225" s="693"/>
      <c r="AE1225" s="693"/>
    </row>
    <row r="1226" spans="2:31" ht="19.350000000000001" customHeight="1" x14ac:dyDescent="0.2">
      <c r="B1226" s="705"/>
      <c r="C1226" s="704"/>
      <c r="D1226" s="146"/>
      <c r="E1226" s="704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39"/>
      <c r="Q1226" s="139"/>
      <c r="R1226" s="139"/>
      <c r="S1226" s="139"/>
      <c r="T1226" s="139"/>
      <c r="U1226" s="118"/>
      <c r="V1226" s="139"/>
      <c r="W1226" s="118"/>
      <c r="X1226" s="118"/>
      <c r="Y1226" s="118"/>
      <c r="Z1226" s="118"/>
      <c r="AA1226" s="118"/>
      <c r="AB1226" s="118"/>
      <c r="AC1226" s="118"/>
      <c r="AD1226" s="693"/>
      <c r="AE1226" s="693"/>
    </row>
    <row r="1227" spans="2:31" ht="19.350000000000001" customHeight="1" x14ac:dyDescent="0.2">
      <c r="B1227" s="705"/>
      <c r="C1227" s="704"/>
      <c r="D1227" s="146"/>
      <c r="E1227" s="704"/>
      <c r="F1227" s="118"/>
      <c r="G1227" s="118"/>
      <c r="H1227" s="118"/>
      <c r="I1227" s="118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18"/>
      <c r="W1227" s="139"/>
      <c r="X1227" s="139"/>
      <c r="Y1227" s="146"/>
      <c r="Z1227" s="139"/>
      <c r="AA1227" s="118"/>
      <c r="AB1227" s="118"/>
      <c r="AC1227" s="118"/>
      <c r="AD1227" s="693"/>
      <c r="AE1227" s="693"/>
    </row>
    <row r="1228" spans="2:31" ht="19.350000000000001" customHeight="1" x14ac:dyDescent="0.2">
      <c r="B1228" s="705"/>
      <c r="C1228" s="704"/>
      <c r="D1228" s="146"/>
      <c r="E1228" s="704"/>
      <c r="F1228" s="118"/>
      <c r="G1228" s="118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39"/>
      <c r="R1228" s="139"/>
      <c r="S1228" s="139"/>
      <c r="T1228" s="118"/>
      <c r="U1228" s="118"/>
      <c r="V1228" s="118"/>
      <c r="W1228" s="118"/>
      <c r="X1228" s="118"/>
      <c r="Y1228" s="118"/>
      <c r="Z1228" s="146"/>
      <c r="AA1228" s="118"/>
      <c r="AB1228" s="118"/>
      <c r="AC1228" s="118"/>
      <c r="AD1228" s="693"/>
      <c r="AE1228" s="693"/>
    </row>
    <row r="1229" spans="2:31" ht="19.350000000000001" customHeight="1" x14ac:dyDescent="0.2">
      <c r="B1229" s="705"/>
      <c r="C1229" s="704"/>
      <c r="D1229" s="144"/>
      <c r="E1229" s="704"/>
      <c r="F1229" s="118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18"/>
      <c r="V1229" s="118"/>
      <c r="W1229" s="146"/>
      <c r="X1229" s="146"/>
      <c r="Y1229" s="146"/>
      <c r="Z1229" s="146"/>
      <c r="AA1229" s="146"/>
      <c r="AB1229" s="118"/>
      <c r="AC1229" s="118"/>
      <c r="AD1229" s="693"/>
      <c r="AE1229" s="693"/>
    </row>
    <row r="1230" spans="2:31" ht="19.350000000000001" customHeight="1" x14ac:dyDescent="0.2">
      <c r="B1230" s="705"/>
      <c r="C1230" s="704"/>
      <c r="D1230" s="139"/>
      <c r="E1230" s="704"/>
      <c r="F1230" s="118"/>
      <c r="G1230" s="118"/>
      <c r="H1230" s="118"/>
      <c r="I1230" s="118"/>
      <c r="J1230" s="118"/>
      <c r="K1230" s="118"/>
      <c r="L1230" s="118"/>
      <c r="M1230" s="118"/>
      <c r="N1230" s="118"/>
      <c r="O1230" s="118"/>
      <c r="P1230" s="118"/>
      <c r="Q1230" s="118"/>
      <c r="R1230" s="118"/>
      <c r="S1230" s="118"/>
      <c r="T1230" s="118"/>
      <c r="U1230" s="118"/>
      <c r="V1230" s="118"/>
      <c r="W1230" s="118"/>
      <c r="X1230" s="118"/>
      <c r="Y1230" s="118"/>
      <c r="Z1230" s="139"/>
      <c r="AA1230" s="118"/>
      <c r="AB1230" s="118"/>
      <c r="AC1230" s="118"/>
      <c r="AD1230" s="693"/>
      <c r="AE1230" s="693"/>
    </row>
    <row r="1231" spans="2:31" ht="19.350000000000001" customHeight="1" x14ac:dyDescent="0.2">
      <c r="B1231" s="705"/>
      <c r="C1231" s="704"/>
      <c r="D1231" s="146"/>
      <c r="E1231" s="704"/>
      <c r="F1231" s="118"/>
      <c r="G1231" s="118"/>
      <c r="H1231" s="118"/>
      <c r="I1231" s="118"/>
      <c r="J1231" s="118"/>
      <c r="K1231" s="118"/>
      <c r="L1231" s="118"/>
      <c r="M1231" s="118"/>
      <c r="N1231" s="118"/>
      <c r="O1231" s="118"/>
      <c r="P1231" s="118"/>
      <c r="Q1231" s="118"/>
      <c r="R1231" s="118"/>
      <c r="S1231" s="118"/>
      <c r="T1231" s="118"/>
      <c r="U1231" s="146"/>
      <c r="V1231" s="146"/>
      <c r="W1231" s="146"/>
      <c r="X1231" s="146"/>
      <c r="Y1231" s="139"/>
      <c r="Z1231" s="118"/>
      <c r="AA1231" s="118"/>
      <c r="AB1231" s="118"/>
      <c r="AC1231" s="118"/>
      <c r="AD1231" s="693"/>
      <c r="AE1231" s="693"/>
    </row>
    <row r="1232" spans="2:31" ht="19.350000000000001" customHeight="1" x14ac:dyDescent="0.2">
      <c r="B1232" s="705"/>
      <c r="C1232" s="704"/>
      <c r="D1232" s="144"/>
      <c r="E1232" s="704"/>
      <c r="F1232" s="118"/>
      <c r="G1232" s="118"/>
      <c r="H1232" s="118"/>
      <c r="I1232" s="118"/>
      <c r="J1232" s="118"/>
      <c r="K1232" s="118"/>
      <c r="L1232" s="118"/>
      <c r="M1232" s="118"/>
      <c r="N1232" s="144"/>
      <c r="O1232" s="139"/>
      <c r="P1232" s="118"/>
      <c r="Q1232" s="118"/>
      <c r="R1232" s="118"/>
      <c r="S1232" s="118"/>
      <c r="T1232" s="118"/>
      <c r="U1232" s="118"/>
      <c r="V1232" s="118"/>
      <c r="W1232" s="118"/>
      <c r="X1232" s="118"/>
      <c r="Y1232" s="118"/>
      <c r="Z1232" s="118"/>
      <c r="AA1232" s="118"/>
      <c r="AB1232" s="118"/>
      <c r="AC1232" s="118"/>
      <c r="AD1232" s="693"/>
      <c r="AE1232" s="693"/>
    </row>
    <row r="1233" spans="2:31" ht="19.350000000000001" customHeight="1" x14ac:dyDescent="0.2">
      <c r="B1233" s="705"/>
      <c r="C1233" s="704"/>
      <c r="D1233" s="144"/>
      <c r="E1233" s="704"/>
      <c r="F1233" s="118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18"/>
      <c r="T1233" s="146"/>
      <c r="U1233" s="146"/>
      <c r="V1233" s="144"/>
      <c r="W1233" s="146"/>
      <c r="X1233" s="146"/>
      <c r="Y1233" s="146"/>
      <c r="Z1233" s="146"/>
      <c r="AA1233" s="146"/>
      <c r="AB1233" s="118"/>
      <c r="AC1233" s="118"/>
      <c r="AD1233" s="693"/>
      <c r="AE1233" s="693"/>
    </row>
    <row r="1234" spans="2:31" ht="19.350000000000001" customHeight="1" x14ac:dyDescent="0.2">
      <c r="B1234" s="705"/>
      <c r="C1234" s="704"/>
      <c r="D1234" s="139"/>
      <c r="E1234" s="704"/>
      <c r="F1234" s="118"/>
      <c r="G1234" s="118"/>
      <c r="H1234" s="118"/>
      <c r="I1234" s="118"/>
      <c r="J1234" s="118"/>
      <c r="K1234" s="118"/>
      <c r="L1234" s="118"/>
      <c r="M1234" s="118"/>
      <c r="N1234" s="118"/>
      <c r="O1234" s="118"/>
      <c r="P1234" s="118"/>
      <c r="Q1234" s="118"/>
      <c r="R1234" s="118"/>
      <c r="S1234" s="118"/>
      <c r="T1234" s="139"/>
      <c r="U1234" s="139"/>
      <c r="V1234" s="139"/>
      <c r="W1234" s="139"/>
      <c r="X1234" s="139"/>
      <c r="Y1234" s="139"/>
      <c r="Z1234" s="118"/>
      <c r="AA1234" s="118"/>
      <c r="AB1234" s="118"/>
      <c r="AC1234" s="118"/>
      <c r="AD1234" s="693"/>
      <c r="AE1234" s="693"/>
    </row>
    <row r="1235" spans="2:31" ht="19.350000000000001" customHeight="1" x14ac:dyDescent="0.2">
      <c r="B1235" s="705"/>
      <c r="C1235" s="704"/>
      <c r="D1235" s="139"/>
      <c r="E1235" s="704"/>
      <c r="F1235" s="118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18"/>
      <c r="T1235" s="118"/>
      <c r="U1235" s="118"/>
      <c r="V1235" s="118"/>
      <c r="W1235" s="118"/>
      <c r="X1235" s="118"/>
      <c r="Y1235" s="118"/>
      <c r="Z1235" s="118"/>
      <c r="AA1235" s="118"/>
      <c r="AB1235" s="139"/>
      <c r="AC1235" s="118"/>
      <c r="AD1235" s="693"/>
      <c r="AE1235" s="693"/>
    </row>
    <row r="1236" spans="2:31" ht="19.350000000000001" customHeight="1" x14ac:dyDescent="0.2">
      <c r="B1236" s="705"/>
      <c r="C1236" s="704"/>
      <c r="D1236" s="139"/>
      <c r="E1236" s="704"/>
      <c r="F1236" s="118"/>
      <c r="G1236" s="118"/>
      <c r="H1236" s="118"/>
      <c r="I1236" s="118"/>
      <c r="J1236" s="118"/>
      <c r="K1236" s="118"/>
      <c r="L1236" s="118"/>
      <c r="M1236" s="118"/>
      <c r="N1236" s="118"/>
      <c r="O1236" s="118"/>
      <c r="P1236" s="118"/>
      <c r="Q1236" s="118"/>
      <c r="R1236" s="118"/>
      <c r="S1236" s="118"/>
      <c r="T1236" s="118"/>
      <c r="U1236" s="118"/>
      <c r="V1236" s="118"/>
      <c r="W1236" s="118"/>
      <c r="X1236" s="118"/>
      <c r="Y1236" s="118"/>
      <c r="Z1236" s="118"/>
      <c r="AA1236" s="118"/>
      <c r="AB1236" s="139"/>
      <c r="AC1236" s="118"/>
      <c r="AD1236" s="693"/>
      <c r="AE1236" s="693"/>
    </row>
    <row r="1237" spans="2:31" ht="19.350000000000001" customHeight="1" x14ac:dyDescent="0.2">
      <c r="B1237" s="705"/>
      <c r="C1237" s="704"/>
      <c r="D1237" s="142"/>
      <c r="E1237" s="704"/>
      <c r="F1237" s="118"/>
      <c r="G1237" s="118"/>
      <c r="H1237" s="118"/>
      <c r="I1237" s="118"/>
      <c r="J1237" s="118"/>
      <c r="K1237" s="118"/>
      <c r="L1237" s="118"/>
      <c r="M1237" s="118"/>
      <c r="N1237" s="146"/>
      <c r="O1237" s="146"/>
      <c r="P1237" s="146"/>
      <c r="Q1237" s="144"/>
      <c r="R1237" s="144"/>
      <c r="S1237" s="144"/>
      <c r="T1237" s="144"/>
      <c r="U1237" s="144"/>
      <c r="V1237" s="146"/>
      <c r="W1237" s="118"/>
      <c r="X1237" s="118"/>
      <c r="Y1237" s="118"/>
      <c r="Z1237" s="118"/>
      <c r="AA1237" s="118"/>
      <c r="AB1237" s="118"/>
      <c r="AC1237" s="118"/>
      <c r="AD1237" s="693"/>
      <c r="AE1237" s="693"/>
    </row>
    <row r="1238" spans="2:31" ht="19.350000000000001" customHeight="1" x14ac:dyDescent="0.2">
      <c r="B1238" s="705"/>
      <c r="C1238" s="704"/>
      <c r="D1238" s="146"/>
      <c r="E1238" s="704"/>
      <c r="F1238" s="118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18"/>
      <c r="T1238" s="118"/>
      <c r="U1238" s="118"/>
      <c r="V1238" s="146"/>
      <c r="W1238" s="118"/>
      <c r="X1238" s="118"/>
      <c r="Y1238" s="118"/>
      <c r="Z1238" s="118"/>
      <c r="AA1238" s="118"/>
      <c r="AB1238" s="118"/>
      <c r="AC1238" s="118"/>
      <c r="AD1238" s="693"/>
      <c r="AE1238" s="693"/>
    </row>
    <row r="1239" spans="2:31" ht="19.350000000000001" customHeight="1" x14ac:dyDescent="0.2">
      <c r="B1239" s="705"/>
      <c r="C1239" s="704"/>
      <c r="D1239" s="144"/>
      <c r="E1239" s="704"/>
      <c r="F1239" s="118"/>
      <c r="G1239" s="118"/>
      <c r="H1239" s="118"/>
      <c r="I1239" s="118"/>
      <c r="J1239" s="118"/>
      <c r="K1239" s="118"/>
      <c r="L1239" s="118"/>
      <c r="M1239" s="118"/>
      <c r="N1239" s="118"/>
      <c r="O1239" s="118"/>
      <c r="P1239" s="118"/>
      <c r="Q1239" s="118"/>
      <c r="R1239" s="118"/>
      <c r="S1239" s="118"/>
      <c r="T1239" s="118"/>
      <c r="U1239" s="118"/>
      <c r="V1239" s="118"/>
      <c r="W1239" s="118"/>
      <c r="X1239" s="118"/>
      <c r="Y1239" s="144"/>
      <c r="Z1239" s="144"/>
      <c r="AA1239" s="118"/>
      <c r="AB1239" s="118"/>
      <c r="AC1239" s="118"/>
      <c r="AD1239" s="693"/>
      <c r="AE1239" s="693"/>
    </row>
    <row r="1240" spans="2:31" ht="19.350000000000001" customHeight="1" x14ac:dyDescent="0.2">
      <c r="B1240" s="705"/>
      <c r="C1240" s="704"/>
      <c r="D1240" s="144"/>
      <c r="E1240" s="704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18"/>
      <c r="T1240" s="118"/>
      <c r="U1240" s="144"/>
      <c r="V1240" s="146"/>
      <c r="W1240" s="144"/>
      <c r="X1240" s="146"/>
      <c r="Y1240" s="146"/>
      <c r="Z1240" s="118"/>
      <c r="AA1240" s="118"/>
      <c r="AB1240" s="118"/>
      <c r="AC1240" s="118"/>
      <c r="AD1240" s="693"/>
      <c r="AE1240" s="693"/>
    </row>
    <row r="1241" spans="2:31" ht="19.350000000000001" customHeight="1" x14ac:dyDescent="0.2">
      <c r="B1241" s="705"/>
      <c r="C1241" s="704"/>
      <c r="D1241" s="142"/>
      <c r="E1241" s="704"/>
      <c r="F1241" s="118"/>
      <c r="G1241" s="118"/>
      <c r="H1241" s="118"/>
      <c r="I1241" s="118"/>
      <c r="J1241" s="118"/>
      <c r="K1241" s="118"/>
      <c r="L1241" s="118"/>
      <c r="M1241" s="118"/>
      <c r="N1241" s="118"/>
      <c r="O1241" s="118"/>
      <c r="P1241" s="118"/>
      <c r="Q1241" s="118"/>
      <c r="R1241" s="118"/>
      <c r="S1241" s="144"/>
      <c r="T1241" s="144"/>
      <c r="U1241" s="144"/>
      <c r="V1241" s="144"/>
      <c r="W1241" s="144"/>
      <c r="X1241" s="144"/>
      <c r="Y1241" s="144"/>
      <c r="Z1241" s="118"/>
      <c r="AA1241" s="118"/>
      <c r="AB1241" s="118"/>
      <c r="AC1241" s="118"/>
      <c r="AD1241" s="693"/>
      <c r="AE1241" s="693"/>
    </row>
    <row r="1242" spans="2:31" ht="19.350000000000001" customHeight="1" x14ac:dyDescent="0.2">
      <c r="B1242" s="705"/>
      <c r="C1242" s="704"/>
      <c r="D1242" s="144"/>
      <c r="E1242" s="704"/>
      <c r="F1242" s="118"/>
      <c r="G1242" s="118"/>
      <c r="H1242" s="118"/>
      <c r="I1242" s="118"/>
      <c r="J1242" s="118"/>
      <c r="K1242" s="118"/>
      <c r="L1242" s="118"/>
      <c r="M1242" s="118"/>
      <c r="N1242" s="118"/>
      <c r="O1242" s="118"/>
      <c r="P1242" s="118"/>
      <c r="Q1242" s="118"/>
      <c r="R1242" s="118"/>
      <c r="S1242" s="146"/>
      <c r="T1242" s="146"/>
      <c r="U1242" s="146"/>
      <c r="V1242" s="146"/>
      <c r="W1242" s="146"/>
      <c r="X1242" s="146"/>
      <c r="Y1242" s="146"/>
      <c r="Z1242" s="118"/>
      <c r="AA1242" s="118"/>
      <c r="AB1242" s="118"/>
      <c r="AC1242" s="118"/>
      <c r="AD1242" s="693"/>
      <c r="AE1242" s="693"/>
    </row>
    <row r="1243" spans="2:31" ht="19.350000000000001" customHeight="1" x14ac:dyDescent="0.2">
      <c r="B1243" s="705"/>
      <c r="C1243" s="704"/>
      <c r="D1243" s="144"/>
      <c r="E1243" s="704"/>
      <c r="F1243" s="118"/>
      <c r="G1243" s="118"/>
      <c r="H1243" s="118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46"/>
      <c r="T1243" s="146"/>
      <c r="U1243" s="146"/>
      <c r="V1243" s="146"/>
      <c r="W1243" s="144"/>
      <c r="X1243" s="146"/>
      <c r="Y1243" s="144"/>
      <c r="Z1243" s="118"/>
      <c r="AA1243" s="118"/>
      <c r="AB1243" s="118"/>
      <c r="AC1243" s="118"/>
      <c r="AD1243" s="693"/>
      <c r="AE1243" s="693"/>
    </row>
    <row r="1244" spans="2:31" ht="19.350000000000001" customHeight="1" x14ac:dyDescent="0.2">
      <c r="B1244" s="705"/>
      <c r="C1244" s="704"/>
      <c r="D1244" s="144"/>
      <c r="E1244" s="704"/>
      <c r="F1244" s="118"/>
      <c r="G1244" s="118"/>
      <c r="H1244" s="118"/>
      <c r="I1244" s="118"/>
      <c r="J1244" s="118"/>
      <c r="K1244" s="118"/>
      <c r="L1244" s="118"/>
      <c r="M1244" s="118"/>
      <c r="N1244" s="118"/>
      <c r="O1244" s="118"/>
      <c r="P1244" s="118"/>
      <c r="Q1244" s="118"/>
      <c r="R1244" s="118"/>
      <c r="S1244" s="139"/>
      <c r="T1244" s="139"/>
      <c r="U1244" s="118"/>
      <c r="V1244" s="146"/>
      <c r="W1244" s="146"/>
      <c r="X1244" s="146"/>
      <c r="Y1244" s="146"/>
      <c r="Z1244" s="146"/>
      <c r="AA1244" s="146"/>
      <c r="AB1244" s="146"/>
      <c r="AC1244" s="146"/>
      <c r="AD1244" s="693"/>
      <c r="AE1244" s="693"/>
    </row>
    <row r="1245" spans="2:31" ht="19.350000000000001" customHeight="1" x14ac:dyDescent="0.2">
      <c r="B1245" s="705"/>
      <c r="C1245" s="704"/>
      <c r="D1245" s="144"/>
      <c r="E1245" s="704"/>
      <c r="F1245" s="118"/>
      <c r="G1245" s="118"/>
      <c r="H1245" s="118"/>
      <c r="I1245" s="118"/>
      <c r="J1245" s="118"/>
      <c r="K1245" s="118"/>
      <c r="L1245" s="118"/>
      <c r="M1245" s="118"/>
      <c r="N1245" s="118"/>
      <c r="O1245" s="118"/>
      <c r="P1245" s="118"/>
      <c r="Q1245" s="118"/>
      <c r="R1245" s="118"/>
      <c r="S1245" s="139"/>
      <c r="T1245" s="139"/>
      <c r="U1245" s="118"/>
      <c r="V1245" s="146"/>
      <c r="W1245" s="146"/>
      <c r="X1245" s="146"/>
      <c r="Y1245" s="144"/>
      <c r="Z1245" s="146"/>
      <c r="AA1245" s="146"/>
      <c r="AB1245" s="146"/>
      <c r="AC1245" s="146"/>
      <c r="AD1245" s="693"/>
      <c r="AE1245" s="693"/>
    </row>
    <row r="1246" spans="2:31" ht="19.350000000000001" customHeight="1" x14ac:dyDescent="0.2">
      <c r="B1246" s="705"/>
      <c r="C1246" s="704"/>
      <c r="D1246" s="144"/>
      <c r="E1246" s="704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18"/>
      <c r="S1246" s="139"/>
      <c r="T1246" s="139"/>
      <c r="U1246" s="118"/>
      <c r="V1246" s="146"/>
      <c r="W1246" s="146"/>
      <c r="X1246" s="146"/>
      <c r="Y1246" s="146"/>
      <c r="Z1246" s="146"/>
      <c r="AA1246" s="146"/>
      <c r="AB1246" s="146"/>
      <c r="AC1246" s="146"/>
      <c r="AD1246" s="693"/>
      <c r="AE1246" s="693"/>
    </row>
    <row r="1247" spans="2:31" ht="19.350000000000001" customHeight="1" x14ac:dyDescent="0.2">
      <c r="B1247" s="705"/>
      <c r="C1247" s="704"/>
      <c r="D1247" s="146"/>
      <c r="E1247" s="704"/>
      <c r="F1247" s="118"/>
      <c r="G1247" s="146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18"/>
      <c r="W1247" s="118"/>
      <c r="X1247" s="118"/>
      <c r="Y1247" s="118"/>
      <c r="Z1247" s="118"/>
      <c r="AA1247" s="118"/>
      <c r="AB1247" s="118"/>
      <c r="AC1247" s="118"/>
      <c r="AD1247" s="693"/>
      <c r="AE1247" s="693"/>
    </row>
    <row r="1248" spans="2:31" ht="19.350000000000001" customHeight="1" x14ac:dyDescent="0.2">
      <c r="B1248" s="705"/>
      <c r="C1248" s="704"/>
      <c r="D1248" s="144"/>
      <c r="E1248" s="704"/>
      <c r="F1248" s="118"/>
      <c r="G1248" s="144"/>
      <c r="H1248" s="118"/>
      <c r="I1248" s="118"/>
      <c r="J1248" s="118"/>
      <c r="K1248" s="118"/>
      <c r="L1248" s="118"/>
      <c r="M1248" s="118"/>
      <c r="N1248" s="118"/>
      <c r="O1248" s="118"/>
      <c r="P1248" s="118"/>
      <c r="Q1248" s="118"/>
      <c r="R1248" s="118"/>
      <c r="S1248" s="118"/>
      <c r="T1248" s="118"/>
      <c r="U1248" s="118"/>
      <c r="V1248" s="118"/>
      <c r="W1248" s="118"/>
      <c r="X1248" s="118"/>
      <c r="Y1248" s="118"/>
      <c r="Z1248" s="118"/>
      <c r="AA1248" s="118"/>
      <c r="AB1248" s="118"/>
      <c r="AC1248" s="118"/>
      <c r="AD1248" s="693"/>
      <c r="AE1248" s="693"/>
    </row>
    <row r="1249" spans="2:31" ht="19.350000000000001" customHeight="1" x14ac:dyDescent="0.2">
      <c r="B1249" s="705"/>
      <c r="C1249" s="704"/>
      <c r="D1249" s="144"/>
      <c r="E1249" s="704"/>
      <c r="F1249" s="118"/>
      <c r="G1249" s="144"/>
      <c r="H1249" s="118"/>
      <c r="I1249" s="118"/>
      <c r="J1249" s="118"/>
      <c r="K1249" s="118"/>
      <c r="L1249" s="118"/>
      <c r="M1249" s="118"/>
      <c r="N1249" s="118"/>
      <c r="O1249" s="118"/>
      <c r="P1249" s="118"/>
      <c r="Q1249" s="118"/>
      <c r="R1249" s="118"/>
      <c r="S1249" s="118"/>
      <c r="T1249" s="118"/>
      <c r="U1249" s="118"/>
      <c r="V1249" s="118"/>
      <c r="W1249" s="118"/>
      <c r="X1249" s="118"/>
      <c r="Y1249" s="118"/>
      <c r="Z1249" s="118"/>
      <c r="AA1249" s="118"/>
      <c r="AB1249" s="118"/>
      <c r="AC1249" s="118"/>
      <c r="AD1249" s="693"/>
      <c r="AE1249" s="693"/>
    </row>
    <row r="1250" spans="2:31" ht="19.350000000000001" customHeight="1" x14ac:dyDescent="0.2">
      <c r="B1250" s="705"/>
      <c r="C1250" s="704"/>
      <c r="D1250" s="144"/>
      <c r="E1250" s="704"/>
      <c r="F1250" s="118"/>
      <c r="G1250" s="144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18"/>
      <c r="R1250" s="118"/>
      <c r="S1250" s="118"/>
      <c r="T1250" s="118"/>
      <c r="U1250" s="118"/>
      <c r="V1250" s="118"/>
      <c r="W1250" s="118"/>
      <c r="X1250" s="118"/>
      <c r="Y1250" s="118"/>
      <c r="Z1250" s="118"/>
      <c r="AA1250" s="118"/>
      <c r="AB1250" s="118"/>
      <c r="AC1250" s="118"/>
      <c r="AD1250" s="693"/>
      <c r="AE1250" s="693"/>
    </row>
    <row r="1251" spans="2:31" ht="19.350000000000001" customHeight="1" x14ac:dyDescent="0.2">
      <c r="B1251" s="705"/>
      <c r="C1251" s="704"/>
      <c r="D1251" s="144"/>
      <c r="E1251" s="704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46"/>
      <c r="U1251" s="144"/>
      <c r="V1251" s="144"/>
      <c r="W1251" s="144"/>
      <c r="X1251" s="146"/>
      <c r="Y1251" s="146"/>
      <c r="Z1251" s="144"/>
      <c r="AA1251" s="146"/>
      <c r="AB1251" s="118"/>
      <c r="AC1251" s="118"/>
      <c r="AD1251" s="693"/>
      <c r="AE1251" s="693"/>
    </row>
    <row r="1252" spans="2:31" ht="19.350000000000001" customHeight="1" x14ac:dyDescent="0.2">
      <c r="B1252" s="705"/>
      <c r="C1252" s="704"/>
      <c r="D1252" s="146"/>
      <c r="E1252" s="704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18"/>
      <c r="V1252" s="118"/>
      <c r="W1252" s="146"/>
      <c r="X1252" s="146"/>
      <c r="Y1252" s="146"/>
      <c r="Z1252" s="118"/>
      <c r="AA1252" s="118"/>
      <c r="AB1252" s="118"/>
      <c r="AC1252" s="118"/>
      <c r="AD1252" s="693"/>
      <c r="AE1252" s="693"/>
    </row>
    <row r="1253" spans="2:31" ht="19.350000000000001" customHeight="1" x14ac:dyDescent="0.2">
      <c r="B1253" s="705"/>
      <c r="C1253" s="704"/>
      <c r="D1253" s="144"/>
      <c r="E1253" s="704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46"/>
      <c r="U1253" s="146"/>
      <c r="V1253" s="146"/>
      <c r="W1253" s="146"/>
      <c r="X1253" s="144"/>
      <c r="Y1253" s="144"/>
      <c r="Z1253" s="146"/>
      <c r="AA1253" s="118"/>
      <c r="AB1253" s="118"/>
      <c r="AC1253" s="118"/>
      <c r="AD1253" s="693"/>
      <c r="AE1253" s="693"/>
    </row>
    <row r="1254" spans="2:31" ht="19.350000000000001" customHeight="1" x14ac:dyDescent="0.2">
      <c r="B1254" s="705"/>
      <c r="C1254" s="704"/>
      <c r="D1254" s="144"/>
      <c r="E1254" s="704"/>
      <c r="F1254" s="118"/>
      <c r="G1254" s="118"/>
      <c r="H1254" s="118"/>
      <c r="I1254" s="118"/>
      <c r="J1254" s="118"/>
      <c r="K1254" s="118"/>
      <c r="L1254" s="118"/>
      <c r="M1254" s="118"/>
      <c r="N1254" s="118"/>
      <c r="O1254" s="118"/>
      <c r="P1254" s="118"/>
      <c r="Q1254" s="118"/>
      <c r="R1254" s="118"/>
      <c r="S1254" s="118"/>
      <c r="T1254" s="139"/>
      <c r="U1254" s="144"/>
      <c r="V1254" s="144"/>
      <c r="W1254" s="146"/>
      <c r="X1254" s="118"/>
      <c r="Y1254" s="118"/>
      <c r="Z1254" s="144"/>
      <c r="AA1254" s="144"/>
      <c r="AB1254" s="118"/>
      <c r="AC1254" s="118"/>
      <c r="AD1254" s="693"/>
      <c r="AE1254" s="693"/>
    </row>
    <row r="1255" spans="2:31" ht="19.350000000000001" customHeight="1" x14ac:dyDescent="0.2">
      <c r="B1255" s="705"/>
      <c r="C1255" s="704"/>
      <c r="D1255" s="146"/>
      <c r="E1255" s="704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18"/>
      <c r="U1255" s="118"/>
      <c r="V1255" s="118"/>
      <c r="W1255" s="118"/>
      <c r="X1255" s="146"/>
      <c r="Y1255" s="146"/>
      <c r="Z1255" s="139"/>
      <c r="AA1255" s="139"/>
      <c r="AB1255" s="118"/>
      <c r="AC1255" s="118"/>
      <c r="AD1255" s="693"/>
      <c r="AE1255" s="693"/>
    </row>
    <row r="1256" spans="2:31" ht="19.350000000000001" customHeight="1" x14ac:dyDescent="0.2">
      <c r="B1256" s="705"/>
      <c r="C1256" s="704"/>
      <c r="D1256" s="142"/>
      <c r="E1256" s="704"/>
      <c r="F1256" s="118"/>
      <c r="G1256" s="118"/>
      <c r="H1256" s="118"/>
      <c r="I1256" s="118"/>
      <c r="J1256" s="118"/>
      <c r="K1256" s="118"/>
      <c r="L1256" s="118"/>
      <c r="M1256" s="118"/>
      <c r="N1256" s="118"/>
      <c r="O1256" s="118"/>
      <c r="P1256" s="118"/>
      <c r="Q1256" s="118"/>
      <c r="R1256" s="118"/>
      <c r="S1256" s="144"/>
      <c r="T1256" s="144"/>
      <c r="U1256" s="118"/>
      <c r="V1256" s="146"/>
      <c r="W1256" s="146"/>
      <c r="X1256" s="146"/>
      <c r="Y1256" s="144"/>
      <c r="Z1256" s="144"/>
      <c r="AA1256" s="144"/>
      <c r="AB1256" s="144"/>
      <c r="AC1256" s="146"/>
      <c r="AD1256" s="693"/>
      <c r="AE1256" s="693"/>
    </row>
    <row r="1257" spans="2:31" ht="19.350000000000001" customHeight="1" x14ac:dyDescent="0.2">
      <c r="B1257" s="705"/>
      <c r="C1257" s="704"/>
      <c r="D1257" s="146"/>
      <c r="E1257" s="704"/>
      <c r="F1257" s="118"/>
      <c r="G1257" s="118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39"/>
      <c r="V1257" s="139"/>
      <c r="W1257" s="139"/>
      <c r="X1257" s="139"/>
      <c r="Y1257" s="139"/>
      <c r="Z1257" s="118"/>
      <c r="AA1257" s="118"/>
      <c r="AB1257" s="118"/>
      <c r="AC1257" s="118"/>
      <c r="AD1257" s="693"/>
      <c r="AE1257" s="693"/>
    </row>
    <row r="1258" spans="2:31" ht="19.350000000000001" customHeight="1" x14ac:dyDescent="0.2">
      <c r="B1258" s="705"/>
      <c r="C1258" s="704"/>
      <c r="D1258" s="146"/>
      <c r="E1258" s="704"/>
      <c r="F1258" s="118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39"/>
      <c r="X1258" s="139"/>
      <c r="Y1258" s="139"/>
      <c r="Z1258" s="139"/>
      <c r="AA1258" s="139"/>
      <c r="AB1258" s="118"/>
      <c r="AC1258" s="118"/>
      <c r="AD1258" s="693"/>
      <c r="AE1258" s="693"/>
    </row>
    <row r="1259" spans="2:31" ht="19.350000000000001" customHeight="1" x14ac:dyDescent="0.2">
      <c r="B1259" s="705"/>
      <c r="C1259" s="704"/>
      <c r="D1259" s="146"/>
      <c r="E1259" s="704"/>
      <c r="F1259" s="118"/>
      <c r="G1259" s="118"/>
      <c r="H1259" s="118"/>
      <c r="I1259" s="118"/>
      <c r="J1259" s="118"/>
      <c r="K1259" s="118"/>
      <c r="L1259" s="118"/>
      <c r="M1259" s="118"/>
      <c r="N1259" s="118"/>
      <c r="O1259" s="118"/>
      <c r="P1259" s="118"/>
      <c r="Q1259" s="118"/>
      <c r="R1259" s="118"/>
      <c r="S1259" s="118"/>
      <c r="T1259" s="118"/>
      <c r="U1259" s="118"/>
      <c r="V1259" s="118"/>
      <c r="W1259" s="146"/>
      <c r="X1259" s="146"/>
      <c r="Y1259" s="146"/>
      <c r="Z1259" s="139"/>
      <c r="AA1259" s="139"/>
      <c r="AB1259" s="118"/>
      <c r="AC1259" s="118"/>
      <c r="AD1259" s="693"/>
      <c r="AE1259" s="693"/>
    </row>
    <row r="1260" spans="2:31" ht="19.350000000000001" customHeight="1" x14ac:dyDescent="0.2">
      <c r="B1260" s="705"/>
      <c r="C1260" s="704"/>
      <c r="D1260" s="139"/>
      <c r="E1260" s="704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18"/>
      <c r="W1260" s="118"/>
      <c r="X1260" s="118"/>
      <c r="Y1260" s="118"/>
      <c r="Z1260" s="139"/>
      <c r="AA1260" s="118"/>
      <c r="AB1260" s="118"/>
      <c r="AC1260" s="118"/>
      <c r="AD1260" s="693"/>
      <c r="AE1260" s="693"/>
    </row>
    <row r="1261" spans="2:31" ht="19.350000000000001" customHeight="1" x14ac:dyDescent="0.2">
      <c r="B1261" s="705"/>
      <c r="C1261" s="704"/>
      <c r="D1261" s="144"/>
      <c r="E1261" s="704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18"/>
      <c r="T1261" s="118"/>
      <c r="U1261" s="118"/>
      <c r="V1261" s="118"/>
      <c r="W1261" s="146"/>
      <c r="X1261" s="146"/>
      <c r="Y1261" s="146"/>
      <c r="Z1261" s="146"/>
      <c r="AA1261" s="139"/>
      <c r="AB1261" s="118"/>
      <c r="AC1261" s="118"/>
      <c r="AD1261" s="693"/>
      <c r="AE1261" s="693"/>
    </row>
    <row r="1262" spans="2:31" ht="19.350000000000001" customHeight="1" x14ac:dyDescent="0.2">
      <c r="B1262" s="705"/>
      <c r="C1262" s="704"/>
      <c r="D1262" s="146"/>
      <c r="E1262" s="704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18"/>
      <c r="V1262" s="118"/>
      <c r="W1262" s="118"/>
      <c r="X1262" s="146"/>
      <c r="Y1262" s="146"/>
      <c r="Z1262" s="139"/>
      <c r="AA1262" s="139"/>
      <c r="AB1262" s="139"/>
      <c r="AC1262" s="118"/>
      <c r="AD1262" s="693"/>
      <c r="AE1262" s="693"/>
    </row>
    <row r="1263" spans="2:31" ht="19.350000000000001" customHeight="1" x14ac:dyDescent="0.2">
      <c r="B1263" s="705"/>
      <c r="C1263" s="704"/>
      <c r="D1263" s="139"/>
      <c r="E1263" s="704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18"/>
      <c r="T1263" s="118"/>
      <c r="U1263" s="118"/>
      <c r="V1263" s="118"/>
      <c r="W1263" s="118"/>
      <c r="X1263" s="139"/>
      <c r="Y1263" s="118"/>
      <c r="Z1263" s="118"/>
      <c r="AA1263" s="118"/>
      <c r="AB1263" s="139"/>
      <c r="AC1263" s="118"/>
      <c r="AD1263" s="693"/>
      <c r="AE1263" s="693"/>
    </row>
    <row r="1264" spans="2:31" ht="19.350000000000001" customHeight="1" x14ac:dyDescent="0.2">
      <c r="B1264" s="705"/>
      <c r="C1264" s="704"/>
      <c r="D1264" s="139"/>
      <c r="E1264" s="704"/>
      <c r="F1264" s="118"/>
      <c r="G1264" s="118"/>
      <c r="H1264" s="118"/>
      <c r="I1264" s="118"/>
      <c r="J1264" s="118"/>
      <c r="K1264" s="118"/>
      <c r="L1264" s="118"/>
      <c r="M1264" s="118"/>
      <c r="N1264" s="118"/>
      <c r="O1264" s="118"/>
      <c r="P1264" s="118"/>
      <c r="Q1264" s="118"/>
      <c r="R1264" s="118"/>
      <c r="S1264" s="118"/>
      <c r="T1264" s="118"/>
      <c r="U1264" s="118"/>
      <c r="V1264" s="118"/>
      <c r="W1264" s="118"/>
      <c r="X1264" s="118"/>
      <c r="Y1264" s="118"/>
      <c r="Z1264" s="118"/>
      <c r="AA1264" s="139"/>
      <c r="AB1264" s="118"/>
      <c r="AC1264" s="118"/>
      <c r="AD1264" s="693"/>
      <c r="AE1264" s="693"/>
    </row>
    <row r="1265" spans="2:31" ht="19.350000000000001" customHeight="1" x14ac:dyDescent="0.2">
      <c r="B1265" s="705"/>
      <c r="C1265" s="704"/>
      <c r="D1265" s="146"/>
      <c r="E1265" s="704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18"/>
      <c r="Q1265" s="118"/>
      <c r="R1265" s="118"/>
      <c r="S1265" s="118"/>
      <c r="T1265" s="118"/>
      <c r="U1265" s="118"/>
      <c r="V1265" s="118"/>
      <c r="W1265" s="118"/>
      <c r="X1265" s="139"/>
      <c r="Y1265" s="139"/>
      <c r="Z1265" s="139"/>
      <c r="AA1265" s="139"/>
      <c r="AB1265" s="139"/>
      <c r="AC1265" s="118"/>
      <c r="AD1265" s="693"/>
      <c r="AE1265" s="693"/>
    </row>
    <row r="1266" spans="2:31" ht="19.350000000000001" customHeight="1" x14ac:dyDescent="0.2">
      <c r="B1266" s="705"/>
      <c r="C1266" s="704"/>
      <c r="D1266" s="146"/>
      <c r="E1266" s="704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18"/>
      <c r="T1266" s="118"/>
      <c r="U1266" s="118"/>
      <c r="V1266" s="118"/>
      <c r="W1266" s="118"/>
      <c r="X1266" s="146"/>
      <c r="Y1266" s="146"/>
      <c r="Z1266" s="139"/>
      <c r="AA1266" s="139"/>
      <c r="AB1266" s="139"/>
      <c r="AC1266" s="118"/>
      <c r="AD1266" s="693"/>
      <c r="AE1266" s="693"/>
    </row>
    <row r="1267" spans="2:31" ht="19.350000000000001" customHeight="1" x14ac:dyDescent="0.2">
      <c r="B1267" s="705"/>
      <c r="C1267" s="704"/>
      <c r="D1267" s="144"/>
      <c r="E1267" s="704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18"/>
      <c r="T1267" s="118"/>
      <c r="U1267" s="118"/>
      <c r="V1267" s="118"/>
      <c r="W1267" s="118"/>
      <c r="X1267" s="146"/>
      <c r="Y1267" s="146"/>
      <c r="Z1267" s="146"/>
      <c r="AA1267" s="146"/>
      <c r="AB1267" s="146"/>
      <c r="AC1267" s="118"/>
      <c r="AD1267" s="693"/>
      <c r="AE1267" s="693"/>
    </row>
    <row r="1268" spans="2:31" ht="19.350000000000001" customHeight="1" x14ac:dyDescent="0.2">
      <c r="B1268" s="705"/>
      <c r="C1268" s="704"/>
      <c r="D1268" s="146"/>
      <c r="E1268" s="704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18"/>
      <c r="T1268" s="118"/>
      <c r="U1268" s="118"/>
      <c r="V1268" s="118"/>
      <c r="W1268" s="118"/>
      <c r="X1268" s="139"/>
      <c r="Y1268" s="139"/>
      <c r="Z1268" s="139"/>
      <c r="AA1268" s="139"/>
      <c r="AB1268" s="139"/>
      <c r="AC1268" s="118"/>
      <c r="AD1268" s="693"/>
      <c r="AE1268" s="693"/>
    </row>
    <row r="1269" spans="2:31" ht="19.350000000000001" customHeight="1" x14ac:dyDescent="0.2">
      <c r="B1269" s="705"/>
      <c r="C1269" s="704"/>
      <c r="D1269" s="146"/>
      <c r="E1269" s="704"/>
      <c r="F1269" s="118"/>
      <c r="G1269" s="118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39"/>
      <c r="Y1269" s="139"/>
      <c r="Z1269" s="139"/>
      <c r="AA1269" s="139"/>
      <c r="AB1269" s="139"/>
      <c r="AC1269" s="118"/>
      <c r="AD1269" s="693"/>
      <c r="AE1269" s="693"/>
    </row>
    <row r="1270" spans="2:31" ht="19.350000000000001" customHeight="1" x14ac:dyDescent="0.2">
      <c r="B1270" s="705"/>
      <c r="C1270" s="704"/>
      <c r="D1270" s="146"/>
      <c r="E1270" s="704"/>
      <c r="F1270" s="118"/>
      <c r="G1270" s="118"/>
      <c r="H1270" s="118"/>
      <c r="I1270" s="118"/>
      <c r="J1270" s="118"/>
      <c r="K1270" s="118"/>
      <c r="L1270" s="118"/>
      <c r="M1270" s="118"/>
      <c r="N1270" s="118"/>
      <c r="O1270" s="118"/>
      <c r="P1270" s="118"/>
      <c r="Q1270" s="118"/>
      <c r="R1270" s="118"/>
      <c r="S1270" s="118"/>
      <c r="T1270" s="118"/>
      <c r="U1270" s="118"/>
      <c r="V1270" s="118"/>
      <c r="W1270" s="118"/>
      <c r="X1270" s="146"/>
      <c r="Y1270" s="146"/>
      <c r="Z1270" s="139"/>
      <c r="AA1270" s="139"/>
      <c r="AB1270" s="118"/>
      <c r="AC1270" s="118"/>
      <c r="AD1270" s="693"/>
      <c r="AE1270" s="693"/>
    </row>
    <row r="1271" spans="2:31" ht="19.350000000000001" customHeight="1" x14ac:dyDescent="0.2">
      <c r="B1271" s="705"/>
      <c r="C1271" s="704"/>
      <c r="D1271" s="146"/>
      <c r="E1271" s="704"/>
      <c r="F1271" s="118"/>
      <c r="G1271" s="118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46"/>
      <c r="Y1271" s="146"/>
      <c r="Z1271" s="139"/>
      <c r="AA1271" s="139"/>
      <c r="AB1271" s="118"/>
      <c r="AC1271" s="118"/>
      <c r="AD1271" s="693"/>
      <c r="AE1271" s="693"/>
    </row>
    <row r="1272" spans="2:31" ht="19.350000000000001" customHeight="1" x14ac:dyDescent="0.2">
      <c r="B1272" s="705"/>
      <c r="C1272" s="704"/>
      <c r="D1272" s="146"/>
      <c r="E1272" s="704"/>
      <c r="F1272" s="118"/>
      <c r="G1272" s="118"/>
      <c r="H1272" s="118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39"/>
      <c r="X1272" s="139"/>
      <c r="Y1272" s="139"/>
      <c r="Z1272" s="139"/>
      <c r="AA1272" s="139"/>
      <c r="AB1272" s="118"/>
      <c r="AC1272" s="118"/>
      <c r="AD1272" s="693"/>
      <c r="AE1272" s="693"/>
    </row>
    <row r="1273" spans="2:31" ht="19.350000000000001" customHeight="1" x14ac:dyDescent="0.2">
      <c r="B1273" s="705"/>
      <c r="C1273" s="704"/>
      <c r="D1273" s="146"/>
      <c r="E1273" s="704"/>
      <c r="F1273" s="118"/>
      <c r="G1273" s="118"/>
      <c r="H1273" s="118"/>
      <c r="I1273" s="118"/>
      <c r="J1273" s="118"/>
      <c r="K1273" s="118"/>
      <c r="L1273" s="118"/>
      <c r="M1273" s="118"/>
      <c r="N1273" s="118"/>
      <c r="O1273" s="118"/>
      <c r="P1273" s="118"/>
      <c r="Q1273" s="118"/>
      <c r="R1273" s="118"/>
      <c r="S1273" s="118"/>
      <c r="T1273" s="118"/>
      <c r="U1273" s="118"/>
      <c r="V1273" s="118"/>
      <c r="W1273" s="139"/>
      <c r="X1273" s="146"/>
      <c r="Y1273" s="146"/>
      <c r="Z1273" s="139"/>
      <c r="AA1273" s="139"/>
      <c r="AB1273" s="118"/>
      <c r="AC1273" s="118"/>
      <c r="AD1273" s="693"/>
      <c r="AE1273" s="693"/>
    </row>
    <row r="1274" spans="2:31" ht="19.350000000000001" customHeight="1" x14ac:dyDescent="0.2">
      <c r="B1274" s="705"/>
      <c r="C1274" s="704"/>
      <c r="D1274" s="146"/>
      <c r="E1274" s="704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18"/>
      <c r="W1274" s="139"/>
      <c r="X1274" s="146"/>
      <c r="Y1274" s="146"/>
      <c r="Z1274" s="146"/>
      <c r="AA1274" s="139"/>
      <c r="AB1274" s="118"/>
      <c r="AC1274" s="118"/>
      <c r="AD1274" s="693"/>
      <c r="AE1274" s="693"/>
    </row>
    <row r="1275" spans="2:31" ht="19.350000000000001" customHeight="1" x14ac:dyDescent="0.2">
      <c r="B1275" s="705"/>
      <c r="C1275" s="704"/>
      <c r="D1275" s="146"/>
      <c r="E1275" s="704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18"/>
      <c r="U1275" s="118"/>
      <c r="V1275" s="118"/>
      <c r="W1275" s="118"/>
      <c r="X1275" s="118"/>
      <c r="Y1275" s="146"/>
      <c r="Z1275" s="146"/>
      <c r="AA1275" s="118"/>
      <c r="AB1275" s="118"/>
      <c r="AC1275" s="118"/>
      <c r="AD1275" s="693"/>
      <c r="AE1275" s="693"/>
    </row>
    <row r="1276" spans="2:31" ht="19.350000000000001" customHeight="1" x14ac:dyDescent="0.2">
      <c r="B1276" s="705"/>
      <c r="C1276" s="704"/>
      <c r="D1276" s="139"/>
      <c r="E1276" s="704"/>
      <c r="F1276" s="118"/>
      <c r="G1276" s="118"/>
      <c r="H1276" s="118"/>
      <c r="I1276" s="118"/>
      <c r="J1276" s="118"/>
      <c r="K1276" s="118"/>
      <c r="L1276" s="118"/>
      <c r="M1276" s="118"/>
      <c r="N1276" s="118"/>
      <c r="O1276" s="118"/>
      <c r="P1276" s="118"/>
      <c r="Q1276" s="118"/>
      <c r="R1276" s="118"/>
      <c r="S1276" s="118"/>
      <c r="T1276" s="139"/>
      <c r="U1276" s="118"/>
      <c r="V1276" s="118"/>
      <c r="W1276" s="118"/>
      <c r="X1276" s="118"/>
      <c r="Y1276" s="118"/>
      <c r="Z1276" s="118"/>
      <c r="AA1276" s="118"/>
      <c r="AB1276" s="118"/>
      <c r="AC1276" s="118"/>
      <c r="AD1276" s="693"/>
      <c r="AE1276" s="693"/>
    </row>
    <row r="1277" spans="2:31" ht="19.350000000000001" customHeight="1" x14ac:dyDescent="0.2">
      <c r="B1277" s="705"/>
      <c r="C1277" s="704"/>
      <c r="D1277" s="139"/>
      <c r="E1277" s="704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18"/>
      <c r="Y1277" s="139"/>
      <c r="Z1277" s="118"/>
      <c r="AA1277" s="118"/>
      <c r="AB1277" s="118"/>
      <c r="AC1277" s="118"/>
      <c r="AD1277" s="693"/>
      <c r="AE1277" s="693"/>
    </row>
    <row r="1278" spans="2:31" ht="19.350000000000001" customHeight="1" x14ac:dyDescent="0.2">
      <c r="B1278" s="705"/>
      <c r="C1278" s="704"/>
      <c r="D1278" s="139"/>
      <c r="E1278" s="704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18"/>
      <c r="T1278" s="118"/>
      <c r="U1278" s="118"/>
      <c r="V1278" s="118"/>
      <c r="W1278" s="118"/>
      <c r="X1278" s="118"/>
      <c r="Y1278" s="118"/>
      <c r="Z1278" s="118"/>
      <c r="AA1278" s="118"/>
      <c r="AB1278" s="118"/>
      <c r="AC1278" s="139"/>
      <c r="AD1278" s="693"/>
      <c r="AE1278" s="693"/>
    </row>
    <row r="1279" spans="2:31" ht="19.350000000000001" customHeight="1" x14ac:dyDescent="0.2">
      <c r="B1279" s="705"/>
      <c r="C1279" s="704"/>
      <c r="D1279" s="149"/>
      <c r="E1279" s="704"/>
      <c r="F1279" s="140"/>
      <c r="G1279" s="142"/>
      <c r="H1279" s="140"/>
      <c r="I1279" s="142"/>
      <c r="J1279" s="140"/>
      <c r="K1279" s="140"/>
      <c r="L1279" s="140"/>
      <c r="M1279" s="140"/>
      <c r="N1279" s="140"/>
      <c r="O1279" s="140"/>
      <c r="P1279" s="140"/>
      <c r="Q1279" s="142"/>
      <c r="R1279" s="118"/>
      <c r="S1279" s="118"/>
      <c r="T1279" s="118"/>
      <c r="U1279" s="118"/>
      <c r="V1279" s="118"/>
      <c r="W1279" s="118"/>
      <c r="X1279" s="118"/>
      <c r="Y1279" s="118"/>
      <c r="Z1279" s="118"/>
      <c r="AA1279" s="118"/>
      <c r="AB1279" s="118"/>
      <c r="AC1279" s="118"/>
      <c r="AD1279" s="693"/>
      <c r="AE1279" s="693"/>
    </row>
    <row r="1280" spans="2:31" ht="19.350000000000001" customHeight="1" x14ac:dyDescent="0.2">
      <c r="B1280" s="705"/>
      <c r="C1280" s="704"/>
      <c r="D1280" s="142"/>
      <c r="E1280" s="704"/>
      <c r="F1280" s="118"/>
      <c r="G1280" s="118"/>
      <c r="H1280" s="118"/>
      <c r="I1280" s="118"/>
      <c r="J1280" s="118"/>
      <c r="K1280" s="118"/>
      <c r="L1280" s="118"/>
      <c r="M1280" s="139"/>
      <c r="N1280" s="144"/>
      <c r="O1280" s="144"/>
      <c r="P1280" s="144"/>
      <c r="Q1280" s="144"/>
      <c r="R1280" s="144"/>
      <c r="S1280" s="146"/>
      <c r="T1280" s="118"/>
      <c r="U1280" s="118"/>
      <c r="V1280" s="118"/>
      <c r="W1280" s="118"/>
      <c r="X1280" s="118"/>
      <c r="Y1280" s="118"/>
      <c r="Z1280" s="118"/>
      <c r="AA1280" s="118"/>
      <c r="AB1280" s="118"/>
      <c r="AC1280" s="118"/>
      <c r="AD1280" s="693"/>
      <c r="AE1280" s="693"/>
    </row>
    <row r="1281" spans="2:31" ht="19.350000000000001" customHeight="1" x14ac:dyDescent="0.2">
      <c r="B1281" s="705"/>
      <c r="C1281" s="704"/>
      <c r="D1281" s="144"/>
      <c r="E1281" s="704"/>
      <c r="F1281" s="144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18"/>
      <c r="W1281" s="118"/>
      <c r="X1281" s="118"/>
      <c r="Y1281" s="118"/>
      <c r="Z1281" s="118"/>
      <c r="AA1281" s="118"/>
      <c r="AB1281" s="118"/>
      <c r="AC1281" s="118"/>
      <c r="AD1281" s="693"/>
      <c r="AE1281" s="693"/>
    </row>
    <row r="1282" spans="2:31" ht="19.350000000000001" customHeight="1" x14ac:dyDescent="0.2">
      <c r="B1282" s="705"/>
      <c r="C1282" s="704"/>
      <c r="D1282" s="144"/>
      <c r="E1282" s="704"/>
      <c r="F1282" s="118"/>
      <c r="G1282" s="146"/>
      <c r="H1282" s="144"/>
      <c r="I1282" s="118"/>
      <c r="J1282" s="118"/>
      <c r="K1282" s="118"/>
      <c r="L1282" s="118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18"/>
      <c r="AA1282" s="118"/>
      <c r="AB1282" s="118"/>
      <c r="AC1282" s="118"/>
      <c r="AD1282" s="693"/>
      <c r="AE1282" s="693"/>
    </row>
    <row r="1283" spans="2:31" ht="19.350000000000001" customHeight="1" x14ac:dyDescent="0.2">
      <c r="B1283" s="705"/>
      <c r="C1283" s="704"/>
      <c r="D1283" s="144"/>
      <c r="E1283" s="704"/>
      <c r="F1283" s="118"/>
      <c r="G1283" s="146"/>
      <c r="H1283" s="144"/>
      <c r="I1283" s="118"/>
      <c r="J1283" s="118"/>
      <c r="K1283" s="118"/>
      <c r="L1283" s="118"/>
      <c r="M1283" s="118"/>
      <c r="N1283" s="118"/>
      <c r="O1283" s="118"/>
      <c r="P1283" s="118"/>
      <c r="Q1283" s="118"/>
      <c r="R1283" s="118"/>
      <c r="S1283" s="118"/>
      <c r="T1283" s="118"/>
      <c r="U1283" s="118"/>
      <c r="V1283" s="118"/>
      <c r="W1283" s="118"/>
      <c r="X1283" s="118"/>
      <c r="Y1283" s="118"/>
      <c r="Z1283" s="118"/>
      <c r="AA1283" s="118"/>
      <c r="AB1283" s="118"/>
      <c r="AC1283" s="118"/>
      <c r="AD1283" s="693"/>
      <c r="AE1283" s="693"/>
    </row>
    <row r="1284" spans="2:31" ht="19.350000000000001" customHeight="1" x14ac:dyDescent="0.2">
      <c r="B1284" s="705"/>
      <c r="C1284" s="704"/>
      <c r="D1284" s="139"/>
      <c r="E1284" s="704"/>
      <c r="F1284" s="118"/>
      <c r="G1284" s="118"/>
      <c r="H1284" s="118"/>
      <c r="I1284" s="118"/>
      <c r="J1284" s="118"/>
      <c r="K1284" s="118"/>
      <c r="L1284" s="118"/>
      <c r="M1284" s="118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18"/>
      <c r="Y1284" s="118"/>
      <c r="Z1284" s="118"/>
      <c r="AA1284" s="118"/>
      <c r="AB1284" s="139"/>
      <c r="AC1284" s="118"/>
      <c r="AD1284" s="693"/>
      <c r="AE1284" s="693"/>
    </row>
    <row r="1285" spans="2:31" ht="19.350000000000001" customHeight="1" x14ac:dyDescent="0.2">
      <c r="B1285" s="705"/>
      <c r="C1285" s="704"/>
      <c r="D1285" s="139"/>
      <c r="E1285" s="704"/>
      <c r="F1285" s="139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18"/>
      <c r="X1285" s="118"/>
      <c r="Y1285" s="118"/>
      <c r="Z1285" s="118"/>
      <c r="AA1285" s="118"/>
      <c r="AB1285" s="118"/>
      <c r="AC1285" s="118"/>
      <c r="AD1285" s="693"/>
      <c r="AE1285" s="693"/>
    </row>
    <row r="1286" spans="2:31" ht="19.350000000000001" customHeight="1" x14ac:dyDescent="0.2">
      <c r="B1286" s="705"/>
      <c r="C1286" s="704"/>
      <c r="D1286" s="146"/>
      <c r="E1286" s="704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39"/>
      <c r="Q1286" s="139"/>
      <c r="R1286" s="139"/>
      <c r="S1286" s="139"/>
      <c r="T1286" s="139"/>
      <c r="U1286" s="139"/>
      <c r="V1286" s="139"/>
      <c r="W1286" s="139"/>
      <c r="X1286" s="139"/>
      <c r="Y1286" s="139"/>
      <c r="Z1286" s="139"/>
      <c r="AA1286" s="139"/>
      <c r="AB1286" s="139"/>
      <c r="AC1286" s="139"/>
      <c r="AD1286" s="693"/>
      <c r="AE1286" s="693"/>
    </row>
    <row r="1287" spans="2:31" ht="19.350000000000001" customHeight="1" x14ac:dyDescent="0.2">
      <c r="B1287" s="705"/>
      <c r="C1287" s="704"/>
      <c r="D1287" s="146"/>
      <c r="E1287" s="704"/>
      <c r="F1287" s="118"/>
      <c r="G1287" s="118"/>
      <c r="H1287" s="118"/>
      <c r="I1287" s="139"/>
      <c r="J1287" s="139"/>
      <c r="K1287" s="139"/>
      <c r="L1287" s="139"/>
      <c r="M1287" s="139"/>
      <c r="N1287" s="139"/>
      <c r="O1287" s="139"/>
      <c r="P1287" s="139"/>
      <c r="Q1287" s="139"/>
      <c r="R1287" s="139"/>
      <c r="S1287" s="139"/>
      <c r="T1287" s="139"/>
      <c r="U1287" s="139"/>
      <c r="V1287" s="139"/>
      <c r="W1287" s="139"/>
      <c r="X1287" s="139"/>
      <c r="Y1287" s="139"/>
      <c r="Z1287" s="139"/>
      <c r="AA1287" s="139"/>
      <c r="AB1287" s="118"/>
      <c r="AC1287" s="139"/>
      <c r="AD1287" s="693"/>
      <c r="AE1287" s="693"/>
    </row>
    <row r="1288" spans="2:31" ht="19.350000000000001" customHeight="1" x14ac:dyDescent="0.2">
      <c r="B1288" s="705"/>
      <c r="C1288" s="704"/>
      <c r="D1288" s="142"/>
      <c r="E1288" s="704"/>
      <c r="F1288" s="118"/>
      <c r="G1288" s="118"/>
      <c r="H1288" s="118"/>
      <c r="I1288" s="146"/>
      <c r="J1288" s="146"/>
      <c r="K1288" s="146"/>
      <c r="L1288" s="146"/>
      <c r="M1288" s="146"/>
      <c r="N1288" s="146"/>
      <c r="O1288" s="146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18"/>
      <c r="AC1288" s="144"/>
      <c r="AD1288" s="693"/>
      <c r="AE1288" s="693"/>
    </row>
    <row r="1289" spans="2:31" ht="19.350000000000001" customHeight="1" x14ac:dyDescent="0.2">
      <c r="B1289" s="705"/>
      <c r="C1289" s="704"/>
      <c r="D1289" s="142"/>
      <c r="E1289" s="704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44"/>
      <c r="Q1289" s="144"/>
      <c r="R1289" s="144"/>
      <c r="S1289" s="144"/>
      <c r="T1289" s="144"/>
      <c r="U1289" s="144"/>
      <c r="V1289" s="144"/>
      <c r="W1289" s="144"/>
      <c r="X1289" s="146"/>
      <c r="Y1289" s="146"/>
      <c r="Z1289" s="146"/>
      <c r="AA1289" s="146"/>
      <c r="AB1289" s="146"/>
      <c r="AC1289" s="139"/>
      <c r="AD1289" s="693"/>
      <c r="AE1289" s="693"/>
    </row>
    <row r="1290" spans="2:31" ht="19.350000000000001" customHeight="1" x14ac:dyDescent="0.2">
      <c r="B1290" s="705"/>
      <c r="C1290" s="704"/>
      <c r="D1290" s="146"/>
      <c r="E1290" s="704"/>
      <c r="F1290" s="118"/>
      <c r="G1290" s="146"/>
      <c r="H1290" s="118"/>
      <c r="I1290" s="118"/>
      <c r="J1290" s="118"/>
      <c r="K1290" s="118"/>
      <c r="L1290" s="146"/>
      <c r="M1290" s="118"/>
      <c r="N1290" s="118"/>
      <c r="O1290" s="118"/>
      <c r="P1290" s="118"/>
      <c r="Q1290" s="118"/>
      <c r="R1290" s="118"/>
      <c r="S1290" s="118"/>
      <c r="T1290" s="118"/>
      <c r="U1290" s="118"/>
      <c r="V1290" s="118"/>
      <c r="W1290" s="118"/>
      <c r="X1290" s="118"/>
      <c r="Y1290" s="118"/>
      <c r="Z1290" s="118"/>
      <c r="AA1290" s="118"/>
      <c r="AB1290" s="118"/>
      <c r="AC1290" s="118"/>
      <c r="AD1290" s="693"/>
      <c r="AE1290" s="693"/>
    </row>
    <row r="1291" spans="2:31" ht="19.350000000000001" customHeight="1" x14ac:dyDescent="0.2">
      <c r="B1291" s="705"/>
      <c r="C1291" s="704"/>
      <c r="D1291" s="146"/>
      <c r="E1291" s="704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39"/>
      <c r="T1291" s="139"/>
      <c r="U1291" s="139"/>
      <c r="V1291" s="139"/>
      <c r="W1291" s="139"/>
      <c r="X1291" s="139"/>
      <c r="Y1291" s="139"/>
      <c r="Z1291" s="118"/>
      <c r="AA1291" s="118"/>
      <c r="AB1291" s="118"/>
      <c r="AC1291" s="118"/>
      <c r="AD1291" s="693"/>
      <c r="AE1291" s="693"/>
    </row>
    <row r="1292" spans="2:31" ht="19.350000000000001" customHeight="1" x14ac:dyDescent="0.2">
      <c r="B1292" s="705"/>
      <c r="C1292" s="704"/>
      <c r="D1292" s="139"/>
      <c r="E1292" s="704"/>
      <c r="F1292" s="139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18"/>
      <c r="Y1292" s="118"/>
      <c r="Z1292" s="118"/>
      <c r="AA1292" s="118"/>
      <c r="AB1292" s="118"/>
      <c r="AC1292" s="118"/>
      <c r="AD1292" s="693"/>
      <c r="AE1292" s="693"/>
    </row>
    <row r="1293" spans="2:31" ht="19.350000000000001" customHeight="1" x14ac:dyDescent="0.2">
      <c r="B1293" s="705"/>
      <c r="C1293" s="704"/>
      <c r="D1293" s="146"/>
      <c r="E1293" s="704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18"/>
      <c r="X1293" s="118"/>
      <c r="Y1293" s="118"/>
      <c r="Z1293" s="118"/>
      <c r="AA1293" s="118"/>
      <c r="AB1293" s="146"/>
      <c r="AC1293" s="118"/>
      <c r="AD1293" s="693"/>
      <c r="AE1293" s="693"/>
    </row>
    <row r="1294" spans="2:31" ht="19.350000000000001" customHeight="1" x14ac:dyDescent="0.2">
      <c r="B1294" s="705"/>
      <c r="C1294" s="704"/>
      <c r="D1294" s="144"/>
      <c r="E1294" s="704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44"/>
      <c r="T1294" s="144"/>
      <c r="U1294" s="144"/>
      <c r="V1294" s="144"/>
      <c r="W1294" s="144"/>
      <c r="X1294" s="144"/>
      <c r="Y1294" s="144"/>
      <c r="Z1294" s="118"/>
      <c r="AA1294" s="118"/>
      <c r="AB1294" s="118"/>
      <c r="AC1294" s="118"/>
      <c r="AD1294" s="693"/>
      <c r="AE1294" s="693"/>
    </row>
    <row r="1295" spans="2:31" ht="19.350000000000001" customHeight="1" x14ac:dyDescent="0.2">
      <c r="B1295" s="705"/>
      <c r="C1295" s="704"/>
      <c r="D1295" s="144"/>
      <c r="E1295" s="704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18"/>
      <c r="Q1295" s="118"/>
      <c r="R1295" s="118"/>
      <c r="S1295" s="144"/>
      <c r="T1295" s="144"/>
      <c r="U1295" s="144"/>
      <c r="V1295" s="144"/>
      <c r="W1295" s="144"/>
      <c r="X1295" s="144"/>
      <c r="Y1295" s="144"/>
      <c r="Z1295" s="118"/>
      <c r="AA1295" s="118"/>
      <c r="AB1295" s="118"/>
      <c r="AC1295" s="118"/>
      <c r="AD1295" s="693"/>
      <c r="AE1295" s="693"/>
    </row>
    <row r="1296" spans="2:31" ht="19.350000000000001" customHeight="1" x14ac:dyDescent="0.2">
      <c r="B1296" s="705"/>
      <c r="C1296" s="704"/>
      <c r="D1296" s="146"/>
      <c r="E1296" s="704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18"/>
      <c r="R1296" s="118"/>
      <c r="S1296" s="146"/>
      <c r="T1296" s="146"/>
      <c r="U1296" s="146"/>
      <c r="V1296" s="146"/>
      <c r="W1296" s="146"/>
      <c r="X1296" s="146"/>
      <c r="Y1296" s="146"/>
      <c r="Z1296" s="118"/>
      <c r="AA1296" s="118"/>
      <c r="AB1296" s="118"/>
      <c r="AC1296" s="118"/>
      <c r="AD1296" s="693"/>
      <c r="AE1296" s="693"/>
    </row>
    <row r="1297" spans="2:31" ht="19.350000000000001" customHeight="1" x14ac:dyDescent="0.2">
      <c r="B1297" s="124"/>
      <c r="C1297" s="124"/>
      <c r="D1297" s="124"/>
      <c r="E1297" s="124"/>
      <c r="F1297" s="124"/>
      <c r="G1297" s="124"/>
      <c r="H1297" s="124"/>
      <c r="I1297" s="124"/>
      <c r="J1297" s="124"/>
      <c r="K1297" s="124"/>
      <c r="L1297" s="124"/>
      <c r="M1297" s="124"/>
      <c r="N1297" s="124"/>
      <c r="O1297" s="124"/>
      <c r="P1297" s="124"/>
      <c r="Q1297" s="124"/>
      <c r="R1297" s="124"/>
      <c r="S1297" s="124"/>
      <c r="T1297" s="124"/>
      <c r="U1297" s="124"/>
      <c r="V1297" s="124"/>
      <c r="W1297" s="124"/>
      <c r="X1297" s="124"/>
      <c r="Y1297" s="124"/>
      <c r="Z1297" s="124"/>
      <c r="AA1297" s="124"/>
      <c r="AB1297" s="124"/>
      <c r="AC1297" s="124"/>
      <c r="AD1297" s="693"/>
      <c r="AE1297" s="693"/>
    </row>
    <row r="1298" spans="2:31" ht="19.350000000000001" customHeight="1" x14ac:dyDescent="0.2">
      <c r="B1298" s="706"/>
      <c r="C1298" s="704"/>
      <c r="D1298" s="140"/>
      <c r="E1298" s="704"/>
      <c r="F1298" s="142"/>
      <c r="G1298" s="142"/>
      <c r="H1298" s="142"/>
      <c r="I1298" s="142"/>
      <c r="J1298" s="142"/>
      <c r="K1298" s="142"/>
      <c r="L1298" s="142"/>
      <c r="M1298" s="142"/>
      <c r="N1298" s="142"/>
      <c r="O1298" s="142"/>
      <c r="P1298" s="142"/>
      <c r="Q1298" s="142"/>
      <c r="R1298" s="142"/>
      <c r="S1298" s="142"/>
      <c r="T1298" s="142"/>
      <c r="U1298" s="142"/>
      <c r="V1298" s="142"/>
      <c r="W1298" s="142"/>
      <c r="X1298" s="142"/>
      <c r="Y1298" s="142"/>
      <c r="Z1298" s="142"/>
      <c r="AA1298" s="142"/>
      <c r="AB1298" s="142"/>
      <c r="AC1298" s="142"/>
      <c r="AD1298" s="693"/>
      <c r="AE1298" s="693"/>
    </row>
    <row r="1299" spans="2:31" ht="19.350000000000001" customHeight="1" x14ac:dyDescent="0.2">
      <c r="B1299" s="706"/>
      <c r="C1299" s="704"/>
      <c r="D1299" s="142"/>
      <c r="E1299" s="70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693"/>
      <c r="AE1299" s="693"/>
    </row>
    <row r="1300" spans="2:31" ht="19.350000000000001" customHeight="1" x14ac:dyDescent="0.2">
      <c r="B1300" s="706"/>
      <c r="C1300" s="704"/>
      <c r="D1300" s="142"/>
      <c r="E1300" s="704"/>
      <c r="F1300" s="118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693"/>
      <c r="AE1300" s="693"/>
    </row>
    <row r="1301" spans="2:31" ht="19.350000000000001" customHeight="1" x14ac:dyDescent="0.2">
      <c r="B1301" s="706"/>
      <c r="C1301" s="704"/>
      <c r="D1301" s="139"/>
      <c r="E1301" s="704"/>
      <c r="F1301" s="118"/>
      <c r="G1301" s="118"/>
      <c r="H1301" s="118"/>
      <c r="I1301" s="118"/>
      <c r="J1301" s="118"/>
      <c r="K1301" s="118"/>
      <c r="L1301" s="118"/>
      <c r="M1301" s="118"/>
      <c r="N1301" s="139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18"/>
      <c r="AC1301" s="118"/>
      <c r="AD1301" s="693"/>
      <c r="AE1301" s="693"/>
    </row>
    <row r="1302" spans="2:31" ht="19.350000000000001" customHeight="1" x14ac:dyDescent="0.2">
      <c r="B1302" s="219"/>
      <c r="C1302" s="704"/>
      <c r="D1302" s="144"/>
      <c r="E1302" s="704"/>
      <c r="F1302" s="146"/>
      <c r="G1302" s="146"/>
      <c r="H1302" s="146"/>
      <c r="I1302" s="146"/>
      <c r="J1302" s="146"/>
      <c r="K1302" s="146"/>
      <c r="L1302" s="146"/>
      <c r="M1302" s="146"/>
      <c r="N1302" s="146"/>
      <c r="O1302" s="146"/>
      <c r="P1302" s="146"/>
      <c r="Q1302" s="146"/>
      <c r="R1302" s="146"/>
      <c r="S1302" s="146"/>
      <c r="T1302" s="146"/>
      <c r="U1302" s="146"/>
      <c r="V1302" s="146"/>
      <c r="W1302" s="146"/>
      <c r="X1302" s="146"/>
      <c r="Y1302" s="146"/>
      <c r="Z1302" s="146"/>
      <c r="AA1302" s="146"/>
      <c r="AB1302" s="146"/>
      <c r="AC1302" s="146"/>
      <c r="AD1302" s="693"/>
      <c r="AE1302" s="693"/>
    </row>
    <row r="1303" spans="2:31" ht="19.350000000000001" customHeight="1" x14ac:dyDescent="0.2">
      <c r="B1303" s="219"/>
      <c r="C1303" s="704"/>
      <c r="D1303" s="142"/>
      <c r="E1303" s="704"/>
      <c r="F1303" s="118"/>
      <c r="G1303" s="118"/>
      <c r="H1303" s="118"/>
      <c r="I1303" s="118"/>
      <c r="J1303" s="118"/>
      <c r="K1303" s="118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693"/>
      <c r="AE1303" s="693"/>
    </row>
    <row r="1304" spans="2:31" ht="19.350000000000001" customHeight="1" x14ac:dyDescent="0.2">
      <c r="B1304" s="707"/>
      <c r="C1304" s="704"/>
      <c r="D1304" s="139"/>
      <c r="E1304" s="704"/>
      <c r="F1304" s="139"/>
      <c r="G1304" s="139"/>
      <c r="H1304" s="139"/>
      <c r="I1304" s="139"/>
      <c r="J1304" s="139"/>
      <c r="K1304" s="139"/>
      <c r="L1304" s="139"/>
      <c r="M1304" s="139"/>
      <c r="N1304" s="139"/>
      <c r="O1304" s="139"/>
      <c r="P1304" s="139"/>
      <c r="Q1304" s="139"/>
      <c r="R1304" s="139"/>
      <c r="S1304" s="139"/>
      <c r="T1304" s="139"/>
      <c r="U1304" s="139"/>
      <c r="V1304" s="139"/>
      <c r="W1304" s="139"/>
      <c r="X1304" s="139"/>
      <c r="Y1304" s="139"/>
      <c r="Z1304" s="139"/>
      <c r="AA1304" s="139"/>
      <c r="AB1304" s="139"/>
      <c r="AC1304" s="139"/>
      <c r="AD1304" s="693"/>
      <c r="AE1304" s="693"/>
    </row>
    <row r="1305" spans="2:31" ht="19.350000000000001" customHeight="1" x14ac:dyDescent="0.2">
      <c r="B1305" s="707"/>
      <c r="C1305" s="704"/>
      <c r="D1305" s="139"/>
      <c r="E1305" s="704"/>
      <c r="F1305" s="139"/>
      <c r="G1305" s="139"/>
      <c r="H1305" s="139"/>
      <c r="I1305" s="139"/>
      <c r="J1305" s="139"/>
      <c r="K1305" s="139"/>
      <c r="L1305" s="139"/>
      <c r="M1305" s="139"/>
      <c r="N1305" s="139"/>
      <c r="O1305" s="139"/>
      <c r="P1305" s="139"/>
      <c r="Q1305" s="139"/>
      <c r="R1305" s="139"/>
      <c r="S1305" s="139"/>
      <c r="T1305" s="139"/>
      <c r="U1305" s="139"/>
      <c r="V1305" s="139"/>
      <c r="W1305" s="139"/>
      <c r="X1305" s="139"/>
      <c r="Y1305" s="139"/>
      <c r="Z1305" s="139"/>
      <c r="AA1305" s="139"/>
      <c r="AB1305" s="139"/>
      <c r="AC1305" s="139"/>
      <c r="AD1305" s="693"/>
      <c r="AE1305" s="693"/>
    </row>
    <row r="1306" spans="2:31" ht="19.350000000000001" customHeight="1" x14ac:dyDescent="0.2">
      <c r="B1306" s="707"/>
      <c r="C1306" s="704"/>
      <c r="D1306" s="146"/>
      <c r="E1306" s="704"/>
      <c r="F1306" s="139"/>
      <c r="G1306" s="139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39"/>
      <c r="R1306" s="139"/>
      <c r="S1306" s="139"/>
      <c r="T1306" s="139"/>
      <c r="U1306" s="139"/>
      <c r="V1306" s="139"/>
      <c r="W1306" s="139"/>
      <c r="X1306" s="139"/>
      <c r="Y1306" s="139"/>
      <c r="Z1306" s="139"/>
      <c r="AA1306" s="139"/>
      <c r="AB1306" s="139"/>
      <c r="AC1306" s="139"/>
      <c r="AD1306" s="693"/>
      <c r="AE1306" s="693"/>
    </row>
    <row r="1307" spans="2:31" ht="19.350000000000001" customHeight="1" x14ac:dyDescent="0.2">
      <c r="B1307" s="707"/>
      <c r="C1307" s="704"/>
      <c r="D1307" s="139"/>
      <c r="E1307" s="704"/>
      <c r="F1307" s="118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39"/>
      <c r="AA1307" s="118"/>
      <c r="AB1307" s="118"/>
      <c r="AC1307" s="118"/>
      <c r="AD1307" s="693"/>
      <c r="AE1307" s="693"/>
    </row>
    <row r="1308" spans="2:31" ht="19.350000000000001" customHeight="1" x14ac:dyDescent="0.2">
      <c r="B1308" s="707"/>
      <c r="C1308" s="704"/>
      <c r="D1308" s="146"/>
      <c r="E1308" s="704"/>
      <c r="F1308" s="139"/>
      <c r="G1308" s="139"/>
      <c r="H1308" s="139"/>
      <c r="I1308" s="139"/>
      <c r="J1308" s="139"/>
      <c r="K1308" s="139"/>
      <c r="L1308" s="139"/>
      <c r="M1308" s="139"/>
      <c r="N1308" s="139"/>
      <c r="O1308" s="139"/>
      <c r="P1308" s="139"/>
      <c r="Q1308" s="139"/>
      <c r="R1308" s="139"/>
      <c r="S1308" s="139"/>
      <c r="T1308" s="139"/>
      <c r="U1308" s="139"/>
      <c r="V1308" s="139"/>
      <c r="W1308" s="139"/>
      <c r="X1308" s="139"/>
      <c r="Y1308" s="139"/>
      <c r="Z1308" s="139"/>
      <c r="AA1308" s="139"/>
      <c r="AB1308" s="139"/>
      <c r="AC1308" s="139"/>
      <c r="AD1308" s="693"/>
      <c r="AE1308" s="693"/>
    </row>
    <row r="1309" spans="2:31" ht="19.350000000000001" customHeight="1" x14ac:dyDescent="0.2">
      <c r="B1309" s="707"/>
      <c r="C1309" s="704"/>
      <c r="D1309" s="146"/>
      <c r="E1309" s="704"/>
      <c r="F1309" s="139"/>
      <c r="G1309" s="139"/>
      <c r="H1309" s="139"/>
      <c r="I1309" s="139"/>
      <c r="J1309" s="139"/>
      <c r="K1309" s="139"/>
      <c r="L1309" s="139"/>
      <c r="M1309" s="139"/>
      <c r="N1309" s="139"/>
      <c r="O1309" s="139"/>
      <c r="P1309" s="139"/>
      <c r="Q1309" s="139"/>
      <c r="R1309" s="139"/>
      <c r="S1309" s="139"/>
      <c r="T1309" s="139"/>
      <c r="U1309" s="139"/>
      <c r="V1309" s="139"/>
      <c r="W1309" s="139"/>
      <c r="X1309" s="139"/>
      <c r="Y1309" s="139"/>
      <c r="Z1309" s="139"/>
      <c r="AA1309" s="139"/>
      <c r="AB1309" s="139"/>
      <c r="AC1309" s="139"/>
      <c r="AD1309" s="693"/>
      <c r="AE1309" s="693"/>
    </row>
    <row r="1310" spans="2:31" ht="19.350000000000001" customHeight="1" x14ac:dyDescent="0.2">
      <c r="B1310" s="707"/>
      <c r="C1310" s="704"/>
      <c r="D1310" s="144"/>
      <c r="E1310" s="704"/>
      <c r="F1310" s="144"/>
      <c r="G1310" s="144"/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18"/>
      <c r="U1310" s="118"/>
      <c r="V1310" s="118"/>
      <c r="W1310" s="118"/>
      <c r="X1310" s="118"/>
      <c r="Y1310" s="118"/>
      <c r="Z1310" s="118"/>
      <c r="AA1310" s="118"/>
      <c r="AB1310" s="118"/>
      <c r="AC1310" s="118"/>
      <c r="AD1310" s="693"/>
      <c r="AE1310" s="693"/>
    </row>
    <row r="1311" spans="2:31" ht="19.350000000000001" customHeight="1" x14ac:dyDescent="0.2">
      <c r="B1311" s="707"/>
      <c r="C1311" s="704"/>
      <c r="D1311" s="144"/>
      <c r="E1311" s="704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18"/>
      <c r="S1311" s="146"/>
      <c r="T1311" s="146"/>
      <c r="U1311" s="146"/>
      <c r="V1311" s="146"/>
      <c r="W1311" s="146"/>
      <c r="X1311" s="146"/>
      <c r="Y1311" s="146"/>
      <c r="Z1311" s="118"/>
      <c r="AA1311" s="118"/>
      <c r="AB1311" s="118"/>
      <c r="AC1311" s="118"/>
      <c r="AD1311" s="693"/>
      <c r="AE1311" s="693"/>
    </row>
    <row r="1312" spans="2:31" ht="19.350000000000001" customHeight="1" x14ac:dyDescent="0.2">
      <c r="B1312" s="707"/>
      <c r="C1312" s="704"/>
      <c r="D1312" s="146"/>
      <c r="E1312" s="704"/>
      <c r="F1312" s="118"/>
      <c r="G1312" s="118"/>
      <c r="H1312" s="118"/>
      <c r="I1312" s="139"/>
      <c r="J1312" s="139"/>
      <c r="K1312" s="139"/>
      <c r="L1312" s="146"/>
      <c r="M1312" s="139"/>
      <c r="N1312" s="139"/>
      <c r="O1312" s="139"/>
      <c r="P1312" s="139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3"/>
      <c r="AE1312" s="693"/>
    </row>
    <row r="1313" spans="2:31" ht="19.350000000000001" customHeight="1" x14ac:dyDescent="0.2">
      <c r="B1313" s="705"/>
      <c r="C1313" s="704"/>
      <c r="D1313" s="146"/>
      <c r="E1313" s="704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39"/>
      <c r="T1313" s="139"/>
      <c r="U1313" s="139"/>
      <c r="V1313" s="139"/>
      <c r="W1313" s="139"/>
      <c r="X1313" s="139"/>
      <c r="Y1313" s="139"/>
      <c r="Z1313" s="118"/>
      <c r="AA1313" s="118"/>
      <c r="AB1313" s="118"/>
      <c r="AC1313" s="118"/>
      <c r="AD1313" s="693"/>
      <c r="AE1313" s="693"/>
    </row>
    <row r="1314" spans="2:31" ht="19.350000000000001" customHeight="1" x14ac:dyDescent="0.2">
      <c r="B1314" s="705"/>
      <c r="C1314" s="704"/>
      <c r="D1314" s="146"/>
      <c r="E1314" s="704"/>
      <c r="F1314" s="118"/>
      <c r="G1314" s="118"/>
      <c r="H1314" s="118"/>
      <c r="I1314" s="118"/>
      <c r="J1314" s="118"/>
      <c r="K1314" s="118"/>
      <c r="L1314" s="118"/>
      <c r="M1314" s="118"/>
      <c r="N1314" s="118"/>
      <c r="O1314" s="139"/>
      <c r="P1314" s="139"/>
      <c r="Q1314" s="118"/>
      <c r="R1314" s="118"/>
      <c r="S1314" s="118"/>
      <c r="T1314" s="118"/>
      <c r="U1314" s="118"/>
      <c r="V1314" s="118"/>
      <c r="W1314" s="118"/>
      <c r="X1314" s="118"/>
      <c r="Y1314" s="118"/>
      <c r="Z1314" s="118"/>
      <c r="AA1314" s="118"/>
      <c r="AB1314" s="118"/>
      <c r="AC1314" s="118"/>
      <c r="AD1314" s="693"/>
      <c r="AE1314" s="693"/>
    </row>
    <row r="1315" spans="2:31" ht="19.350000000000001" customHeight="1" x14ac:dyDescent="0.2">
      <c r="B1315" s="705"/>
      <c r="C1315" s="704"/>
      <c r="D1315" s="139"/>
      <c r="E1315" s="704"/>
      <c r="F1315" s="139"/>
      <c r="G1315" s="139"/>
      <c r="H1315" s="139"/>
      <c r="I1315" s="139"/>
      <c r="J1315" s="139"/>
      <c r="K1315" s="139"/>
      <c r="L1315" s="139"/>
      <c r="M1315" s="139"/>
      <c r="N1315" s="139"/>
      <c r="O1315" s="139"/>
      <c r="P1315" s="139"/>
      <c r="Q1315" s="139"/>
      <c r="R1315" s="139"/>
      <c r="S1315" s="139"/>
      <c r="T1315" s="139"/>
      <c r="U1315" s="139"/>
      <c r="V1315" s="139"/>
      <c r="W1315" s="139"/>
      <c r="X1315" s="139"/>
      <c r="Y1315" s="139"/>
      <c r="Z1315" s="139"/>
      <c r="AA1315" s="139"/>
      <c r="AB1315" s="139"/>
      <c r="AC1315" s="139"/>
      <c r="AD1315" s="693"/>
      <c r="AE1315" s="693"/>
    </row>
    <row r="1316" spans="2:31" ht="19.350000000000001" customHeight="1" x14ac:dyDescent="0.2">
      <c r="B1316" s="705"/>
      <c r="C1316" s="704"/>
      <c r="D1316" s="146"/>
      <c r="E1316" s="704"/>
      <c r="F1316" s="139"/>
      <c r="G1316" s="139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39"/>
      <c r="R1316" s="139"/>
      <c r="S1316" s="139"/>
      <c r="T1316" s="139"/>
      <c r="U1316" s="139"/>
      <c r="V1316" s="139"/>
      <c r="W1316" s="139"/>
      <c r="X1316" s="139"/>
      <c r="Y1316" s="139"/>
      <c r="Z1316" s="139"/>
      <c r="AA1316" s="139"/>
      <c r="AB1316" s="139"/>
      <c r="AC1316" s="139"/>
      <c r="AD1316" s="693"/>
      <c r="AE1316" s="693"/>
    </row>
    <row r="1317" spans="2:31" ht="19.350000000000001" customHeight="1" x14ac:dyDescent="0.2">
      <c r="B1317" s="705"/>
      <c r="C1317" s="704"/>
      <c r="D1317" s="144"/>
      <c r="E1317" s="704"/>
      <c r="F1317" s="139"/>
      <c r="G1317" s="139"/>
      <c r="H1317" s="139"/>
      <c r="I1317" s="139"/>
      <c r="J1317" s="139"/>
      <c r="K1317" s="139"/>
      <c r="L1317" s="139"/>
      <c r="M1317" s="139"/>
      <c r="N1317" s="139"/>
      <c r="O1317" s="139"/>
      <c r="P1317" s="139"/>
      <c r="Q1317" s="139"/>
      <c r="R1317" s="139"/>
      <c r="S1317" s="139"/>
      <c r="T1317" s="139"/>
      <c r="U1317" s="139"/>
      <c r="V1317" s="139"/>
      <c r="W1317" s="139"/>
      <c r="X1317" s="139"/>
      <c r="Y1317" s="139"/>
      <c r="Z1317" s="139"/>
      <c r="AA1317" s="139"/>
      <c r="AB1317" s="139"/>
      <c r="AC1317" s="139"/>
      <c r="AD1317" s="693"/>
      <c r="AE1317" s="693"/>
    </row>
    <row r="1318" spans="2:31" ht="19.350000000000001" customHeight="1" x14ac:dyDescent="0.2">
      <c r="B1318" s="705"/>
      <c r="C1318" s="704"/>
      <c r="D1318" s="144"/>
      <c r="E1318" s="704"/>
      <c r="F1318" s="139"/>
      <c r="G1318" s="139"/>
      <c r="H1318" s="139"/>
      <c r="I1318" s="139"/>
      <c r="J1318" s="139"/>
      <c r="K1318" s="139"/>
      <c r="L1318" s="139"/>
      <c r="M1318" s="139"/>
      <c r="N1318" s="139"/>
      <c r="O1318" s="139"/>
      <c r="P1318" s="139"/>
      <c r="Q1318" s="139"/>
      <c r="R1318" s="139"/>
      <c r="S1318" s="139"/>
      <c r="T1318" s="139"/>
      <c r="U1318" s="139"/>
      <c r="V1318" s="139"/>
      <c r="W1318" s="139"/>
      <c r="X1318" s="139"/>
      <c r="Y1318" s="139"/>
      <c r="Z1318" s="139"/>
      <c r="AA1318" s="139"/>
      <c r="AB1318" s="139"/>
      <c r="AC1318" s="139"/>
      <c r="AD1318" s="693"/>
      <c r="AE1318" s="693"/>
    </row>
    <row r="1319" spans="2:31" ht="19.350000000000001" customHeight="1" x14ac:dyDescent="0.2">
      <c r="B1319" s="705"/>
      <c r="C1319" s="704"/>
      <c r="D1319" s="144"/>
      <c r="E1319" s="704"/>
      <c r="F1319" s="139"/>
      <c r="G1319" s="139"/>
      <c r="H1319" s="139"/>
      <c r="I1319" s="139"/>
      <c r="J1319" s="139"/>
      <c r="K1319" s="139"/>
      <c r="L1319" s="139"/>
      <c r="M1319" s="139"/>
      <c r="N1319" s="139"/>
      <c r="O1319" s="139"/>
      <c r="P1319" s="139"/>
      <c r="Q1319" s="139"/>
      <c r="R1319" s="139"/>
      <c r="S1319" s="139"/>
      <c r="T1319" s="139"/>
      <c r="U1319" s="139"/>
      <c r="V1319" s="139"/>
      <c r="W1319" s="139"/>
      <c r="X1319" s="139"/>
      <c r="Y1319" s="139"/>
      <c r="Z1319" s="139"/>
      <c r="AA1319" s="139"/>
      <c r="AB1319" s="139"/>
      <c r="AC1319" s="139"/>
      <c r="AD1319" s="693"/>
      <c r="AE1319" s="693"/>
    </row>
    <row r="1320" spans="2:31" ht="19.350000000000001" customHeight="1" x14ac:dyDescent="0.2">
      <c r="B1320" s="705"/>
      <c r="C1320" s="704"/>
      <c r="D1320" s="144"/>
      <c r="E1320" s="704"/>
      <c r="F1320" s="146"/>
      <c r="G1320" s="146"/>
      <c r="H1320" s="146"/>
      <c r="I1320" s="146"/>
      <c r="J1320" s="146"/>
      <c r="K1320" s="146"/>
      <c r="L1320" s="146"/>
      <c r="M1320" s="146"/>
      <c r="N1320" s="146"/>
      <c r="O1320" s="146"/>
      <c r="P1320" s="146"/>
      <c r="Q1320" s="146"/>
      <c r="R1320" s="146"/>
      <c r="S1320" s="146"/>
      <c r="T1320" s="146"/>
      <c r="U1320" s="146"/>
      <c r="V1320" s="146"/>
      <c r="W1320" s="146"/>
      <c r="X1320" s="146"/>
      <c r="Y1320" s="146"/>
      <c r="Z1320" s="146"/>
      <c r="AA1320" s="146"/>
      <c r="AB1320" s="146"/>
      <c r="AC1320" s="146"/>
      <c r="AD1320" s="693"/>
      <c r="AE1320" s="693"/>
    </row>
    <row r="1321" spans="2:31" ht="19.350000000000001" customHeight="1" x14ac:dyDescent="0.2">
      <c r="B1321" s="705"/>
      <c r="C1321" s="704"/>
      <c r="D1321" s="146"/>
      <c r="E1321" s="704"/>
      <c r="F1321" s="139"/>
      <c r="G1321" s="139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39"/>
      <c r="R1321" s="139"/>
      <c r="S1321" s="139"/>
      <c r="T1321" s="139"/>
      <c r="U1321" s="139"/>
      <c r="V1321" s="139"/>
      <c r="W1321" s="139"/>
      <c r="X1321" s="139"/>
      <c r="Y1321" s="139"/>
      <c r="Z1321" s="139"/>
      <c r="AA1321" s="139"/>
      <c r="AB1321" s="139"/>
      <c r="AC1321" s="139"/>
      <c r="AD1321" s="693"/>
      <c r="AE1321" s="693"/>
    </row>
    <row r="1322" spans="2:31" ht="19.350000000000001" customHeight="1" x14ac:dyDescent="0.2">
      <c r="B1322" s="705"/>
      <c r="C1322" s="704"/>
      <c r="D1322" s="142"/>
      <c r="E1322" s="704"/>
      <c r="F1322" s="118"/>
      <c r="G1322" s="118"/>
      <c r="H1322" s="146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18"/>
      <c r="AB1322" s="118"/>
      <c r="AC1322" s="118"/>
      <c r="AD1322" s="693"/>
      <c r="AE1322" s="693"/>
    </row>
    <row r="1323" spans="2:31" ht="19.350000000000001" customHeight="1" x14ac:dyDescent="0.2">
      <c r="B1323" s="705"/>
      <c r="C1323" s="704"/>
      <c r="D1323" s="146"/>
      <c r="E1323" s="704"/>
      <c r="F1323" s="118"/>
      <c r="G1323" s="118"/>
      <c r="H1323" s="118"/>
      <c r="I1323" s="118"/>
      <c r="J1323" s="139"/>
      <c r="K1323" s="139"/>
      <c r="L1323" s="139"/>
      <c r="M1323" s="139"/>
      <c r="N1323" s="139"/>
      <c r="O1323" s="139"/>
      <c r="P1323" s="139"/>
      <c r="Q1323" s="139"/>
      <c r="R1323" s="139"/>
      <c r="S1323" s="139"/>
      <c r="T1323" s="139"/>
      <c r="U1323" s="139"/>
      <c r="V1323" s="139"/>
      <c r="W1323" s="139"/>
      <c r="X1323" s="139"/>
      <c r="Y1323" s="139"/>
      <c r="Z1323" s="139"/>
      <c r="AA1323" s="139"/>
      <c r="AB1323" s="139"/>
      <c r="AC1323" s="118"/>
      <c r="AD1323" s="693"/>
      <c r="AE1323" s="693"/>
    </row>
    <row r="1324" spans="2:31" ht="19.350000000000001" customHeight="1" x14ac:dyDescent="0.2">
      <c r="B1324" s="705"/>
      <c r="C1324" s="704"/>
      <c r="D1324" s="139"/>
      <c r="E1324" s="704"/>
      <c r="F1324" s="139"/>
      <c r="G1324" s="139"/>
      <c r="H1324" s="139"/>
      <c r="I1324" s="139"/>
      <c r="J1324" s="139"/>
      <c r="K1324" s="139"/>
      <c r="L1324" s="139"/>
      <c r="M1324" s="139"/>
      <c r="N1324" s="139"/>
      <c r="O1324" s="139"/>
      <c r="P1324" s="139"/>
      <c r="Q1324" s="139"/>
      <c r="R1324" s="139"/>
      <c r="S1324" s="139"/>
      <c r="T1324" s="139"/>
      <c r="U1324" s="139"/>
      <c r="V1324" s="139"/>
      <c r="W1324" s="139"/>
      <c r="X1324" s="139"/>
      <c r="Y1324" s="139"/>
      <c r="Z1324" s="139"/>
      <c r="AA1324" s="139"/>
      <c r="AB1324" s="139"/>
      <c r="AC1324" s="139"/>
      <c r="AD1324" s="693"/>
      <c r="AE1324" s="693"/>
    </row>
    <row r="1325" spans="2:31" ht="19.350000000000001" customHeight="1" x14ac:dyDescent="0.2">
      <c r="B1325" s="705"/>
      <c r="C1325" s="704"/>
      <c r="D1325" s="140"/>
      <c r="E1325" s="704"/>
      <c r="F1325" s="142"/>
      <c r="G1325" s="142"/>
      <c r="H1325" s="142"/>
      <c r="I1325" s="142"/>
      <c r="J1325" s="142"/>
      <c r="K1325" s="142"/>
      <c r="L1325" s="142"/>
      <c r="M1325" s="142"/>
      <c r="N1325" s="142"/>
      <c r="O1325" s="142"/>
      <c r="P1325" s="142"/>
      <c r="Q1325" s="142"/>
      <c r="R1325" s="142"/>
      <c r="S1325" s="142"/>
      <c r="T1325" s="142"/>
      <c r="U1325" s="142"/>
      <c r="V1325" s="142"/>
      <c r="W1325" s="142"/>
      <c r="X1325" s="142"/>
      <c r="Y1325" s="142"/>
      <c r="Z1325" s="142"/>
      <c r="AA1325" s="142"/>
      <c r="AB1325" s="142"/>
      <c r="AC1325" s="142"/>
      <c r="AD1325" s="693"/>
      <c r="AE1325" s="693"/>
    </row>
    <row r="1326" spans="2:31" ht="19.350000000000001" customHeight="1" x14ac:dyDescent="0.2">
      <c r="B1326" s="705"/>
      <c r="C1326" s="704"/>
      <c r="D1326" s="146"/>
      <c r="E1326" s="704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39"/>
      <c r="R1326" s="139"/>
      <c r="S1326" s="139"/>
      <c r="T1326" s="139"/>
      <c r="U1326" s="139"/>
      <c r="V1326" s="139"/>
      <c r="W1326" s="139"/>
      <c r="X1326" s="139"/>
      <c r="Y1326" s="139"/>
      <c r="Z1326" s="139"/>
      <c r="AA1326" s="139"/>
      <c r="AB1326" s="139"/>
      <c r="AC1326" s="139"/>
      <c r="AD1326" s="693"/>
      <c r="AE1326" s="693"/>
    </row>
    <row r="1327" spans="2:31" ht="19.350000000000001" customHeight="1" x14ac:dyDescent="0.2">
      <c r="B1327" s="705"/>
      <c r="C1327" s="704"/>
      <c r="D1327" s="146"/>
      <c r="E1327" s="704"/>
      <c r="F1327" s="139"/>
      <c r="G1327" s="139"/>
      <c r="H1327" s="139"/>
      <c r="I1327" s="139"/>
      <c r="J1327" s="139"/>
      <c r="K1327" s="139"/>
      <c r="L1327" s="139"/>
      <c r="M1327" s="139"/>
      <c r="N1327" s="139"/>
      <c r="O1327" s="139"/>
      <c r="P1327" s="139"/>
      <c r="Q1327" s="139"/>
      <c r="R1327" s="139"/>
      <c r="S1327" s="139"/>
      <c r="T1327" s="139"/>
      <c r="U1327" s="139"/>
      <c r="V1327" s="139"/>
      <c r="W1327" s="139"/>
      <c r="X1327" s="139"/>
      <c r="Y1327" s="139"/>
      <c r="Z1327" s="139"/>
      <c r="AA1327" s="139"/>
      <c r="AB1327" s="139"/>
      <c r="AC1327" s="139"/>
      <c r="AD1327" s="693"/>
      <c r="AE1327" s="693"/>
    </row>
    <row r="1328" spans="2:31" ht="19.350000000000001" customHeight="1" x14ac:dyDescent="0.2">
      <c r="B1328" s="705"/>
      <c r="C1328" s="704"/>
      <c r="D1328" s="146"/>
      <c r="E1328" s="704"/>
      <c r="F1328" s="139"/>
      <c r="G1328" s="139"/>
      <c r="H1328" s="139"/>
      <c r="I1328" s="139"/>
      <c r="J1328" s="139"/>
      <c r="K1328" s="139"/>
      <c r="L1328" s="139"/>
      <c r="M1328" s="139"/>
      <c r="N1328" s="139"/>
      <c r="O1328" s="139"/>
      <c r="P1328" s="139"/>
      <c r="Q1328" s="139"/>
      <c r="R1328" s="139"/>
      <c r="S1328" s="139"/>
      <c r="T1328" s="139"/>
      <c r="U1328" s="139"/>
      <c r="V1328" s="139"/>
      <c r="W1328" s="139"/>
      <c r="X1328" s="139"/>
      <c r="Y1328" s="139"/>
      <c r="Z1328" s="139"/>
      <c r="AA1328" s="139"/>
      <c r="AB1328" s="139"/>
      <c r="AC1328" s="139"/>
      <c r="AD1328" s="693"/>
      <c r="AE1328" s="693"/>
    </row>
    <row r="1329" spans="2:31" ht="19.350000000000001" customHeight="1" x14ac:dyDescent="0.2">
      <c r="B1329" s="705"/>
      <c r="C1329" s="704"/>
      <c r="D1329" s="139"/>
      <c r="E1329" s="704"/>
      <c r="F1329" s="139"/>
      <c r="G1329" s="139"/>
      <c r="H1329" s="139"/>
      <c r="I1329" s="139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18"/>
      <c r="AA1329" s="118"/>
      <c r="AB1329" s="118"/>
      <c r="AC1329" s="118"/>
      <c r="AD1329" s="693"/>
      <c r="AE1329" s="693"/>
    </row>
    <row r="1330" spans="2:31" ht="19.350000000000001" customHeight="1" x14ac:dyDescent="0.2">
      <c r="B1330" s="705"/>
      <c r="C1330" s="704"/>
      <c r="D1330" s="146"/>
      <c r="E1330" s="704"/>
      <c r="F1330" s="118"/>
      <c r="G1330" s="118"/>
      <c r="H1330" s="118"/>
      <c r="I1330" s="118"/>
      <c r="J1330" s="118"/>
      <c r="K1330" s="118"/>
      <c r="L1330" s="118"/>
      <c r="M1330" s="118"/>
      <c r="N1330" s="146"/>
      <c r="O1330" s="118"/>
      <c r="P1330" s="118"/>
      <c r="Q1330" s="118"/>
      <c r="R1330" s="118"/>
      <c r="S1330" s="118"/>
      <c r="T1330" s="118"/>
      <c r="U1330" s="118"/>
      <c r="V1330" s="118"/>
      <c r="W1330" s="118"/>
      <c r="X1330" s="118"/>
      <c r="Y1330" s="118"/>
      <c r="Z1330" s="118"/>
      <c r="AA1330" s="118"/>
      <c r="AB1330" s="118"/>
      <c r="AC1330" s="118"/>
      <c r="AD1330" s="693"/>
      <c r="AE1330" s="693"/>
    </row>
    <row r="1331" spans="2:31" ht="19.350000000000001" customHeight="1" x14ac:dyDescent="0.2">
      <c r="B1331" s="705"/>
      <c r="C1331" s="704"/>
      <c r="D1331" s="142"/>
      <c r="E1331" s="704"/>
      <c r="F1331" s="118"/>
      <c r="G1331" s="118"/>
      <c r="H1331" s="118"/>
      <c r="I1331" s="118"/>
      <c r="J1331" s="118"/>
      <c r="K1331" s="118"/>
      <c r="L1331" s="118"/>
      <c r="M1331" s="144"/>
      <c r="N1331" s="118"/>
      <c r="O1331" s="118"/>
      <c r="P1331" s="118"/>
      <c r="Q1331" s="118"/>
      <c r="R1331" s="118"/>
      <c r="S1331" s="146"/>
      <c r="T1331" s="144"/>
      <c r="U1331" s="144"/>
      <c r="V1331" s="146"/>
      <c r="W1331" s="144"/>
      <c r="X1331" s="146"/>
      <c r="Y1331" s="146"/>
      <c r="Z1331" s="118"/>
      <c r="AA1331" s="118"/>
      <c r="AB1331" s="118"/>
      <c r="AC1331" s="118"/>
      <c r="AD1331" s="693"/>
      <c r="AE1331" s="693"/>
    </row>
    <row r="1332" spans="2:31" ht="19.350000000000001" customHeight="1" x14ac:dyDescent="0.2">
      <c r="B1332" s="705"/>
      <c r="C1332" s="704"/>
      <c r="D1332" s="144"/>
      <c r="E1332" s="704"/>
      <c r="F1332" s="118"/>
      <c r="G1332" s="118"/>
      <c r="H1332" s="118"/>
      <c r="I1332" s="118"/>
      <c r="J1332" s="118"/>
      <c r="K1332" s="118"/>
      <c r="L1332" s="118"/>
      <c r="M1332" s="118"/>
      <c r="N1332" s="146"/>
      <c r="O1332" s="118"/>
      <c r="P1332" s="146"/>
      <c r="Q1332" s="146"/>
      <c r="R1332" s="146"/>
      <c r="S1332" s="146"/>
      <c r="T1332" s="146"/>
      <c r="U1332" s="146"/>
      <c r="V1332" s="146"/>
      <c r="W1332" s="146"/>
      <c r="X1332" s="146"/>
      <c r="Y1332" s="146"/>
      <c r="Z1332" s="146"/>
      <c r="AA1332" s="146"/>
      <c r="AB1332" s="146"/>
      <c r="AC1332" s="146"/>
      <c r="AD1332" s="693"/>
      <c r="AE1332" s="693"/>
    </row>
    <row r="1333" spans="2:31" ht="19.350000000000001" customHeight="1" x14ac:dyDescent="0.2">
      <c r="B1333" s="705"/>
      <c r="C1333" s="704"/>
      <c r="D1333" s="144"/>
      <c r="E1333" s="704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44"/>
      <c r="P1333" s="144"/>
      <c r="Q1333" s="118"/>
      <c r="R1333" s="118"/>
      <c r="S1333" s="118"/>
      <c r="T1333" s="118"/>
      <c r="U1333" s="118"/>
      <c r="V1333" s="118"/>
      <c r="W1333" s="118"/>
      <c r="X1333" s="118"/>
      <c r="Y1333" s="118"/>
      <c r="Z1333" s="118"/>
      <c r="AA1333" s="118"/>
      <c r="AB1333" s="118"/>
      <c r="AC1333" s="118"/>
      <c r="AD1333" s="693"/>
      <c r="AE1333" s="693"/>
    </row>
    <row r="1334" spans="2:31" ht="19.350000000000001" customHeight="1" x14ac:dyDescent="0.2">
      <c r="B1334" s="705"/>
      <c r="C1334" s="704"/>
      <c r="D1334" s="139"/>
      <c r="E1334" s="704"/>
      <c r="F1334" s="118"/>
      <c r="G1334" s="118"/>
      <c r="H1334" s="118"/>
      <c r="I1334" s="118"/>
      <c r="J1334" s="118"/>
      <c r="K1334" s="118"/>
      <c r="L1334" s="118"/>
      <c r="M1334" s="118"/>
      <c r="N1334" s="139"/>
      <c r="O1334" s="118"/>
      <c r="P1334" s="118"/>
      <c r="Q1334" s="118"/>
      <c r="R1334" s="118"/>
      <c r="S1334" s="118"/>
      <c r="T1334" s="118"/>
      <c r="U1334" s="118"/>
      <c r="V1334" s="118"/>
      <c r="W1334" s="118"/>
      <c r="X1334" s="118"/>
      <c r="Y1334" s="118"/>
      <c r="Z1334" s="118"/>
      <c r="AA1334" s="118"/>
      <c r="AB1334" s="118"/>
      <c r="AC1334" s="118"/>
      <c r="AD1334" s="693"/>
      <c r="AE1334" s="693"/>
    </row>
    <row r="1335" spans="2:31" ht="19.350000000000001" customHeight="1" x14ac:dyDescent="0.2">
      <c r="B1335" s="705"/>
      <c r="C1335" s="704"/>
      <c r="D1335" s="146"/>
      <c r="E1335" s="704"/>
      <c r="F1335" s="118"/>
      <c r="G1335" s="118"/>
      <c r="H1335" s="118"/>
      <c r="I1335" s="118"/>
      <c r="J1335" s="118"/>
      <c r="K1335" s="118"/>
      <c r="L1335" s="118"/>
      <c r="M1335" s="118"/>
      <c r="N1335" s="146"/>
      <c r="O1335" s="118"/>
      <c r="P1335" s="118"/>
      <c r="Q1335" s="118"/>
      <c r="R1335" s="118"/>
      <c r="S1335" s="118"/>
      <c r="T1335" s="118"/>
      <c r="U1335" s="118"/>
      <c r="V1335" s="118"/>
      <c r="W1335" s="118"/>
      <c r="X1335" s="118"/>
      <c r="Y1335" s="118"/>
      <c r="Z1335" s="118"/>
      <c r="AA1335" s="118"/>
      <c r="AB1335" s="118"/>
      <c r="AC1335" s="118"/>
      <c r="AD1335" s="693"/>
      <c r="AE1335" s="693"/>
    </row>
    <row r="1336" spans="2:31" ht="19.350000000000001" customHeight="1" x14ac:dyDescent="0.2">
      <c r="B1336" s="705"/>
      <c r="C1336" s="704"/>
      <c r="D1336" s="144"/>
      <c r="E1336" s="704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18"/>
      <c r="P1336" s="146"/>
      <c r="Q1336" s="146"/>
      <c r="R1336" s="146"/>
      <c r="S1336" s="146"/>
      <c r="T1336" s="146"/>
      <c r="U1336" s="146"/>
      <c r="V1336" s="146"/>
      <c r="W1336" s="146"/>
      <c r="X1336" s="146"/>
      <c r="Y1336" s="146"/>
      <c r="Z1336" s="146"/>
      <c r="AA1336" s="146"/>
      <c r="AB1336" s="146"/>
      <c r="AC1336" s="146"/>
      <c r="AD1336" s="693"/>
      <c r="AE1336" s="693"/>
    </row>
    <row r="1337" spans="2:31" ht="19.350000000000001" customHeight="1" x14ac:dyDescent="0.2">
      <c r="B1337" s="705"/>
      <c r="C1337" s="704"/>
      <c r="D1337" s="139"/>
      <c r="E1337" s="704"/>
      <c r="F1337" s="139"/>
      <c r="G1337" s="139"/>
      <c r="H1337" s="139"/>
      <c r="I1337" s="139"/>
      <c r="J1337" s="139"/>
      <c r="K1337" s="139"/>
      <c r="L1337" s="139"/>
      <c r="M1337" s="139"/>
      <c r="N1337" s="139"/>
      <c r="O1337" s="139"/>
      <c r="P1337" s="139"/>
      <c r="Q1337" s="139"/>
      <c r="R1337" s="139"/>
      <c r="S1337" s="139"/>
      <c r="T1337" s="139"/>
      <c r="U1337" s="139"/>
      <c r="V1337" s="139"/>
      <c r="W1337" s="139"/>
      <c r="X1337" s="139"/>
      <c r="Y1337" s="139"/>
      <c r="Z1337" s="139"/>
      <c r="AA1337" s="139"/>
      <c r="AB1337" s="139"/>
      <c r="AC1337" s="139"/>
      <c r="AD1337" s="693"/>
      <c r="AE1337" s="693"/>
    </row>
    <row r="1338" spans="2:31" ht="19.350000000000001" customHeight="1" x14ac:dyDescent="0.2">
      <c r="B1338" s="705"/>
      <c r="C1338" s="704"/>
      <c r="D1338" s="146"/>
      <c r="E1338" s="704"/>
      <c r="F1338" s="118"/>
      <c r="G1338" s="118"/>
      <c r="H1338" s="118"/>
      <c r="I1338" s="139"/>
      <c r="J1338" s="139"/>
      <c r="K1338" s="139"/>
      <c r="L1338" s="139"/>
      <c r="M1338" s="146"/>
      <c r="N1338" s="139"/>
      <c r="O1338" s="139"/>
      <c r="P1338" s="139"/>
      <c r="Q1338" s="118"/>
      <c r="R1338" s="118"/>
      <c r="S1338" s="118"/>
      <c r="T1338" s="118"/>
      <c r="U1338" s="118"/>
      <c r="V1338" s="118"/>
      <c r="W1338" s="118"/>
      <c r="X1338" s="118"/>
      <c r="Y1338" s="118"/>
      <c r="Z1338" s="118"/>
      <c r="AA1338" s="118"/>
      <c r="AB1338" s="118"/>
      <c r="AC1338" s="118"/>
      <c r="AD1338" s="693"/>
      <c r="AE1338" s="693"/>
    </row>
    <row r="1339" spans="2:31" ht="19.350000000000001" customHeight="1" x14ac:dyDescent="0.2">
      <c r="B1339" s="705"/>
      <c r="C1339" s="704"/>
      <c r="D1339" s="146"/>
      <c r="E1339" s="704"/>
      <c r="F1339" s="139"/>
      <c r="G1339" s="139"/>
      <c r="H1339" s="139"/>
      <c r="I1339" s="139"/>
      <c r="J1339" s="139"/>
      <c r="K1339" s="139"/>
      <c r="L1339" s="139"/>
      <c r="M1339" s="139"/>
      <c r="N1339" s="139"/>
      <c r="O1339" s="139"/>
      <c r="P1339" s="139"/>
      <c r="Q1339" s="139"/>
      <c r="R1339" s="139"/>
      <c r="S1339" s="139"/>
      <c r="T1339" s="139"/>
      <c r="U1339" s="139"/>
      <c r="V1339" s="139"/>
      <c r="W1339" s="139"/>
      <c r="X1339" s="139"/>
      <c r="Y1339" s="139"/>
      <c r="Z1339" s="139"/>
      <c r="AA1339" s="139"/>
      <c r="AB1339" s="139"/>
      <c r="AC1339" s="139"/>
      <c r="AD1339" s="693"/>
      <c r="AE1339" s="693"/>
    </row>
    <row r="1340" spans="2:31" ht="19.350000000000001" customHeight="1" x14ac:dyDescent="0.2">
      <c r="B1340" s="705"/>
      <c r="C1340" s="704"/>
      <c r="D1340" s="146"/>
      <c r="E1340" s="704"/>
      <c r="F1340" s="139"/>
      <c r="G1340" s="139"/>
      <c r="H1340" s="139"/>
      <c r="I1340" s="139"/>
      <c r="J1340" s="139"/>
      <c r="K1340" s="139"/>
      <c r="L1340" s="139"/>
      <c r="M1340" s="139"/>
      <c r="N1340" s="139"/>
      <c r="O1340" s="139"/>
      <c r="P1340" s="139"/>
      <c r="Q1340" s="139"/>
      <c r="R1340" s="139"/>
      <c r="S1340" s="139"/>
      <c r="T1340" s="139"/>
      <c r="U1340" s="139"/>
      <c r="V1340" s="139"/>
      <c r="W1340" s="139"/>
      <c r="X1340" s="139"/>
      <c r="Y1340" s="139"/>
      <c r="Z1340" s="139"/>
      <c r="AA1340" s="139"/>
      <c r="AB1340" s="139"/>
      <c r="AC1340" s="139"/>
      <c r="AD1340" s="693"/>
      <c r="AE1340" s="693"/>
    </row>
    <row r="1341" spans="2:31" ht="19.350000000000001" customHeight="1" x14ac:dyDescent="0.2">
      <c r="B1341" s="705"/>
      <c r="C1341" s="704"/>
      <c r="D1341" s="146"/>
      <c r="E1341" s="704"/>
      <c r="F1341" s="146"/>
      <c r="G1341" s="146"/>
      <c r="H1341" s="146"/>
      <c r="I1341" s="118"/>
      <c r="J1341" s="118"/>
      <c r="K1341" s="118"/>
      <c r="L1341" s="118"/>
      <c r="M1341" s="118"/>
      <c r="N1341" s="118"/>
      <c r="O1341" s="118"/>
      <c r="P1341" s="118"/>
      <c r="Q1341" s="118"/>
      <c r="R1341" s="118"/>
      <c r="S1341" s="118"/>
      <c r="T1341" s="118"/>
      <c r="U1341" s="118"/>
      <c r="V1341" s="118"/>
      <c r="W1341" s="118"/>
      <c r="X1341" s="118"/>
      <c r="Y1341" s="118"/>
      <c r="Z1341" s="118"/>
      <c r="AA1341" s="118"/>
      <c r="AB1341" s="118"/>
      <c r="AC1341" s="118"/>
      <c r="AD1341" s="693"/>
      <c r="AE1341" s="693"/>
    </row>
    <row r="1342" spans="2:31" ht="19.350000000000001" customHeight="1" x14ac:dyDescent="0.2">
      <c r="B1342" s="705"/>
      <c r="C1342" s="704"/>
      <c r="D1342" s="144"/>
      <c r="E1342" s="704"/>
      <c r="F1342" s="139"/>
      <c r="G1342" s="139"/>
      <c r="H1342" s="139"/>
      <c r="I1342" s="139"/>
      <c r="J1342" s="139"/>
      <c r="K1342" s="139"/>
      <c r="L1342" s="139"/>
      <c r="M1342" s="139"/>
      <c r="N1342" s="139"/>
      <c r="O1342" s="139"/>
      <c r="P1342" s="139"/>
      <c r="Q1342" s="139"/>
      <c r="R1342" s="139"/>
      <c r="S1342" s="139"/>
      <c r="T1342" s="139"/>
      <c r="U1342" s="139"/>
      <c r="V1342" s="139"/>
      <c r="W1342" s="139"/>
      <c r="X1342" s="139"/>
      <c r="Y1342" s="139"/>
      <c r="Z1342" s="139"/>
      <c r="AA1342" s="139"/>
      <c r="AB1342" s="139"/>
      <c r="AC1342" s="139"/>
      <c r="AD1342" s="693"/>
      <c r="AE1342" s="693"/>
    </row>
    <row r="1343" spans="2:31" ht="19.350000000000001" customHeight="1" x14ac:dyDescent="0.2">
      <c r="B1343" s="705"/>
      <c r="C1343" s="704"/>
      <c r="D1343" s="139"/>
      <c r="E1343" s="704"/>
      <c r="F1343" s="139"/>
      <c r="G1343" s="139"/>
      <c r="H1343" s="118"/>
      <c r="I1343" s="118"/>
      <c r="J1343" s="118"/>
      <c r="K1343" s="118"/>
      <c r="L1343" s="118"/>
      <c r="M1343" s="118"/>
      <c r="N1343" s="118"/>
      <c r="O1343" s="118"/>
      <c r="P1343" s="118"/>
      <c r="Q1343" s="118"/>
      <c r="R1343" s="118"/>
      <c r="S1343" s="118"/>
      <c r="T1343" s="118"/>
      <c r="U1343" s="118"/>
      <c r="V1343" s="118"/>
      <c r="W1343" s="118"/>
      <c r="X1343" s="118"/>
      <c r="Y1343" s="118"/>
      <c r="Z1343" s="118"/>
      <c r="AA1343" s="118"/>
      <c r="AB1343" s="118"/>
      <c r="AC1343" s="118"/>
      <c r="AD1343" s="693"/>
      <c r="AE1343" s="693"/>
    </row>
    <row r="1344" spans="2:31" ht="19.350000000000001" customHeight="1" x14ac:dyDescent="0.2">
      <c r="B1344" s="705"/>
      <c r="C1344" s="704"/>
      <c r="D1344" s="139"/>
      <c r="E1344" s="704"/>
      <c r="F1344" s="118"/>
      <c r="G1344" s="118"/>
      <c r="H1344" s="118"/>
      <c r="I1344" s="118"/>
      <c r="J1344" s="118"/>
      <c r="K1344" s="118"/>
      <c r="L1344" s="118"/>
      <c r="M1344" s="118"/>
      <c r="N1344" s="139"/>
      <c r="O1344" s="118"/>
      <c r="P1344" s="118"/>
      <c r="Q1344" s="118"/>
      <c r="R1344" s="118"/>
      <c r="S1344" s="118"/>
      <c r="T1344" s="118"/>
      <c r="U1344" s="118"/>
      <c r="V1344" s="118"/>
      <c r="W1344" s="118"/>
      <c r="X1344" s="118"/>
      <c r="Y1344" s="118"/>
      <c r="Z1344" s="118"/>
      <c r="AA1344" s="118"/>
      <c r="AB1344" s="118"/>
      <c r="AC1344" s="118"/>
      <c r="AD1344" s="693"/>
      <c r="AE1344" s="693"/>
    </row>
    <row r="1345" spans="2:31" ht="19.350000000000001" customHeight="1" x14ac:dyDescent="0.2">
      <c r="B1345" s="705"/>
      <c r="C1345" s="704"/>
      <c r="D1345" s="139"/>
      <c r="E1345" s="704"/>
      <c r="F1345" s="118"/>
      <c r="G1345" s="118"/>
      <c r="H1345" s="118"/>
      <c r="I1345" s="118"/>
      <c r="J1345" s="118"/>
      <c r="K1345" s="118"/>
      <c r="L1345" s="118"/>
      <c r="M1345" s="118"/>
      <c r="N1345" s="139"/>
      <c r="O1345" s="118"/>
      <c r="P1345" s="118"/>
      <c r="Q1345" s="118"/>
      <c r="R1345" s="118"/>
      <c r="S1345" s="118"/>
      <c r="T1345" s="118"/>
      <c r="U1345" s="118"/>
      <c r="V1345" s="118"/>
      <c r="W1345" s="118"/>
      <c r="X1345" s="118"/>
      <c r="Y1345" s="118"/>
      <c r="Z1345" s="118"/>
      <c r="AA1345" s="118"/>
      <c r="AB1345" s="118"/>
      <c r="AC1345" s="118"/>
      <c r="AD1345" s="693"/>
      <c r="AE1345" s="693"/>
    </row>
    <row r="1346" spans="2:31" ht="19.350000000000001" customHeight="1" x14ac:dyDescent="0.2">
      <c r="B1346" s="705"/>
      <c r="C1346" s="704"/>
      <c r="D1346" s="142"/>
      <c r="E1346" s="704"/>
      <c r="F1346" s="118"/>
      <c r="G1346" s="118"/>
      <c r="H1346" s="118"/>
      <c r="I1346" s="139"/>
      <c r="J1346" s="139"/>
      <c r="K1346" s="139"/>
      <c r="L1346" s="146"/>
      <c r="M1346" s="144"/>
      <c r="N1346" s="139"/>
      <c r="O1346" s="144"/>
      <c r="P1346" s="144"/>
      <c r="Q1346" s="146"/>
      <c r="R1346" s="146"/>
      <c r="S1346" s="146"/>
      <c r="T1346" s="146"/>
      <c r="U1346" s="146"/>
      <c r="V1346" s="146"/>
      <c r="W1346" s="146"/>
      <c r="X1346" s="146"/>
      <c r="Y1346" s="146"/>
      <c r="Z1346" s="146"/>
      <c r="AA1346" s="146"/>
      <c r="AB1346" s="146"/>
      <c r="AC1346" s="146"/>
      <c r="AD1346" s="693"/>
      <c r="AE1346" s="693"/>
    </row>
    <row r="1347" spans="2:31" ht="19.350000000000001" customHeight="1" x14ac:dyDescent="0.2">
      <c r="B1347" s="705"/>
      <c r="C1347" s="704"/>
      <c r="D1347" s="146"/>
      <c r="E1347" s="704"/>
      <c r="F1347" s="139"/>
      <c r="G1347" s="139"/>
      <c r="H1347" s="139"/>
      <c r="I1347" s="139"/>
      <c r="J1347" s="139"/>
      <c r="K1347" s="139"/>
      <c r="L1347" s="139"/>
      <c r="M1347" s="139"/>
      <c r="N1347" s="139"/>
      <c r="O1347" s="139"/>
      <c r="P1347" s="139"/>
      <c r="Q1347" s="139"/>
      <c r="R1347" s="139"/>
      <c r="S1347" s="139"/>
      <c r="T1347" s="139"/>
      <c r="U1347" s="139"/>
      <c r="V1347" s="139"/>
      <c r="W1347" s="139"/>
      <c r="X1347" s="139"/>
      <c r="Y1347" s="139"/>
      <c r="Z1347" s="139"/>
      <c r="AA1347" s="139"/>
      <c r="AB1347" s="139"/>
      <c r="AC1347" s="139"/>
      <c r="AD1347" s="693"/>
      <c r="AE1347" s="693"/>
    </row>
    <row r="1348" spans="2:31" ht="19.350000000000001" customHeight="1" x14ac:dyDescent="0.2">
      <c r="B1348" s="705"/>
      <c r="C1348" s="704"/>
      <c r="D1348" s="140"/>
      <c r="E1348" s="70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693"/>
      <c r="AE1348" s="693"/>
    </row>
    <row r="1349" spans="2:31" ht="19.350000000000001" customHeight="1" x14ac:dyDescent="0.2">
      <c r="B1349" s="705"/>
      <c r="C1349" s="704"/>
      <c r="D1349" s="146"/>
      <c r="E1349" s="704"/>
      <c r="F1349" s="139"/>
      <c r="G1349" s="139"/>
      <c r="H1349" s="139"/>
      <c r="I1349" s="139"/>
      <c r="J1349" s="139"/>
      <c r="K1349" s="139"/>
      <c r="L1349" s="139"/>
      <c r="M1349" s="139"/>
      <c r="N1349" s="139"/>
      <c r="O1349" s="139"/>
      <c r="P1349" s="139"/>
      <c r="Q1349" s="139"/>
      <c r="R1349" s="139"/>
      <c r="S1349" s="139"/>
      <c r="T1349" s="139"/>
      <c r="U1349" s="139"/>
      <c r="V1349" s="139"/>
      <c r="W1349" s="139"/>
      <c r="X1349" s="139"/>
      <c r="Y1349" s="139"/>
      <c r="Z1349" s="139"/>
      <c r="AA1349" s="139"/>
      <c r="AB1349" s="139"/>
      <c r="AC1349" s="139"/>
      <c r="AD1349" s="693"/>
      <c r="AE1349" s="693"/>
    </row>
    <row r="1350" spans="2:31" ht="19.350000000000001" customHeight="1" x14ac:dyDescent="0.2">
      <c r="B1350" s="705"/>
      <c r="C1350" s="704"/>
      <c r="D1350" s="146"/>
      <c r="E1350" s="704"/>
      <c r="F1350" s="139"/>
      <c r="G1350" s="139"/>
      <c r="H1350" s="139"/>
      <c r="I1350" s="139"/>
      <c r="J1350" s="139"/>
      <c r="K1350" s="139"/>
      <c r="L1350" s="139"/>
      <c r="M1350" s="139"/>
      <c r="N1350" s="139"/>
      <c r="O1350" s="139"/>
      <c r="P1350" s="139"/>
      <c r="Q1350" s="139"/>
      <c r="R1350" s="139"/>
      <c r="S1350" s="139"/>
      <c r="T1350" s="139"/>
      <c r="U1350" s="139"/>
      <c r="V1350" s="139"/>
      <c r="W1350" s="139"/>
      <c r="X1350" s="139"/>
      <c r="Y1350" s="139"/>
      <c r="Z1350" s="139"/>
      <c r="AA1350" s="139"/>
      <c r="AB1350" s="139"/>
      <c r="AC1350" s="139"/>
      <c r="AD1350" s="693"/>
      <c r="AE1350" s="693"/>
    </row>
    <row r="1351" spans="2:31" ht="19.350000000000001" customHeight="1" x14ac:dyDescent="0.2">
      <c r="B1351" s="705"/>
      <c r="C1351" s="704"/>
      <c r="D1351" s="146"/>
      <c r="E1351" s="704"/>
      <c r="F1351" s="118"/>
      <c r="G1351" s="118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39"/>
      <c r="R1351" s="139"/>
      <c r="S1351" s="139"/>
      <c r="T1351" s="139"/>
      <c r="U1351" s="139"/>
      <c r="V1351" s="139"/>
      <c r="W1351" s="139"/>
      <c r="X1351" s="139"/>
      <c r="Y1351" s="139"/>
      <c r="Z1351" s="139"/>
      <c r="AA1351" s="139"/>
      <c r="AB1351" s="139"/>
      <c r="AC1351" s="139"/>
      <c r="AD1351" s="693"/>
      <c r="AE1351" s="693"/>
    </row>
    <row r="1352" spans="2:31" ht="19.350000000000001" customHeight="1" x14ac:dyDescent="0.2">
      <c r="B1352" s="705"/>
      <c r="C1352" s="704"/>
      <c r="D1352" s="144"/>
      <c r="E1352" s="704"/>
      <c r="F1352" s="118"/>
      <c r="G1352" s="118"/>
      <c r="H1352" s="139"/>
      <c r="I1352" s="139"/>
      <c r="J1352" s="139"/>
      <c r="K1352" s="139"/>
      <c r="L1352" s="139"/>
      <c r="M1352" s="139"/>
      <c r="N1352" s="139"/>
      <c r="O1352" s="139"/>
      <c r="P1352" s="139"/>
      <c r="Q1352" s="139"/>
      <c r="R1352" s="139"/>
      <c r="S1352" s="139"/>
      <c r="T1352" s="139"/>
      <c r="U1352" s="139"/>
      <c r="V1352" s="139"/>
      <c r="W1352" s="139"/>
      <c r="X1352" s="139"/>
      <c r="Y1352" s="139"/>
      <c r="Z1352" s="139"/>
      <c r="AA1352" s="139"/>
      <c r="AB1352" s="139"/>
      <c r="AC1352" s="139"/>
      <c r="AD1352" s="693"/>
      <c r="AE1352" s="693"/>
    </row>
    <row r="1353" spans="2:31" ht="19.350000000000001" customHeight="1" x14ac:dyDescent="0.2">
      <c r="B1353" s="705"/>
      <c r="C1353" s="704"/>
      <c r="D1353" s="142"/>
      <c r="E1353" s="704"/>
      <c r="F1353" s="118"/>
      <c r="G1353" s="118"/>
      <c r="H1353" s="146"/>
      <c r="I1353" s="146"/>
      <c r="J1353" s="146"/>
      <c r="K1353" s="146"/>
      <c r="L1353" s="146"/>
      <c r="M1353" s="146"/>
      <c r="N1353" s="146"/>
      <c r="O1353" s="146"/>
      <c r="P1353" s="146"/>
      <c r="Q1353" s="146"/>
      <c r="R1353" s="146"/>
      <c r="S1353" s="146"/>
      <c r="T1353" s="146"/>
      <c r="U1353" s="146"/>
      <c r="V1353" s="146"/>
      <c r="W1353" s="146"/>
      <c r="X1353" s="146"/>
      <c r="Y1353" s="146"/>
      <c r="Z1353" s="146"/>
      <c r="AA1353" s="146"/>
      <c r="AB1353" s="146"/>
      <c r="AC1353" s="146"/>
      <c r="AD1353" s="693"/>
      <c r="AE1353" s="693"/>
    </row>
    <row r="1354" spans="2:31" ht="19.350000000000001" customHeight="1" x14ac:dyDescent="0.2">
      <c r="B1354" s="705"/>
      <c r="C1354" s="704"/>
      <c r="D1354" s="144"/>
      <c r="E1354" s="704"/>
      <c r="F1354" s="118"/>
      <c r="G1354" s="118"/>
      <c r="H1354" s="146"/>
      <c r="I1354" s="146"/>
      <c r="J1354" s="146"/>
      <c r="K1354" s="146"/>
      <c r="L1354" s="146"/>
      <c r="M1354" s="146"/>
      <c r="N1354" s="146"/>
      <c r="O1354" s="146"/>
      <c r="P1354" s="146"/>
      <c r="Q1354" s="146"/>
      <c r="R1354" s="146"/>
      <c r="S1354" s="146"/>
      <c r="T1354" s="146"/>
      <c r="U1354" s="146"/>
      <c r="V1354" s="146"/>
      <c r="W1354" s="146"/>
      <c r="X1354" s="146"/>
      <c r="Y1354" s="146"/>
      <c r="Z1354" s="146"/>
      <c r="AA1354" s="146"/>
      <c r="AB1354" s="146"/>
      <c r="AC1354" s="146"/>
      <c r="AD1354" s="693"/>
      <c r="AE1354" s="693"/>
    </row>
    <row r="1355" spans="2:31" ht="19.350000000000001" customHeight="1" x14ac:dyDescent="0.2">
      <c r="B1355" s="705"/>
      <c r="C1355" s="704"/>
      <c r="D1355" s="146"/>
      <c r="E1355" s="704"/>
      <c r="F1355" s="118"/>
      <c r="G1355" s="118"/>
      <c r="H1355" s="139"/>
      <c r="I1355" s="139"/>
      <c r="J1355" s="139"/>
      <c r="K1355" s="139"/>
      <c r="L1355" s="139"/>
      <c r="M1355" s="139"/>
      <c r="N1355" s="139"/>
      <c r="O1355" s="139"/>
      <c r="P1355" s="139"/>
      <c r="Q1355" s="139"/>
      <c r="R1355" s="139"/>
      <c r="S1355" s="139"/>
      <c r="T1355" s="139"/>
      <c r="U1355" s="139"/>
      <c r="V1355" s="139"/>
      <c r="W1355" s="139"/>
      <c r="X1355" s="139"/>
      <c r="Y1355" s="139"/>
      <c r="Z1355" s="139"/>
      <c r="AA1355" s="139"/>
      <c r="AB1355" s="139"/>
      <c r="AC1355" s="139"/>
      <c r="AD1355" s="693"/>
      <c r="AE1355" s="693"/>
    </row>
    <row r="1356" spans="2:31" ht="19.350000000000001" customHeight="1" x14ac:dyDescent="0.2">
      <c r="B1356" s="705"/>
      <c r="C1356" s="704"/>
      <c r="D1356" s="139"/>
      <c r="E1356" s="704"/>
      <c r="F1356" s="118"/>
      <c r="G1356" s="118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39"/>
      <c r="R1356" s="139"/>
      <c r="S1356" s="139"/>
      <c r="T1356" s="139"/>
      <c r="U1356" s="139"/>
      <c r="V1356" s="139"/>
      <c r="W1356" s="139"/>
      <c r="X1356" s="139"/>
      <c r="Y1356" s="139"/>
      <c r="Z1356" s="139"/>
      <c r="AA1356" s="139"/>
      <c r="AB1356" s="139"/>
      <c r="AC1356" s="139"/>
      <c r="AD1356" s="693"/>
      <c r="AE1356" s="693"/>
    </row>
    <row r="1357" spans="2:31" ht="19.350000000000001" customHeight="1" x14ac:dyDescent="0.2">
      <c r="B1357" s="705"/>
      <c r="C1357" s="704"/>
      <c r="D1357" s="146"/>
      <c r="E1357" s="704"/>
      <c r="F1357" s="118"/>
      <c r="G1357" s="118"/>
      <c r="H1357" s="139"/>
      <c r="I1357" s="139"/>
      <c r="J1357" s="139"/>
      <c r="K1357" s="139"/>
      <c r="L1357" s="139"/>
      <c r="M1357" s="139"/>
      <c r="N1357" s="139"/>
      <c r="O1357" s="139"/>
      <c r="P1357" s="139"/>
      <c r="Q1357" s="139"/>
      <c r="R1357" s="139"/>
      <c r="S1357" s="139"/>
      <c r="T1357" s="139"/>
      <c r="U1357" s="139"/>
      <c r="V1357" s="139"/>
      <c r="W1357" s="139"/>
      <c r="X1357" s="139"/>
      <c r="Y1357" s="139"/>
      <c r="Z1357" s="139"/>
      <c r="AA1357" s="139"/>
      <c r="AB1357" s="139"/>
      <c r="AC1357" s="139"/>
      <c r="AD1357" s="693"/>
      <c r="AE1357" s="693"/>
    </row>
    <row r="1358" spans="2:31" ht="19.350000000000001" customHeight="1" x14ac:dyDescent="0.2">
      <c r="B1358" s="705"/>
      <c r="C1358" s="704"/>
      <c r="D1358" s="144"/>
      <c r="E1358" s="704"/>
      <c r="F1358" s="146"/>
      <c r="G1358" s="146"/>
      <c r="H1358" s="146"/>
      <c r="I1358" s="146"/>
      <c r="J1358" s="146"/>
      <c r="K1358" s="146"/>
      <c r="L1358" s="146"/>
      <c r="M1358" s="146"/>
      <c r="N1358" s="146"/>
      <c r="O1358" s="146"/>
      <c r="P1358" s="146"/>
      <c r="Q1358" s="146"/>
      <c r="R1358" s="146"/>
      <c r="S1358" s="146"/>
      <c r="T1358" s="146"/>
      <c r="U1358" s="146"/>
      <c r="V1358" s="146"/>
      <c r="W1358" s="146"/>
      <c r="X1358" s="146"/>
      <c r="Y1358" s="146"/>
      <c r="Z1358" s="146"/>
      <c r="AA1358" s="146"/>
      <c r="AB1358" s="146"/>
      <c r="AC1358" s="146"/>
      <c r="AD1358" s="693"/>
      <c r="AE1358" s="693"/>
    </row>
    <row r="1359" spans="2:31" ht="19.350000000000001" customHeight="1" x14ac:dyDescent="0.2">
      <c r="B1359" s="705"/>
      <c r="C1359" s="704"/>
      <c r="D1359" s="144"/>
      <c r="E1359" s="704"/>
      <c r="F1359" s="146"/>
      <c r="G1359" s="146"/>
      <c r="H1359" s="146"/>
      <c r="I1359" s="146"/>
      <c r="J1359" s="146"/>
      <c r="K1359" s="146"/>
      <c r="L1359" s="146"/>
      <c r="M1359" s="146"/>
      <c r="N1359" s="146"/>
      <c r="O1359" s="146"/>
      <c r="P1359" s="146"/>
      <c r="Q1359" s="146"/>
      <c r="R1359" s="146"/>
      <c r="S1359" s="146"/>
      <c r="T1359" s="146"/>
      <c r="U1359" s="146"/>
      <c r="V1359" s="146"/>
      <c r="W1359" s="146"/>
      <c r="X1359" s="146"/>
      <c r="Y1359" s="146"/>
      <c r="Z1359" s="146"/>
      <c r="AA1359" s="146"/>
      <c r="AB1359" s="146"/>
      <c r="AC1359" s="146"/>
      <c r="AD1359" s="693"/>
      <c r="AE1359" s="693"/>
    </row>
    <row r="1360" spans="2:31" ht="19.350000000000001" customHeight="1" x14ac:dyDescent="0.2">
      <c r="B1360" s="705"/>
      <c r="C1360" s="704"/>
      <c r="D1360" s="146"/>
      <c r="E1360" s="704"/>
      <c r="F1360" s="139"/>
      <c r="G1360" s="139"/>
      <c r="H1360" s="139"/>
      <c r="I1360" s="139"/>
      <c r="J1360" s="139"/>
      <c r="K1360" s="139"/>
      <c r="L1360" s="139"/>
      <c r="M1360" s="139"/>
      <c r="N1360" s="139"/>
      <c r="O1360" s="139"/>
      <c r="P1360" s="139"/>
      <c r="Q1360" s="139"/>
      <c r="R1360" s="139"/>
      <c r="S1360" s="139"/>
      <c r="T1360" s="139"/>
      <c r="U1360" s="139"/>
      <c r="V1360" s="139"/>
      <c r="W1360" s="139"/>
      <c r="X1360" s="139"/>
      <c r="Y1360" s="139"/>
      <c r="Z1360" s="139"/>
      <c r="AA1360" s="139"/>
      <c r="AB1360" s="139"/>
      <c r="AC1360" s="139"/>
      <c r="AD1360" s="693"/>
      <c r="AE1360" s="693"/>
    </row>
    <row r="1361" spans="2:31" ht="19.350000000000001" customHeight="1" x14ac:dyDescent="0.2">
      <c r="B1361" s="705"/>
      <c r="C1361" s="704"/>
      <c r="D1361" s="144"/>
      <c r="E1361" s="704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39"/>
      <c r="R1361" s="139"/>
      <c r="S1361" s="139"/>
      <c r="T1361" s="139"/>
      <c r="U1361" s="139"/>
      <c r="V1361" s="139"/>
      <c r="W1361" s="139"/>
      <c r="X1361" s="139"/>
      <c r="Y1361" s="139"/>
      <c r="Z1361" s="139"/>
      <c r="AA1361" s="139"/>
      <c r="AB1361" s="139"/>
      <c r="AC1361" s="139"/>
      <c r="AD1361" s="693"/>
      <c r="AE1361" s="693"/>
    </row>
    <row r="1362" spans="2:31" ht="19.350000000000001" customHeight="1" x14ac:dyDescent="0.2">
      <c r="B1362" s="705"/>
      <c r="C1362" s="704"/>
      <c r="D1362" s="146"/>
      <c r="E1362" s="704"/>
      <c r="F1362" s="139"/>
      <c r="G1362" s="139"/>
      <c r="H1362" s="139"/>
      <c r="I1362" s="139"/>
      <c r="J1362" s="139"/>
      <c r="K1362" s="139"/>
      <c r="L1362" s="139"/>
      <c r="M1362" s="139"/>
      <c r="N1362" s="139"/>
      <c r="O1362" s="139"/>
      <c r="P1362" s="139"/>
      <c r="Q1362" s="139"/>
      <c r="R1362" s="139"/>
      <c r="S1362" s="139"/>
      <c r="T1362" s="139"/>
      <c r="U1362" s="139"/>
      <c r="V1362" s="139"/>
      <c r="W1362" s="139"/>
      <c r="X1362" s="139"/>
      <c r="Y1362" s="139"/>
      <c r="Z1362" s="139"/>
      <c r="AA1362" s="139"/>
      <c r="AB1362" s="139"/>
      <c r="AC1362" s="139"/>
      <c r="AD1362" s="693"/>
      <c r="AE1362" s="693"/>
    </row>
    <row r="1363" spans="2:31" ht="19.350000000000001" customHeight="1" x14ac:dyDescent="0.2">
      <c r="B1363" s="705"/>
      <c r="C1363" s="704"/>
      <c r="D1363" s="139"/>
      <c r="E1363" s="704"/>
      <c r="F1363" s="139"/>
      <c r="G1363" s="139"/>
      <c r="H1363" s="118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18"/>
      <c r="T1363" s="118"/>
      <c r="U1363" s="118"/>
      <c r="V1363" s="118"/>
      <c r="W1363" s="118"/>
      <c r="X1363" s="118"/>
      <c r="Y1363" s="118"/>
      <c r="Z1363" s="118"/>
      <c r="AA1363" s="118"/>
      <c r="AB1363" s="118"/>
      <c r="AC1363" s="118"/>
      <c r="AD1363" s="693"/>
      <c r="AE1363" s="693"/>
    </row>
    <row r="1364" spans="2:31" ht="19.350000000000001" customHeight="1" x14ac:dyDescent="0.2">
      <c r="B1364" s="705"/>
      <c r="C1364" s="704"/>
      <c r="D1364" s="144"/>
      <c r="E1364" s="704"/>
      <c r="F1364" s="118"/>
      <c r="G1364" s="118"/>
      <c r="H1364" s="118"/>
      <c r="I1364" s="118"/>
      <c r="J1364" s="118"/>
      <c r="K1364" s="118"/>
      <c r="L1364" s="118"/>
      <c r="M1364" s="144"/>
      <c r="N1364" s="118"/>
      <c r="O1364" s="118"/>
      <c r="P1364" s="118"/>
      <c r="Q1364" s="118"/>
      <c r="R1364" s="118"/>
      <c r="S1364" s="118"/>
      <c r="T1364" s="118"/>
      <c r="U1364" s="118"/>
      <c r="V1364" s="118"/>
      <c r="W1364" s="118"/>
      <c r="X1364" s="118"/>
      <c r="Y1364" s="118"/>
      <c r="Z1364" s="118"/>
      <c r="AA1364" s="118"/>
      <c r="AB1364" s="118"/>
      <c r="AC1364" s="118"/>
      <c r="AD1364" s="693"/>
      <c r="AE1364" s="693"/>
    </row>
    <row r="1365" spans="2:31" ht="19.350000000000001" customHeight="1" x14ac:dyDescent="0.2">
      <c r="B1365" s="705"/>
      <c r="C1365" s="704"/>
      <c r="D1365" s="146"/>
      <c r="E1365" s="704"/>
      <c r="F1365" s="118"/>
      <c r="G1365" s="118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18"/>
      <c r="T1365" s="118"/>
      <c r="U1365" s="118"/>
      <c r="V1365" s="118"/>
      <c r="W1365" s="118"/>
      <c r="X1365" s="118"/>
      <c r="Y1365" s="118"/>
      <c r="Z1365" s="118"/>
      <c r="AA1365" s="118"/>
      <c r="AB1365" s="146"/>
      <c r="AC1365" s="146"/>
      <c r="AD1365" s="693"/>
      <c r="AE1365" s="693"/>
    </row>
    <row r="1366" spans="2:31" ht="19.350000000000001" customHeight="1" x14ac:dyDescent="0.2">
      <c r="B1366" s="705"/>
      <c r="C1366" s="704"/>
      <c r="D1366" s="146"/>
      <c r="E1366" s="704"/>
      <c r="F1366" s="139"/>
      <c r="G1366" s="139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39"/>
      <c r="R1366" s="139"/>
      <c r="S1366" s="139"/>
      <c r="T1366" s="139"/>
      <c r="U1366" s="139"/>
      <c r="V1366" s="139"/>
      <c r="W1366" s="139"/>
      <c r="X1366" s="139"/>
      <c r="Y1366" s="139"/>
      <c r="Z1366" s="139"/>
      <c r="AA1366" s="139"/>
      <c r="AB1366" s="139"/>
      <c r="AC1366" s="139"/>
      <c r="AD1366" s="693"/>
      <c r="AE1366" s="693"/>
    </row>
    <row r="1367" spans="2:31" ht="19.350000000000001" customHeight="1" x14ac:dyDescent="0.2">
      <c r="B1367" s="705"/>
      <c r="C1367" s="704"/>
      <c r="D1367" s="139"/>
      <c r="E1367" s="704"/>
      <c r="F1367" s="118"/>
      <c r="G1367" s="118"/>
      <c r="H1367" s="118"/>
      <c r="I1367" s="118"/>
      <c r="J1367" s="118"/>
      <c r="K1367" s="118"/>
      <c r="L1367" s="118"/>
      <c r="M1367" s="118"/>
      <c r="N1367" s="139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3"/>
      <c r="AE1367" s="693"/>
    </row>
    <row r="1368" spans="2:31" ht="19.350000000000001" customHeight="1" x14ac:dyDescent="0.2">
      <c r="B1368" s="705"/>
      <c r="C1368" s="704"/>
      <c r="D1368" s="142"/>
      <c r="E1368" s="70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693"/>
      <c r="AE1368" s="693"/>
    </row>
    <row r="1369" spans="2:31" ht="19.350000000000001" customHeight="1" x14ac:dyDescent="0.2">
      <c r="B1369" s="705"/>
      <c r="C1369" s="704"/>
      <c r="D1369" s="144"/>
      <c r="E1369" s="704"/>
      <c r="F1369" s="146"/>
      <c r="G1369" s="146"/>
      <c r="H1369" s="146"/>
      <c r="I1369" s="146"/>
      <c r="J1369" s="146"/>
      <c r="K1369" s="146"/>
      <c r="L1369" s="146"/>
      <c r="M1369" s="146"/>
      <c r="N1369" s="146"/>
      <c r="O1369" s="146"/>
      <c r="P1369" s="146"/>
      <c r="Q1369" s="146"/>
      <c r="R1369" s="146"/>
      <c r="S1369" s="146"/>
      <c r="T1369" s="146"/>
      <c r="U1369" s="146"/>
      <c r="V1369" s="146"/>
      <c r="W1369" s="146"/>
      <c r="X1369" s="146"/>
      <c r="Y1369" s="146"/>
      <c r="Z1369" s="146"/>
      <c r="AA1369" s="146"/>
      <c r="AB1369" s="146"/>
      <c r="AC1369" s="146"/>
      <c r="AD1369" s="693"/>
      <c r="AE1369" s="693"/>
    </row>
    <row r="1370" spans="2:31" ht="19.350000000000001" customHeight="1" x14ac:dyDescent="0.2">
      <c r="B1370" s="705"/>
      <c r="C1370" s="704"/>
      <c r="D1370" s="146"/>
      <c r="E1370" s="704"/>
      <c r="F1370" s="139"/>
      <c r="G1370" s="139"/>
      <c r="H1370" s="139"/>
      <c r="I1370" s="139"/>
      <c r="J1370" s="139"/>
      <c r="K1370" s="139"/>
      <c r="L1370" s="139"/>
      <c r="M1370" s="139"/>
      <c r="N1370" s="139"/>
      <c r="O1370" s="139"/>
      <c r="P1370" s="139"/>
      <c r="Q1370" s="139"/>
      <c r="R1370" s="139"/>
      <c r="S1370" s="139"/>
      <c r="T1370" s="139"/>
      <c r="U1370" s="139"/>
      <c r="V1370" s="139"/>
      <c r="W1370" s="139"/>
      <c r="X1370" s="139"/>
      <c r="Y1370" s="139"/>
      <c r="Z1370" s="139"/>
      <c r="AA1370" s="139"/>
      <c r="AB1370" s="139"/>
      <c r="AC1370" s="139"/>
      <c r="AD1370" s="693"/>
      <c r="AE1370" s="693"/>
    </row>
    <row r="1371" spans="2:31" ht="19.350000000000001" customHeight="1" x14ac:dyDescent="0.2">
      <c r="B1371" s="705"/>
      <c r="C1371" s="704"/>
      <c r="D1371" s="139"/>
      <c r="E1371" s="704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39"/>
      <c r="R1371" s="139"/>
      <c r="S1371" s="139"/>
      <c r="T1371" s="139"/>
      <c r="U1371" s="139"/>
      <c r="V1371" s="139"/>
      <c r="W1371" s="139"/>
      <c r="X1371" s="139"/>
      <c r="Y1371" s="139"/>
      <c r="Z1371" s="139"/>
      <c r="AA1371" s="139"/>
      <c r="AB1371" s="139"/>
      <c r="AC1371" s="139"/>
      <c r="AD1371" s="693"/>
      <c r="AE1371" s="693"/>
    </row>
    <row r="1372" spans="2:31" ht="19.350000000000001" customHeight="1" x14ac:dyDescent="0.2">
      <c r="B1372" s="705"/>
      <c r="C1372" s="704"/>
      <c r="D1372" s="146"/>
      <c r="E1372" s="704"/>
      <c r="F1372" s="139"/>
      <c r="G1372" s="139"/>
      <c r="H1372" s="139"/>
      <c r="I1372" s="139"/>
      <c r="J1372" s="139"/>
      <c r="K1372" s="139"/>
      <c r="L1372" s="139"/>
      <c r="M1372" s="139"/>
      <c r="N1372" s="139"/>
      <c r="O1372" s="139"/>
      <c r="P1372" s="139"/>
      <c r="Q1372" s="139"/>
      <c r="R1372" s="139"/>
      <c r="S1372" s="139"/>
      <c r="T1372" s="139"/>
      <c r="U1372" s="139"/>
      <c r="V1372" s="139"/>
      <c r="W1372" s="139"/>
      <c r="X1372" s="139"/>
      <c r="Y1372" s="139"/>
      <c r="Z1372" s="139"/>
      <c r="AA1372" s="139"/>
      <c r="AB1372" s="139"/>
      <c r="AC1372" s="139"/>
      <c r="AD1372" s="693"/>
      <c r="AE1372" s="693"/>
    </row>
    <row r="1373" spans="2:31" ht="19.350000000000001" customHeight="1" x14ac:dyDescent="0.2">
      <c r="B1373" s="705"/>
      <c r="C1373" s="704"/>
      <c r="D1373" s="139"/>
      <c r="E1373" s="704"/>
      <c r="F1373" s="139"/>
      <c r="G1373" s="139"/>
      <c r="H1373" s="139"/>
      <c r="I1373" s="139"/>
      <c r="J1373" s="118"/>
      <c r="K1373" s="118"/>
      <c r="L1373" s="118"/>
      <c r="M1373" s="118"/>
      <c r="N1373" s="118"/>
      <c r="O1373" s="118"/>
      <c r="P1373" s="118"/>
      <c r="Q1373" s="118"/>
      <c r="R1373" s="118"/>
      <c r="S1373" s="118"/>
      <c r="T1373" s="118"/>
      <c r="U1373" s="118"/>
      <c r="V1373" s="118"/>
      <c r="W1373" s="118"/>
      <c r="X1373" s="118"/>
      <c r="Y1373" s="118"/>
      <c r="Z1373" s="118"/>
      <c r="AA1373" s="118"/>
      <c r="AB1373" s="118"/>
      <c r="AC1373" s="118"/>
      <c r="AD1373" s="693"/>
      <c r="AE1373" s="693"/>
    </row>
    <row r="1374" spans="2:31" ht="19.350000000000001" customHeight="1" x14ac:dyDescent="0.2">
      <c r="B1374" s="705"/>
      <c r="C1374" s="704"/>
      <c r="D1374" s="146"/>
      <c r="E1374" s="704"/>
      <c r="F1374" s="139"/>
      <c r="G1374" s="139"/>
      <c r="H1374" s="139"/>
      <c r="I1374" s="139"/>
      <c r="J1374" s="139"/>
      <c r="K1374" s="139"/>
      <c r="L1374" s="139"/>
      <c r="M1374" s="139"/>
      <c r="N1374" s="139"/>
      <c r="O1374" s="139"/>
      <c r="P1374" s="139"/>
      <c r="Q1374" s="139"/>
      <c r="R1374" s="139"/>
      <c r="S1374" s="139"/>
      <c r="T1374" s="139"/>
      <c r="U1374" s="139"/>
      <c r="V1374" s="139"/>
      <c r="W1374" s="139"/>
      <c r="X1374" s="139"/>
      <c r="Y1374" s="139"/>
      <c r="Z1374" s="139"/>
      <c r="AA1374" s="139"/>
      <c r="AB1374" s="139"/>
      <c r="AC1374" s="139"/>
      <c r="AD1374" s="693"/>
      <c r="AE1374" s="693"/>
    </row>
    <row r="1375" spans="2:31" ht="19.350000000000001" customHeight="1" x14ac:dyDescent="0.2">
      <c r="B1375" s="705"/>
      <c r="C1375" s="704"/>
      <c r="D1375" s="139"/>
      <c r="E1375" s="704"/>
      <c r="F1375" s="118"/>
      <c r="G1375" s="118"/>
      <c r="H1375" s="118"/>
      <c r="I1375" s="118"/>
      <c r="J1375" s="118"/>
      <c r="K1375" s="118"/>
      <c r="L1375" s="118"/>
      <c r="M1375" s="118"/>
      <c r="N1375" s="118"/>
      <c r="O1375" s="118"/>
      <c r="P1375" s="118"/>
      <c r="Q1375" s="118"/>
      <c r="R1375" s="118"/>
      <c r="S1375" s="118"/>
      <c r="T1375" s="118"/>
      <c r="U1375" s="118"/>
      <c r="V1375" s="118"/>
      <c r="W1375" s="118"/>
      <c r="X1375" s="139"/>
      <c r="Y1375" s="139"/>
      <c r="Z1375" s="139"/>
      <c r="AA1375" s="139"/>
      <c r="AB1375" s="139"/>
      <c r="AC1375" s="139"/>
      <c r="AD1375" s="693"/>
      <c r="AE1375" s="693"/>
    </row>
    <row r="1376" spans="2:31" ht="19.350000000000001" customHeight="1" x14ac:dyDescent="0.2">
      <c r="B1376" s="705"/>
      <c r="C1376" s="704"/>
      <c r="D1376" s="146"/>
      <c r="E1376" s="704"/>
      <c r="F1376" s="139"/>
      <c r="G1376" s="139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39"/>
      <c r="R1376" s="139"/>
      <c r="S1376" s="139"/>
      <c r="T1376" s="139"/>
      <c r="U1376" s="139"/>
      <c r="V1376" s="139"/>
      <c r="W1376" s="139"/>
      <c r="X1376" s="139"/>
      <c r="Y1376" s="139"/>
      <c r="Z1376" s="139"/>
      <c r="AA1376" s="139"/>
      <c r="AB1376" s="139"/>
      <c r="AC1376" s="139"/>
      <c r="AD1376" s="693"/>
      <c r="AE1376" s="693"/>
    </row>
    <row r="1377" spans="2:31" ht="19.350000000000001" customHeight="1" x14ac:dyDescent="0.2">
      <c r="B1377" s="705"/>
      <c r="C1377" s="704"/>
      <c r="D1377" s="139"/>
      <c r="E1377" s="704"/>
      <c r="F1377" s="139"/>
      <c r="G1377" s="139"/>
      <c r="H1377" s="139"/>
      <c r="I1377" s="139"/>
      <c r="J1377" s="139"/>
      <c r="K1377" s="139"/>
      <c r="L1377" s="139"/>
      <c r="M1377" s="139"/>
      <c r="N1377" s="139"/>
      <c r="O1377" s="139"/>
      <c r="P1377" s="139"/>
      <c r="Q1377" s="139"/>
      <c r="R1377" s="139"/>
      <c r="S1377" s="139"/>
      <c r="T1377" s="139"/>
      <c r="U1377" s="139"/>
      <c r="V1377" s="139"/>
      <c r="W1377" s="139"/>
      <c r="X1377" s="139"/>
      <c r="Y1377" s="139"/>
      <c r="Z1377" s="139"/>
      <c r="AA1377" s="139"/>
      <c r="AB1377" s="139"/>
      <c r="AC1377" s="139"/>
      <c r="AD1377" s="693"/>
      <c r="AE1377" s="693"/>
    </row>
    <row r="1378" spans="2:31" ht="19.350000000000001" customHeight="1" x14ac:dyDescent="0.2">
      <c r="B1378" s="705"/>
      <c r="C1378" s="704"/>
      <c r="D1378" s="139"/>
      <c r="E1378" s="704"/>
      <c r="F1378" s="139"/>
      <c r="G1378" s="139"/>
      <c r="H1378" s="118"/>
      <c r="I1378" s="118"/>
      <c r="J1378" s="118"/>
      <c r="K1378" s="118"/>
      <c r="L1378" s="118"/>
      <c r="M1378" s="118"/>
      <c r="N1378" s="118"/>
      <c r="O1378" s="118"/>
      <c r="P1378" s="118"/>
      <c r="Q1378" s="118"/>
      <c r="R1378" s="118"/>
      <c r="S1378" s="118"/>
      <c r="T1378" s="118"/>
      <c r="U1378" s="118"/>
      <c r="V1378" s="118"/>
      <c r="W1378" s="118"/>
      <c r="X1378" s="118"/>
      <c r="Y1378" s="118"/>
      <c r="Z1378" s="118"/>
      <c r="AA1378" s="118"/>
      <c r="AB1378" s="118"/>
      <c r="AC1378" s="118"/>
      <c r="AD1378" s="693"/>
      <c r="AE1378" s="693"/>
    </row>
    <row r="1379" spans="2:31" ht="19.350000000000001" customHeight="1" x14ac:dyDescent="0.2">
      <c r="B1379" s="705"/>
      <c r="C1379" s="704"/>
      <c r="D1379" s="142"/>
      <c r="E1379" s="704"/>
      <c r="F1379" s="118"/>
      <c r="G1379" s="118"/>
      <c r="H1379" s="118"/>
      <c r="I1379" s="118"/>
      <c r="J1379" s="118"/>
      <c r="K1379" s="118"/>
      <c r="L1379" s="118"/>
      <c r="M1379" s="118"/>
      <c r="N1379" s="118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18"/>
      <c r="AD1379" s="693"/>
      <c r="AE1379" s="693"/>
    </row>
    <row r="1380" spans="2:31" ht="19.350000000000001" customHeight="1" x14ac:dyDescent="0.2">
      <c r="B1380" s="705"/>
      <c r="C1380" s="704"/>
      <c r="D1380" s="146"/>
      <c r="E1380" s="704"/>
      <c r="F1380" s="139"/>
      <c r="G1380" s="139"/>
      <c r="H1380" s="139"/>
      <c r="I1380" s="139"/>
      <c r="J1380" s="139"/>
      <c r="K1380" s="139"/>
      <c r="L1380" s="139"/>
      <c r="M1380" s="139"/>
      <c r="N1380" s="139"/>
      <c r="O1380" s="139"/>
      <c r="P1380" s="139"/>
      <c r="Q1380" s="139"/>
      <c r="R1380" s="139"/>
      <c r="S1380" s="139"/>
      <c r="T1380" s="139"/>
      <c r="U1380" s="139"/>
      <c r="V1380" s="139"/>
      <c r="W1380" s="139"/>
      <c r="X1380" s="139"/>
      <c r="Y1380" s="139"/>
      <c r="Z1380" s="139"/>
      <c r="AA1380" s="139"/>
      <c r="AB1380" s="139"/>
      <c r="AC1380" s="139"/>
      <c r="AD1380" s="693"/>
      <c r="AE1380" s="693"/>
    </row>
    <row r="1381" spans="2:31" ht="19.350000000000001" customHeight="1" x14ac:dyDescent="0.2">
      <c r="B1381" s="705"/>
      <c r="C1381" s="704"/>
      <c r="D1381" s="146"/>
      <c r="E1381" s="704"/>
      <c r="F1381" s="139"/>
      <c r="G1381" s="139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39"/>
      <c r="R1381" s="139"/>
      <c r="S1381" s="139"/>
      <c r="T1381" s="139"/>
      <c r="U1381" s="139"/>
      <c r="V1381" s="139"/>
      <c r="W1381" s="139"/>
      <c r="X1381" s="139"/>
      <c r="Y1381" s="139"/>
      <c r="Z1381" s="139"/>
      <c r="AA1381" s="139"/>
      <c r="AB1381" s="139"/>
      <c r="AC1381" s="139"/>
      <c r="AD1381" s="693"/>
      <c r="AE1381" s="693"/>
    </row>
    <row r="1382" spans="2:31" ht="19.350000000000001" customHeight="1" x14ac:dyDescent="0.2">
      <c r="B1382" s="705"/>
      <c r="C1382" s="704"/>
      <c r="D1382" s="146"/>
      <c r="E1382" s="704"/>
      <c r="F1382" s="139"/>
      <c r="G1382" s="139"/>
      <c r="H1382" s="139"/>
      <c r="I1382" s="139"/>
      <c r="J1382" s="139"/>
      <c r="K1382" s="139"/>
      <c r="L1382" s="139"/>
      <c r="M1382" s="139"/>
      <c r="N1382" s="139"/>
      <c r="O1382" s="139"/>
      <c r="P1382" s="139"/>
      <c r="Q1382" s="139"/>
      <c r="R1382" s="139"/>
      <c r="S1382" s="139"/>
      <c r="T1382" s="139"/>
      <c r="U1382" s="139"/>
      <c r="V1382" s="139"/>
      <c r="W1382" s="139"/>
      <c r="X1382" s="139"/>
      <c r="Y1382" s="139"/>
      <c r="Z1382" s="139"/>
      <c r="AA1382" s="139"/>
      <c r="AB1382" s="139"/>
      <c r="AC1382" s="139"/>
      <c r="AD1382" s="693"/>
      <c r="AE1382" s="693"/>
    </row>
    <row r="1383" spans="2:31" ht="19.350000000000001" customHeight="1" x14ac:dyDescent="0.2">
      <c r="B1383" s="705"/>
      <c r="C1383" s="704"/>
      <c r="D1383" s="139"/>
      <c r="E1383" s="704"/>
      <c r="F1383" s="139"/>
      <c r="G1383" s="139"/>
      <c r="H1383" s="139"/>
      <c r="I1383" s="139"/>
      <c r="J1383" s="139"/>
      <c r="K1383" s="139"/>
      <c r="L1383" s="139"/>
      <c r="M1383" s="139"/>
      <c r="N1383" s="139"/>
      <c r="O1383" s="139"/>
      <c r="P1383" s="139"/>
      <c r="Q1383" s="139"/>
      <c r="R1383" s="139"/>
      <c r="S1383" s="139"/>
      <c r="T1383" s="139"/>
      <c r="U1383" s="139"/>
      <c r="V1383" s="139"/>
      <c r="W1383" s="139"/>
      <c r="X1383" s="139"/>
      <c r="Y1383" s="139"/>
      <c r="Z1383" s="139"/>
      <c r="AA1383" s="139"/>
      <c r="AB1383" s="139"/>
      <c r="AC1383" s="139"/>
      <c r="AD1383" s="693"/>
      <c r="AE1383" s="693"/>
    </row>
    <row r="1384" spans="2:31" ht="19.350000000000001" customHeight="1" x14ac:dyDescent="0.2">
      <c r="B1384" s="705"/>
      <c r="C1384" s="704"/>
      <c r="D1384" s="139"/>
      <c r="E1384" s="704"/>
      <c r="F1384" s="139"/>
      <c r="G1384" s="139"/>
      <c r="H1384" s="139"/>
      <c r="I1384" s="139"/>
      <c r="J1384" s="139"/>
      <c r="K1384" s="139"/>
      <c r="L1384" s="139"/>
      <c r="M1384" s="139"/>
      <c r="N1384" s="139"/>
      <c r="O1384" s="139"/>
      <c r="P1384" s="139"/>
      <c r="Q1384" s="139"/>
      <c r="R1384" s="139"/>
      <c r="S1384" s="139"/>
      <c r="T1384" s="139"/>
      <c r="U1384" s="139"/>
      <c r="V1384" s="139"/>
      <c r="W1384" s="139"/>
      <c r="X1384" s="139"/>
      <c r="Y1384" s="139"/>
      <c r="Z1384" s="139"/>
      <c r="AA1384" s="139"/>
      <c r="AB1384" s="139"/>
      <c r="AC1384" s="139"/>
      <c r="AD1384" s="693"/>
      <c r="AE1384" s="693"/>
    </row>
    <row r="1385" spans="2:31" ht="19.350000000000001" customHeight="1" x14ac:dyDescent="0.2">
      <c r="B1385" s="705"/>
      <c r="C1385" s="704"/>
      <c r="D1385" s="139"/>
      <c r="E1385" s="704"/>
      <c r="F1385" s="139"/>
      <c r="G1385" s="139"/>
      <c r="H1385" s="139"/>
      <c r="I1385" s="139"/>
      <c r="J1385" s="139"/>
      <c r="K1385" s="139"/>
      <c r="L1385" s="139"/>
      <c r="M1385" s="139"/>
      <c r="N1385" s="139"/>
      <c r="O1385" s="139"/>
      <c r="P1385" s="139"/>
      <c r="Q1385" s="139"/>
      <c r="R1385" s="139"/>
      <c r="S1385" s="139"/>
      <c r="T1385" s="139"/>
      <c r="U1385" s="139"/>
      <c r="V1385" s="139"/>
      <c r="W1385" s="139"/>
      <c r="X1385" s="139"/>
      <c r="Y1385" s="139"/>
      <c r="Z1385" s="139"/>
      <c r="AA1385" s="139"/>
      <c r="AB1385" s="139"/>
      <c r="AC1385" s="139"/>
      <c r="AD1385" s="693"/>
      <c r="AE1385" s="693"/>
    </row>
    <row r="1386" spans="2:31" ht="19.350000000000001" customHeight="1" x14ac:dyDescent="0.2">
      <c r="B1386" s="705"/>
      <c r="C1386" s="704"/>
      <c r="D1386" s="139"/>
      <c r="E1386" s="704"/>
      <c r="F1386" s="139"/>
      <c r="G1386" s="139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39"/>
      <c r="R1386" s="139"/>
      <c r="S1386" s="139"/>
      <c r="T1386" s="139"/>
      <c r="U1386" s="139"/>
      <c r="V1386" s="139"/>
      <c r="W1386" s="139"/>
      <c r="X1386" s="139"/>
      <c r="Y1386" s="139"/>
      <c r="Z1386" s="139"/>
      <c r="AA1386" s="139"/>
      <c r="AB1386" s="139"/>
      <c r="AC1386" s="139"/>
      <c r="AD1386" s="693"/>
      <c r="AE1386" s="693"/>
    </row>
    <row r="1387" spans="2:31" ht="19.350000000000001" customHeight="1" x14ac:dyDescent="0.2">
      <c r="B1387" s="705"/>
      <c r="C1387" s="704"/>
      <c r="D1387" s="139"/>
      <c r="E1387" s="704"/>
      <c r="F1387" s="139"/>
      <c r="G1387" s="139"/>
      <c r="H1387" s="139"/>
      <c r="I1387" s="139"/>
      <c r="J1387" s="139"/>
      <c r="K1387" s="139"/>
      <c r="L1387" s="139"/>
      <c r="M1387" s="139"/>
      <c r="N1387" s="139"/>
      <c r="O1387" s="139"/>
      <c r="P1387" s="139"/>
      <c r="Q1387" s="139"/>
      <c r="R1387" s="139"/>
      <c r="S1387" s="139"/>
      <c r="T1387" s="139"/>
      <c r="U1387" s="139"/>
      <c r="V1387" s="139"/>
      <c r="W1387" s="139"/>
      <c r="X1387" s="139"/>
      <c r="Y1387" s="139"/>
      <c r="Z1387" s="139"/>
      <c r="AA1387" s="139"/>
      <c r="AB1387" s="139"/>
      <c r="AC1387" s="139"/>
      <c r="AD1387" s="693"/>
      <c r="AE1387" s="693"/>
    </row>
    <row r="1388" spans="2:31" ht="19.350000000000001" customHeight="1" x14ac:dyDescent="0.2">
      <c r="B1388" s="705"/>
      <c r="C1388" s="704"/>
      <c r="D1388" s="139"/>
      <c r="E1388" s="704"/>
      <c r="F1388" s="139"/>
      <c r="G1388" s="139"/>
      <c r="H1388" s="139"/>
      <c r="I1388" s="139"/>
      <c r="J1388" s="139"/>
      <c r="K1388" s="139"/>
      <c r="L1388" s="139"/>
      <c r="M1388" s="139"/>
      <c r="N1388" s="139"/>
      <c r="O1388" s="139"/>
      <c r="P1388" s="139"/>
      <c r="Q1388" s="139"/>
      <c r="R1388" s="139"/>
      <c r="S1388" s="139"/>
      <c r="T1388" s="139"/>
      <c r="U1388" s="139"/>
      <c r="V1388" s="139"/>
      <c r="W1388" s="139"/>
      <c r="X1388" s="139"/>
      <c r="Y1388" s="139"/>
      <c r="Z1388" s="139"/>
      <c r="AA1388" s="139"/>
      <c r="AB1388" s="139"/>
      <c r="AC1388" s="139"/>
      <c r="AD1388" s="693"/>
      <c r="AE1388" s="693"/>
    </row>
    <row r="1389" spans="2:31" ht="19.350000000000001" customHeight="1" x14ac:dyDescent="0.2">
      <c r="B1389" s="705"/>
      <c r="C1389" s="704"/>
      <c r="D1389" s="139"/>
      <c r="E1389" s="704"/>
      <c r="F1389" s="139"/>
      <c r="G1389" s="139"/>
      <c r="H1389" s="139"/>
      <c r="I1389" s="139"/>
      <c r="J1389" s="139"/>
      <c r="K1389" s="139"/>
      <c r="L1389" s="139"/>
      <c r="M1389" s="139"/>
      <c r="N1389" s="139"/>
      <c r="O1389" s="139"/>
      <c r="P1389" s="139"/>
      <c r="Q1389" s="139"/>
      <c r="R1389" s="139"/>
      <c r="S1389" s="139"/>
      <c r="T1389" s="139"/>
      <c r="U1389" s="139"/>
      <c r="V1389" s="139"/>
      <c r="W1389" s="139"/>
      <c r="X1389" s="139"/>
      <c r="Y1389" s="139"/>
      <c r="Z1389" s="139"/>
      <c r="AA1389" s="139"/>
      <c r="AB1389" s="139"/>
      <c r="AC1389" s="139"/>
      <c r="AD1389" s="693"/>
      <c r="AE1389" s="693"/>
    </row>
    <row r="1390" spans="2:31" ht="19.350000000000001" customHeight="1" x14ac:dyDescent="0.2">
      <c r="B1390" s="705"/>
      <c r="C1390" s="704"/>
      <c r="D1390" s="139"/>
      <c r="E1390" s="704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693"/>
      <c r="AE1390" s="693"/>
    </row>
    <row r="1391" spans="2:31" ht="19.350000000000001" customHeight="1" x14ac:dyDescent="0.2">
      <c r="B1391" s="705"/>
      <c r="C1391" s="704"/>
      <c r="D1391" s="139"/>
      <c r="E1391" s="704"/>
      <c r="F1391" s="139"/>
      <c r="G1391" s="139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39"/>
      <c r="R1391" s="139"/>
      <c r="S1391" s="139"/>
      <c r="T1391" s="139"/>
      <c r="U1391" s="139"/>
      <c r="V1391" s="139"/>
      <c r="W1391" s="139"/>
      <c r="X1391" s="139"/>
      <c r="Y1391" s="139"/>
      <c r="Z1391" s="139"/>
      <c r="AA1391" s="139"/>
      <c r="AB1391" s="139"/>
      <c r="AC1391" s="139"/>
      <c r="AD1391" s="693"/>
      <c r="AE1391" s="693"/>
    </row>
    <row r="1392" spans="2:31" ht="19.350000000000001" customHeight="1" x14ac:dyDescent="0.2">
      <c r="B1392" s="705"/>
      <c r="C1392" s="704"/>
      <c r="D1392" s="146"/>
      <c r="E1392" s="704"/>
      <c r="F1392" s="139"/>
      <c r="G1392" s="139"/>
      <c r="H1392" s="139"/>
      <c r="I1392" s="139"/>
      <c r="J1392" s="139"/>
      <c r="K1392" s="139"/>
      <c r="L1392" s="139"/>
      <c r="M1392" s="139"/>
      <c r="N1392" s="139"/>
      <c r="O1392" s="139"/>
      <c r="P1392" s="139"/>
      <c r="Q1392" s="139"/>
      <c r="R1392" s="139"/>
      <c r="S1392" s="139"/>
      <c r="T1392" s="139"/>
      <c r="U1392" s="139"/>
      <c r="V1392" s="139"/>
      <c r="W1392" s="139"/>
      <c r="X1392" s="139"/>
      <c r="Y1392" s="139"/>
      <c r="Z1392" s="139"/>
      <c r="AA1392" s="139"/>
      <c r="AB1392" s="139"/>
      <c r="AC1392" s="139"/>
      <c r="AD1392" s="693"/>
      <c r="AE1392" s="693"/>
    </row>
    <row r="1393" spans="2:31" ht="19.350000000000001" customHeight="1" x14ac:dyDescent="0.2">
      <c r="B1393" s="705"/>
      <c r="C1393" s="704"/>
      <c r="D1393" s="146"/>
      <c r="E1393" s="704"/>
      <c r="F1393" s="139"/>
      <c r="G1393" s="139"/>
      <c r="H1393" s="139"/>
      <c r="I1393" s="139"/>
      <c r="J1393" s="139"/>
      <c r="K1393" s="139"/>
      <c r="L1393" s="139"/>
      <c r="M1393" s="139"/>
      <c r="N1393" s="139"/>
      <c r="O1393" s="139"/>
      <c r="P1393" s="139"/>
      <c r="Q1393" s="139"/>
      <c r="R1393" s="139"/>
      <c r="S1393" s="139"/>
      <c r="T1393" s="139"/>
      <c r="U1393" s="139"/>
      <c r="V1393" s="139"/>
      <c r="W1393" s="139"/>
      <c r="X1393" s="139"/>
      <c r="Y1393" s="139"/>
      <c r="Z1393" s="139"/>
      <c r="AA1393" s="139"/>
      <c r="AB1393" s="139"/>
      <c r="AC1393" s="139"/>
      <c r="AD1393" s="693"/>
      <c r="AE1393" s="693"/>
    </row>
    <row r="1394" spans="2:31" ht="19.350000000000001" customHeight="1" x14ac:dyDescent="0.2">
      <c r="B1394" s="705"/>
      <c r="C1394" s="704"/>
      <c r="D1394" s="139"/>
      <c r="E1394" s="704"/>
      <c r="F1394" s="139"/>
      <c r="G1394" s="139"/>
      <c r="H1394" s="139"/>
      <c r="I1394" s="139"/>
      <c r="J1394" s="139"/>
      <c r="K1394" s="139"/>
      <c r="L1394" s="139"/>
      <c r="M1394" s="139"/>
      <c r="N1394" s="139"/>
      <c r="O1394" s="139"/>
      <c r="P1394" s="139"/>
      <c r="Q1394" s="139"/>
      <c r="R1394" s="139"/>
      <c r="S1394" s="139"/>
      <c r="T1394" s="139"/>
      <c r="U1394" s="139"/>
      <c r="V1394" s="139"/>
      <c r="W1394" s="139"/>
      <c r="X1394" s="139"/>
      <c r="Y1394" s="139"/>
      <c r="Z1394" s="139"/>
      <c r="AA1394" s="139"/>
      <c r="AB1394" s="139"/>
      <c r="AC1394" s="139"/>
      <c r="AD1394" s="693"/>
      <c r="AE1394" s="693"/>
    </row>
    <row r="1395" spans="2:31" ht="19.350000000000001" customHeight="1" x14ac:dyDescent="0.2">
      <c r="B1395" s="705"/>
      <c r="C1395" s="704"/>
      <c r="D1395" s="139"/>
      <c r="E1395" s="704"/>
      <c r="F1395" s="139"/>
      <c r="G1395" s="139"/>
      <c r="H1395" s="139"/>
      <c r="I1395" s="139"/>
      <c r="J1395" s="139"/>
      <c r="K1395" s="139"/>
      <c r="L1395" s="139"/>
      <c r="M1395" s="139"/>
      <c r="N1395" s="139"/>
      <c r="O1395" s="139"/>
      <c r="P1395" s="139"/>
      <c r="Q1395" s="139"/>
      <c r="R1395" s="139"/>
      <c r="S1395" s="139"/>
      <c r="T1395" s="139"/>
      <c r="U1395" s="139"/>
      <c r="V1395" s="139"/>
      <c r="W1395" s="139"/>
      <c r="X1395" s="139"/>
      <c r="Y1395" s="139"/>
      <c r="Z1395" s="139"/>
      <c r="AA1395" s="139"/>
      <c r="AB1395" s="139"/>
      <c r="AC1395" s="139"/>
      <c r="AD1395" s="693"/>
      <c r="AE1395" s="693"/>
    </row>
    <row r="1396" spans="2:31" ht="19.350000000000001" customHeight="1" x14ac:dyDescent="0.2">
      <c r="B1396" s="705"/>
      <c r="C1396" s="704"/>
      <c r="D1396" s="139"/>
      <c r="E1396" s="704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39"/>
      <c r="R1396" s="139"/>
      <c r="S1396" s="139"/>
      <c r="T1396" s="139"/>
      <c r="U1396" s="139"/>
      <c r="V1396" s="139"/>
      <c r="W1396" s="139"/>
      <c r="X1396" s="139"/>
      <c r="Y1396" s="139"/>
      <c r="Z1396" s="139"/>
      <c r="AA1396" s="139"/>
      <c r="AB1396" s="139"/>
      <c r="AC1396" s="139"/>
      <c r="AD1396" s="693"/>
      <c r="AE1396" s="693"/>
    </row>
    <row r="1397" spans="2:31" ht="19.350000000000001" customHeight="1" x14ac:dyDescent="0.2">
      <c r="B1397" s="705"/>
      <c r="C1397" s="704"/>
      <c r="D1397" s="146"/>
      <c r="E1397" s="704"/>
      <c r="F1397" s="139"/>
      <c r="G1397" s="139"/>
      <c r="H1397" s="139"/>
      <c r="I1397" s="139"/>
      <c r="J1397" s="139"/>
      <c r="K1397" s="139"/>
      <c r="L1397" s="139"/>
      <c r="M1397" s="139"/>
      <c r="N1397" s="139"/>
      <c r="O1397" s="139"/>
      <c r="P1397" s="139"/>
      <c r="Q1397" s="139"/>
      <c r="R1397" s="139"/>
      <c r="S1397" s="139"/>
      <c r="T1397" s="139"/>
      <c r="U1397" s="139"/>
      <c r="V1397" s="139"/>
      <c r="W1397" s="139"/>
      <c r="X1397" s="139"/>
      <c r="Y1397" s="139"/>
      <c r="Z1397" s="139"/>
      <c r="AA1397" s="139"/>
      <c r="AB1397" s="139"/>
      <c r="AC1397" s="139"/>
      <c r="AD1397" s="693"/>
      <c r="AE1397" s="693"/>
    </row>
    <row r="1398" spans="2:31" ht="19.350000000000001" customHeight="1" x14ac:dyDescent="0.2">
      <c r="B1398" s="705"/>
      <c r="C1398" s="704"/>
      <c r="D1398" s="139"/>
      <c r="E1398" s="704"/>
      <c r="F1398" s="139"/>
      <c r="G1398" s="139"/>
      <c r="H1398" s="139"/>
      <c r="I1398" s="139"/>
      <c r="J1398" s="139"/>
      <c r="K1398" s="139"/>
      <c r="L1398" s="139"/>
      <c r="M1398" s="139"/>
      <c r="N1398" s="139"/>
      <c r="O1398" s="139"/>
      <c r="P1398" s="139"/>
      <c r="Q1398" s="139"/>
      <c r="R1398" s="139"/>
      <c r="S1398" s="139"/>
      <c r="T1398" s="139"/>
      <c r="U1398" s="139"/>
      <c r="V1398" s="139"/>
      <c r="W1398" s="139"/>
      <c r="X1398" s="139"/>
      <c r="Y1398" s="139"/>
      <c r="Z1398" s="139"/>
      <c r="AA1398" s="139"/>
      <c r="AB1398" s="139"/>
      <c r="AC1398" s="139"/>
      <c r="AD1398" s="693"/>
      <c r="AE1398" s="693"/>
    </row>
    <row r="1399" spans="2:31" ht="19.350000000000001" customHeight="1" x14ac:dyDescent="0.2">
      <c r="B1399" s="705"/>
      <c r="C1399" s="704"/>
      <c r="D1399" s="139"/>
      <c r="E1399" s="704"/>
      <c r="F1399" s="139"/>
      <c r="G1399" s="139"/>
      <c r="H1399" s="139"/>
      <c r="I1399" s="139"/>
      <c r="J1399" s="139"/>
      <c r="K1399" s="139"/>
      <c r="L1399" s="139"/>
      <c r="M1399" s="139"/>
      <c r="N1399" s="139"/>
      <c r="O1399" s="139"/>
      <c r="P1399" s="139"/>
      <c r="Q1399" s="139"/>
      <c r="R1399" s="139"/>
      <c r="S1399" s="139"/>
      <c r="T1399" s="139"/>
      <c r="U1399" s="139"/>
      <c r="V1399" s="139"/>
      <c r="W1399" s="139"/>
      <c r="X1399" s="139"/>
      <c r="Y1399" s="139"/>
      <c r="Z1399" s="139"/>
      <c r="AA1399" s="139"/>
      <c r="AB1399" s="139"/>
      <c r="AC1399" s="139"/>
      <c r="AD1399" s="693"/>
      <c r="AE1399" s="693"/>
    </row>
    <row r="1400" spans="2:31" ht="19.350000000000001" customHeight="1" x14ac:dyDescent="0.2">
      <c r="B1400" s="705"/>
      <c r="C1400" s="704"/>
      <c r="D1400" s="139"/>
      <c r="E1400" s="704"/>
      <c r="F1400" s="139"/>
      <c r="G1400" s="139"/>
      <c r="H1400" s="139"/>
      <c r="I1400" s="139"/>
      <c r="J1400" s="139"/>
      <c r="K1400" s="139"/>
      <c r="L1400" s="139"/>
      <c r="M1400" s="139"/>
      <c r="N1400" s="139"/>
      <c r="O1400" s="139"/>
      <c r="P1400" s="139"/>
      <c r="Q1400" s="139"/>
      <c r="R1400" s="139"/>
      <c r="S1400" s="139"/>
      <c r="T1400" s="139"/>
      <c r="U1400" s="139"/>
      <c r="V1400" s="139"/>
      <c r="W1400" s="139"/>
      <c r="X1400" s="139"/>
      <c r="Y1400" s="139"/>
      <c r="Z1400" s="139"/>
      <c r="AA1400" s="139"/>
      <c r="AB1400" s="139"/>
      <c r="AC1400" s="139"/>
      <c r="AD1400" s="693"/>
      <c r="AE1400" s="693"/>
    </row>
    <row r="1401" spans="2:31" ht="19.350000000000001" customHeight="1" x14ac:dyDescent="0.2">
      <c r="B1401" s="705"/>
      <c r="C1401" s="704"/>
      <c r="D1401" s="139"/>
      <c r="E1401" s="704"/>
      <c r="F1401" s="139"/>
      <c r="G1401" s="139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39"/>
      <c r="R1401" s="139"/>
      <c r="S1401" s="139"/>
      <c r="T1401" s="139"/>
      <c r="U1401" s="139"/>
      <c r="V1401" s="139"/>
      <c r="W1401" s="139"/>
      <c r="X1401" s="139"/>
      <c r="Y1401" s="139"/>
      <c r="Z1401" s="139"/>
      <c r="AA1401" s="139"/>
      <c r="AB1401" s="139"/>
      <c r="AC1401" s="139"/>
      <c r="AD1401" s="693"/>
      <c r="AE1401" s="693"/>
    </row>
    <row r="1402" spans="2:31" ht="19.350000000000001" customHeight="1" x14ac:dyDescent="0.2">
      <c r="B1402" s="705"/>
      <c r="C1402" s="704"/>
      <c r="D1402" s="139"/>
      <c r="E1402" s="704"/>
      <c r="F1402" s="139"/>
      <c r="G1402" s="139"/>
      <c r="H1402" s="139"/>
      <c r="I1402" s="139"/>
      <c r="J1402" s="139"/>
      <c r="K1402" s="139"/>
      <c r="L1402" s="139"/>
      <c r="M1402" s="139"/>
      <c r="N1402" s="139"/>
      <c r="O1402" s="139"/>
      <c r="P1402" s="139"/>
      <c r="Q1402" s="139"/>
      <c r="R1402" s="139"/>
      <c r="S1402" s="139"/>
      <c r="T1402" s="139"/>
      <c r="U1402" s="139"/>
      <c r="V1402" s="139"/>
      <c r="W1402" s="139"/>
      <c r="X1402" s="139"/>
      <c r="Y1402" s="139"/>
      <c r="Z1402" s="139"/>
      <c r="AA1402" s="139"/>
      <c r="AB1402" s="139"/>
      <c r="AC1402" s="139"/>
      <c r="AD1402" s="693"/>
      <c r="AE1402" s="693"/>
    </row>
    <row r="1403" spans="2:31" ht="19.350000000000001" customHeight="1" x14ac:dyDescent="0.2">
      <c r="B1403" s="705"/>
      <c r="C1403" s="704"/>
      <c r="D1403" s="139"/>
      <c r="E1403" s="704"/>
      <c r="F1403" s="139"/>
      <c r="G1403" s="139"/>
      <c r="H1403" s="139"/>
      <c r="I1403" s="139"/>
      <c r="J1403" s="139"/>
      <c r="K1403" s="139"/>
      <c r="L1403" s="139"/>
      <c r="M1403" s="139"/>
      <c r="N1403" s="139"/>
      <c r="O1403" s="139"/>
      <c r="P1403" s="139"/>
      <c r="Q1403" s="139"/>
      <c r="R1403" s="139"/>
      <c r="S1403" s="139"/>
      <c r="T1403" s="139"/>
      <c r="U1403" s="139"/>
      <c r="V1403" s="139"/>
      <c r="W1403" s="139"/>
      <c r="X1403" s="139"/>
      <c r="Y1403" s="139"/>
      <c r="Z1403" s="139"/>
      <c r="AA1403" s="139"/>
      <c r="AB1403" s="139"/>
      <c r="AC1403" s="139"/>
      <c r="AD1403" s="693"/>
      <c r="AE1403" s="693"/>
    </row>
    <row r="1404" spans="2:31" ht="19.350000000000001" customHeight="1" x14ac:dyDescent="0.2">
      <c r="B1404" s="705"/>
      <c r="C1404" s="704"/>
      <c r="D1404" s="139"/>
      <c r="E1404" s="704"/>
      <c r="F1404" s="139"/>
      <c r="G1404" s="139"/>
      <c r="H1404" s="139"/>
      <c r="I1404" s="139"/>
      <c r="J1404" s="139"/>
      <c r="K1404" s="139"/>
      <c r="L1404" s="139"/>
      <c r="M1404" s="139"/>
      <c r="N1404" s="139"/>
      <c r="O1404" s="139"/>
      <c r="P1404" s="139"/>
      <c r="Q1404" s="139"/>
      <c r="R1404" s="139"/>
      <c r="S1404" s="139"/>
      <c r="T1404" s="139"/>
      <c r="U1404" s="139"/>
      <c r="V1404" s="139"/>
      <c r="W1404" s="139"/>
      <c r="X1404" s="139"/>
      <c r="Y1404" s="139"/>
      <c r="Z1404" s="139"/>
      <c r="AA1404" s="139"/>
      <c r="AB1404" s="139"/>
      <c r="AC1404" s="139"/>
      <c r="AD1404" s="693"/>
      <c r="AE1404" s="693"/>
    </row>
    <row r="1405" spans="2:31" ht="19.350000000000001" customHeight="1" x14ac:dyDescent="0.2">
      <c r="B1405" s="705"/>
      <c r="C1405" s="704"/>
      <c r="D1405" s="139"/>
      <c r="E1405" s="704"/>
      <c r="F1405" s="139"/>
      <c r="G1405" s="139"/>
      <c r="H1405" s="139"/>
      <c r="I1405" s="139"/>
      <c r="J1405" s="139"/>
      <c r="K1405" s="139"/>
      <c r="L1405" s="139"/>
      <c r="M1405" s="139"/>
      <c r="N1405" s="139"/>
      <c r="O1405" s="139"/>
      <c r="P1405" s="139"/>
      <c r="Q1405" s="139"/>
      <c r="R1405" s="139"/>
      <c r="S1405" s="139"/>
      <c r="T1405" s="139"/>
      <c r="U1405" s="139"/>
      <c r="V1405" s="139"/>
      <c r="W1405" s="139"/>
      <c r="X1405" s="139"/>
      <c r="Y1405" s="139"/>
      <c r="Z1405" s="139"/>
      <c r="AA1405" s="139"/>
      <c r="AB1405" s="139"/>
      <c r="AC1405" s="139"/>
      <c r="AD1405" s="693"/>
      <c r="AE1405" s="693"/>
    </row>
    <row r="1406" spans="2:31" ht="19.350000000000001" customHeight="1" x14ac:dyDescent="0.2">
      <c r="B1406" s="705"/>
      <c r="C1406" s="704"/>
      <c r="D1406" s="139"/>
      <c r="E1406" s="704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3"/>
      <c r="AE1406" s="693"/>
    </row>
    <row r="1407" spans="2:31" ht="19.350000000000001" customHeight="1" x14ac:dyDescent="0.2">
      <c r="B1407" s="705"/>
      <c r="C1407" s="704"/>
      <c r="D1407" s="139"/>
      <c r="E1407" s="704"/>
      <c r="F1407" s="139"/>
      <c r="G1407" s="139"/>
      <c r="H1407" s="139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39"/>
      <c r="AC1407" s="139"/>
      <c r="AD1407" s="693"/>
      <c r="AE1407" s="693"/>
    </row>
    <row r="1408" spans="2:31" ht="19.350000000000001" customHeight="1" x14ac:dyDescent="0.2">
      <c r="B1408" s="705"/>
      <c r="C1408" s="704"/>
      <c r="D1408" s="139"/>
      <c r="E1408" s="704"/>
      <c r="F1408" s="139"/>
      <c r="G1408" s="139"/>
      <c r="H1408" s="139"/>
      <c r="I1408" s="139"/>
      <c r="J1408" s="139"/>
      <c r="K1408" s="139"/>
      <c r="L1408" s="139"/>
      <c r="M1408" s="139"/>
      <c r="N1408" s="139"/>
      <c r="O1408" s="139"/>
      <c r="P1408" s="139"/>
      <c r="Q1408" s="139"/>
      <c r="R1408" s="139"/>
      <c r="S1408" s="139"/>
      <c r="T1408" s="139"/>
      <c r="U1408" s="139"/>
      <c r="V1408" s="139"/>
      <c r="W1408" s="139"/>
      <c r="X1408" s="139"/>
      <c r="Y1408" s="139"/>
      <c r="Z1408" s="139"/>
      <c r="AA1408" s="139"/>
      <c r="AB1408" s="139"/>
      <c r="AC1408" s="139"/>
      <c r="AD1408" s="693"/>
      <c r="AE1408" s="693"/>
    </row>
    <row r="1409" spans="2:31" ht="19.350000000000001" customHeight="1" x14ac:dyDescent="0.2">
      <c r="B1409" s="705"/>
      <c r="C1409" s="704"/>
      <c r="D1409" s="139"/>
      <c r="E1409" s="704"/>
      <c r="F1409" s="139"/>
      <c r="G1409" s="139"/>
      <c r="H1409" s="139"/>
      <c r="I1409" s="139"/>
      <c r="J1409" s="139"/>
      <c r="K1409" s="139"/>
      <c r="L1409" s="139"/>
      <c r="M1409" s="139"/>
      <c r="N1409" s="139"/>
      <c r="O1409" s="139"/>
      <c r="P1409" s="139"/>
      <c r="Q1409" s="139"/>
      <c r="R1409" s="139"/>
      <c r="S1409" s="139"/>
      <c r="T1409" s="139"/>
      <c r="U1409" s="139"/>
      <c r="V1409" s="139"/>
      <c r="W1409" s="139"/>
      <c r="X1409" s="139"/>
      <c r="Y1409" s="139"/>
      <c r="Z1409" s="139"/>
      <c r="AA1409" s="139"/>
      <c r="AB1409" s="139"/>
      <c r="AC1409" s="139"/>
      <c r="AD1409" s="693"/>
      <c r="AE1409" s="693"/>
    </row>
    <row r="1410" spans="2:31" ht="19.350000000000001" customHeight="1" x14ac:dyDescent="0.2">
      <c r="B1410" s="705"/>
      <c r="C1410" s="704"/>
      <c r="D1410" s="139"/>
      <c r="E1410" s="704"/>
      <c r="F1410" s="139"/>
      <c r="G1410" s="139"/>
      <c r="H1410" s="139"/>
      <c r="I1410" s="139"/>
      <c r="J1410" s="139"/>
      <c r="K1410" s="139"/>
      <c r="L1410" s="139"/>
      <c r="M1410" s="139"/>
      <c r="N1410" s="139"/>
      <c r="O1410" s="139"/>
      <c r="P1410" s="139"/>
      <c r="Q1410" s="139"/>
      <c r="R1410" s="139"/>
      <c r="S1410" s="139"/>
      <c r="T1410" s="139"/>
      <c r="U1410" s="139"/>
      <c r="V1410" s="139"/>
      <c r="W1410" s="139"/>
      <c r="X1410" s="139"/>
      <c r="Y1410" s="139"/>
      <c r="Z1410" s="139"/>
      <c r="AA1410" s="139"/>
      <c r="AB1410" s="139"/>
      <c r="AC1410" s="139"/>
      <c r="AD1410" s="693"/>
      <c r="AE1410" s="693"/>
    </row>
    <row r="1411" spans="2:31" ht="19.350000000000001" customHeight="1" x14ac:dyDescent="0.2">
      <c r="B1411" s="705"/>
      <c r="C1411" s="704"/>
      <c r="D1411" s="139"/>
      <c r="E1411" s="704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39"/>
      <c r="R1411" s="139"/>
      <c r="S1411" s="139"/>
      <c r="T1411" s="139"/>
      <c r="U1411" s="139"/>
      <c r="V1411" s="139"/>
      <c r="W1411" s="139"/>
      <c r="X1411" s="139"/>
      <c r="Y1411" s="139"/>
      <c r="Z1411" s="139"/>
      <c r="AA1411" s="139"/>
      <c r="AB1411" s="139"/>
      <c r="AC1411" s="139"/>
      <c r="AD1411" s="693"/>
      <c r="AE1411" s="693"/>
    </row>
    <row r="1412" spans="2:31" ht="19.350000000000001" customHeight="1" x14ac:dyDescent="0.2">
      <c r="B1412" s="705"/>
      <c r="C1412" s="704"/>
      <c r="D1412" s="139"/>
      <c r="E1412" s="704"/>
      <c r="F1412" s="139"/>
      <c r="G1412" s="139"/>
      <c r="H1412" s="139"/>
      <c r="I1412" s="139"/>
      <c r="J1412" s="139"/>
      <c r="K1412" s="139"/>
      <c r="L1412" s="139"/>
      <c r="M1412" s="139"/>
      <c r="N1412" s="139"/>
      <c r="O1412" s="139"/>
      <c r="P1412" s="139"/>
      <c r="Q1412" s="139"/>
      <c r="R1412" s="139"/>
      <c r="S1412" s="139"/>
      <c r="T1412" s="139"/>
      <c r="U1412" s="139"/>
      <c r="V1412" s="139"/>
      <c r="W1412" s="139"/>
      <c r="X1412" s="139"/>
      <c r="Y1412" s="139"/>
      <c r="Z1412" s="139"/>
      <c r="AA1412" s="139"/>
      <c r="AB1412" s="139"/>
      <c r="AC1412" s="139"/>
      <c r="AD1412" s="693"/>
      <c r="AE1412" s="693"/>
    </row>
    <row r="1413" spans="2:31" ht="19.350000000000001" customHeight="1" x14ac:dyDescent="0.2">
      <c r="B1413" s="705"/>
      <c r="C1413" s="704"/>
      <c r="D1413" s="146"/>
      <c r="E1413" s="704"/>
      <c r="F1413" s="139"/>
      <c r="G1413" s="139"/>
      <c r="H1413" s="139"/>
      <c r="I1413" s="139"/>
      <c r="J1413" s="139"/>
      <c r="K1413" s="139"/>
      <c r="L1413" s="139"/>
      <c r="M1413" s="139"/>
      <c r="N1413" s="139"/>
      <c r="O1413" s="139"/>
      <c r="P1413" s="139"/>
      <c r="Q1413" s="139"/>
      <c r="R1413" s="139"/>
      <c r="S1413" s="139"/>
      <c r="T1413" s="139"/>
      <c r="U1413" s="139"/>
      <c r="V1413" s="139"/>
      <c r="W1413" s="139"/>
      <c r="X1413" s="139"/>
      <c r="Y1413" s="139"/>
      <c r="Z1413" s="139"/>
      <c r="AA1413" s="139"/>
      <c r="AB1413" s="139"/>
      <c r="AC1413" s="139"/>
      <c r="AD1413" s="693"/>
      <c r="AE1413" s="693"/>
    </row>
    <row r="1414" spans="2:31" ht="9.75" customHeight="1" x14ac:dyDescent="0.2">
      <c r="B1414" s="705"/>
      <c r="C1414" s="704"/>
      <c r="D1414" s="139"/>
      <c r="E1414" s="704"/>
      <c r="F1414" s="139"/>
      <c r="G1414" s="139"/>
      <c r="H1414" s="139"/>
      <c r="I1414" s="139"/>
      <c r="J1414" s="139"/>
      <c r="K1414" s="139"/>
      <c r="L1414" s="139"/>
      <c r="M1414" s="139"/>
      <c r="N1414" s="139"/>
      <c r="O1414" s="139"/>
      <c r="P1414" s="139"/>
      <c r="Q1414" s="139"/>
      <c r="R1414" s="139"/>
      <c r="S1414" s="139"/>
      <c r="T1414" s="139"/>
      <c r="U1414" s="139"/>
      <c r="V1414" s="139"/>
      <c r="W1414" s="139"/>
      <c r="X1414" s="139"/>
      <c r="Y1414" s="139"/>
      <c r="Z1414" s="139"/>
      <c r="AA1414" s="139"/>
      <c r="AB1414" s="139"/>
      <c r="AC1414" s="139"/>
      <c r="AD1414" s="693"/>
      <c r="AE1414" s="693"/>
    </row>
    <row r="1415" spans="2:31" ht="9.75" customHeight="1" x14ac:dyDescent="0.2">
      <c r="B1415" s="705"/>
      <c r="C1415" s="704"/>
      <c r="D1415" s="139"/>
      <c r="E1415" s="704"/>
      <c r="F1415" s="139"/>
      <c r="G1415" s="139"/>
      <c r="H1415" s="139"/>
      <c r="I1415" s="139"/>
      <c r="J1415" s="139"/>
      <c r="K1415" s="139"/>
      <c r="L1415" s="139"/>
      <c r="M1415" s="139"/>
      <c r="N1415" s="139"/>
      <c r="O1415" s="139"/>
      <c r="P1415" s="139"/>
      <c r="Q1415" s="139"/>
      <c r="R1415" s="139"/>
      <c r="S1415" s="139"/>
      <c r="T1415" s="139"/>
      <c r="U1415" s="139"/>
      <c r="V1415" s="139"/>
      <c r="W1415" s="139"/>
      <c r="X1415" s="139"/>
      <c r="Y1415" s="139"/>
      <c r="Z1415" s="139"/>
      <c r="AA1415" s="139"/>
      <c r="AB1415" s="139"/>
      <c r="AC1415" s="139"/>
      <c r="AD1415" s="693"/>
      <c r="AE1415" s="693"/>
    </row>
    <row r="1416" spans="2:31" ht="19.350000000000001" customHeight="1" x14ac:dyDescent="0.2">
      <c r="B1416" s="705"/>
      <c r="C1416" s="704"/>
      <c r="D1416" s="139"/>
      <c r="E1416" s="704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39"/>
      <c r="R1416" s="139"/>
      <c r="S1416" s="139"/>
      <c r="T1416" s="139"/>
      <c r="U1416" s="139"/>
      <c r="V1416" s="139"/>
      <c r="W1416" s="139"/>
      <c r="X1416" s="139"/>
      <c r="Y1416" s="139"/>
      <c r="Z1416" s="139"/>
      <c r="AA1416" s="139"/>
      <c r="AB1416" s="139"/>
      <c r="AC1416" s="139"/>
      <c r="AD1416" s="693"/>
      <c r="AE1416" s="693"/>
    </row>
    <row r="1417" spans="2:31" ht="10.9" customHeight="1" x14ac:dyDescent="0.2">
      <c r="B1417" s="705"/>
      <c r="C1417" s="704"/>
      <c r="D1417" s="139"/>
      <c r="E1417" s="704"/>
      <c r="F1417" s="139"/>
      <c r="G1417" s="139"/>
      <c r="H1417" s="139"/>
      <c r="I1417" s="139"/>
      <c r="J1417" s="139"/>
      <c r="K1417" s="139"/>
      <c r="L1417" s="139"/>
      <c r="M1417" s="139"/>
      <c r="N1417" s="139"/>
      <c r="O1417" s="139"/>
      <c r="P1417" s="139"/>
      <c r="Q1417" s="139"/>
      <c r="R1417" s="139"/>
      <c r="S1417" s="139"/>
      <c r="T1417" s="139"/>
      <c r="U1417" s="139"/>
      <c r="V1417" s="139"/>
      <c r="W1417" s="139"/>
      <c r="X1417" s="139"/>
      <c r="Y1417" s="139"/>
      <c r="Z1417" s="139"/>
      <c r="AA1417" s="139"/>
      <c r="AB1417" s="139"/>
      <c r="AC1417" s="139"/>
      <c r="AD1417" s="693"/>
      <c r="AE1417" s="693"/>
    </row>
    <row r="1418" spans="2:31" ht="9.75" customHeight="1" x14ac:dyDescent="0.2">
      <c r="B1418" s="705"/>
      <c r="C1418" s="704"/>
      <c r="D1418" s="139"/>
      <c r="E1418" s="704"/>
      <c r="F1418" s="139"/>
      <c r="G1418" s="139"/>
      <c r="H1418" s="139"/>
      <c r="I1418" s="139"/>
      <c r="J1418" s="139"/>
      <c r="K1418" s="139"/>
      <c r="L1418" s="139"/>
      <c r="M1418" s="139"/>
      <c r="N1418" s="139"/>
      <c r="O1418" s="139"/>
      <c r="P1418" s="139"/>
      <c r="Q1418" s="139"/>
      <c r="R1418" s="139"/>
      <c r="S1418" s="139"/>
      <c r="T1418" s="139"/>
      <c r="U1418" s="139"/>
      <c r="V1418" s="139"/>
      <c r="W1418" s="139"/>
      <c r="X1418" s="139"/>
      <c r="Y1418" s="139"/>
      <c r="Z1418" s="139"/>
      <c r="AA1418" s="139"/>
      <c r="AB1418" s="139"/>
      <c r="AC1418" s="139"/>
      <c r="AD1418" s="693"/>
      <c r="AE1418" s="693"/>
    </row>
    <row r="1419" spans="2:31" ht="9.75" customHeight="1" x14ac:dyDescent="0.2">
      <c r="B1419" s="705"/>
      <c r="C1419" s="704"/>
      <c r="D1419" s="139"/>
      <c r="E1419" s="704"/>
      <c r="F1419" s="139"/>
      <c r="G1419" s="139"/>
      <c r="H1419" s="139"/>
      <c r="I1419" s="139"/>
      <c r="J1419" s="139"/>
      <c r="K1419" s="139"/>
      <c r="L1419" s="139"/>
      <c r="M1419" s="139"/>
      <c r="N1419" s="139"/>
      <c r="O1419" s="139"/>
      <c r="P1419" s="139"/>
      <c r="Q1419" s="139"/>
      <c r="R1419" s="139"/>
      <c r="S1419" s="139"/>
      <c r="T1419" s="139"/>
      <c r="U1419" s="139"/>
      <c r="V1419" s="139"/>
      <c r="W1419" s="139"/>
      <c r="X1419" s="139"/>
      <c r="Y1419" s="139"/>
      <c r="Z1419" s="139"/>
      <c r="AA1419" s="139"/>
      <c r="AB1419" s="139"/>
      <c r="AC1419" s="139"/>
      <c r="AD1419" s="693"/>
      <c r="AE1419" s="693"/>
    </row>
    <row r="1420" spans="2:31" ht="9.75" customHeight="1" x14ac:dyDescent="0.2">
      <c r="B1420" s="705"/>
      <c r="C1420" s="704"/>
      <c r="D1420" s="139"/>
      <c r="E1420" s="704"/>
      <c r="F1420" s="139"/>
      <c r="G1420" s="139"/>
      <c r="H1420" s="139"/>
      <c r="I1420" s="139"/>
      <c r="J1420" s="139"/>
      <c r="K1420" s="139"/>
      <c r="L1420" s="139"/>
      <c r="M1420" s="139"/>
      <c r="N1420" s="139"/>
      <c r="O1420" s="139"/>
      <c r="P1420" s="139"/>
      <c r="Q1420" s="139"/>
      <c r="R1420" s="139"/>
      <c r="S1420" s="139"/>
      <c r="T1420" s="139"/>
      <c r="U1420" s="139"/>
      <c r="V1420" s="139"/>
      <c r="W1420" s="139"/>
      <c r="X1420" s="139"/>
      <c r="Y1420" s="139"/>
      <c r="Z1420" s="139"/>
      <c r="AA1420" s="139"/>
      <c r="AB1420" s="139"/>
      <c r="AC1420" s="139"/>
      <c r="AD1420" s="693"/>
      <c r="AE1420" s="693"/>
    </row>
    <row r="1421" spans="2:31" ht="9.75" customHeight="1" x14ac:dyDescent="0.2">
      <c r="B1421" s="705"/>
      <c r="C1421" s="704"/>
      <c r="D1421" s="139"/>
      <c r="E1421" s="704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39"/>
      <c r="R1421" s="139"/>
      <c r="S1421" s="139"/>
      <c r="T1421" s="139"/>
      <c r="U1421" s="139"/>
      <c r="V1421" s="139"/>
      <c r="W1421" s="139"/>
      <c r="X1421" s="139"/>
      <c r="Y1421" s="139"/>
      <c r="Z1421" s="139"/>
      <c r="AA1421" s="139"/>
      <c r="AB1421" s="139"/>
      <c r="AC1421" s="139"/>
      <c r="AD1421" s="693"/>
      <c r="AE1421" s="693"/>
    </row>
    <row r="1422" spans="2:31" ht="9.75" customHeight="1" x14ac:dyDescent="0.2">
      <c r="B1422" s="705"/>
      <c r="C1422" s="704"/>
      <c r="D1422" s="139"/>
      <c r="E1422" s="704"/>
      <c r="F1422" s="139"/>
      <c r="G1422" s="139"/>
      <c r="H1422" s="139"/>
      <c r="I1422" s="139"/>
      <c r="J1422" s="139"/>
      <c r="K1422" s="139"/>
      <c r="L1422" s="139"/>
      <c r="M1422" s="139"/>
      <c r="N1422" s="139"/>
      <c r="O1422" s="139"/>
      <c r="P1422" s="139"/>
      <c r="Q1422" s="139"/>
      <c r="R1422" s="139"/>
      <c r="S1422" s="139"/>
      <c r="T1422" s="139"/>
      <c r="U1422" s="139"/>
      <c r="V1422" s="139"/>
      <c r="W1422" s="139"/>
      <c r="X1422" s="139"/>
      <c r="Y1422" s="139"/>
      <c r="Z1422" s="139"/>
      <c r="AA1422" s="139"/>
      <c r="AB1422" s="139"/>
      <c r="AC1422" s="139"/>
      <c r="AD1422" s="693"/>
      <c r="AE1422" s="693"/>
    </row>
    <row r="1423" spans="2:31" ht="9.75" customHeight="1" x14ac:dyDescent="0.2">
      <c r="B1423" s="705"/>
      <c r="C1423" s="704"/>
      <c r="D1423" s="146"/>
      <c r="E1423" s="704"/>
      <c r="F1423" s="139"/>
      <c r="G1423" s="139"/>
      <c r="H1423" s="139"/>
      <c r="I1423" s="139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693"/>
      <c r="AE1423" s="693"/>
    </row>
    <row r="1424" spans="2:31" ht="9.75" customHeight="1" x14ac:dyDescent="0.2">
      <c r="B1424" s="705"/>
      <c r="C1424" s="704"/>
      <c r="D1424" s="139"/>
      <c r="E1424" s="704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3"/>
      <c r="AE1424" s="693"/>
    </row>
    <row r="1425" spans="2:31" ht="9.75" customHeight="1" x14ac:dyDescent="0.2">
      <c r="B1425" s="705"/>
      <c r="C1425" s="704"/>
      <c r="D1425" s="139"/>
      <c r="E1425" s="704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3"/>
      <c r="AE1425" s="693"/>
    </row>
    <row r="1426" spans="2:31" ht="9.75" customHeight="1" x14ac:dyDescent="0.2">
      <c r="B1426" s="705"/>
      <c r="C1426" s="704"/>
      <c r="D1426" s="139"/>
      <c r="E1426" s="704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3"/>
      <c r="AE1426" s="693"/>
    </row>
    <row r="1427" spans="2:31" ht="9.75" customHeight="1" x14ac:dyDescent="0.2">
      <c r="B1427" s="705"/>
      <c r="C1427" s="704"/>
      <c r="D1427" s="139"/>
      <c r="E1427" s="704"/>
      <c r="F1427" s="139"/>
      <c r="G1427" s="139"/>
      <c r="H1427" s="139"/>
      <c r="I1427" s="139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693"/>
      <c r="AE1427" s="693"/>
    </row>
    <row r="1428" spans="2:31" ht="9.75" customHeight="1" x14ac:dyDescent="0.2">
      <c r="B1428" s="705"/>
      <c r="C1428" s="704"/>
      <c r="D1428" s="139"/>
      <c r="E1428" s="704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3"/>
      <c r="AE1428" s="693"/>
    </row>
    <row r="1429" spans="2:31" ht="9.75" customHeight="1" x14ac:dyDescent="0.2">
      <c r="B1429" s="705"/>
      <c r="C1429" s="704"/>
      <c r="D1429" s="139"/>
      <c r="E1429" s="704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3"/>
      <c r="AE1429" s="693"/>
    </row>
    <row r="1430" spans="2:31" ht="9.75" customHeight="1" x14ac:dyDescent="0.2">
      <c r="B1430" s="705"/>
      <c r="C1430" s="704"/>
      <c r="D1430" s="139"/>
      <c r="E1430" s="704"/>
      <c r="F1430" s="139"/>
      <c r="G1430" s="139"/>
      <c r="H1430" s="139"/>
      <c r="I1430" s="139"/>
      <c r="J1430" s="139"/>
      <c r="K1430" s="139"/>
      <c r="L1430" s="139"/>
      <c r="M1430" s="139"/>
      <c r="N1430" s="139"/>
      <c r="O1430" s="139"/>
      <c r="P1430" s="139"/>
      <c r="Q1430" s="139"/>
      <c r="R1430" s="139"/>
      <c r="S1430" s="139"/>
      <c r="T1430" s="139"/>
      <c r="U1430" s="139"/>
      <c r="V1430" s="139"/>
      <c r="W1430" s="139"/>
      <c r="X1430" s="139"/>
      <c r="Y1430" s="139"/>
      <c r="Z1430" s="139"/>
      <c r="AA1430" s="139"/>
      <c r="AB1430" s="139"/>
      <c r="AC1430" s="139"/>
      <c r="AD1430" s="693"/>
      <c r="AE1430" s="693"/>
    </row>
    <row r="1431" spans="2:31" ht="9.75" customHeight="1" x14ac:dyDescent="0.2">
      <c r="B1431" s="705"/>
      <c r="C1431" s="704"/>
      <c r="D1431" s="139"/>
      <c r="E1431" s="704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693"/>
      <c r="AE1431" s="693"/>
    </row>
    <row r="1432" spans="2:31" ht="9.75" customHeight="1" x14ac:dyDescent="0.2">
      <c r="B1432" s="705"/>
      <c r="C1432" s="704"/>
      <c r="D1432" s="146"/>
      <c r="E1432" s="704"/>
      <c r="F1432" s="139"/>
      <c r="G1432" s="139"/>
      <c r="H1432" s="139"/>
      <c r="I1432" s="139"/>
      <c r="J1432" s="139"/>
      <c r="K1432" s="139"/>
      <c r="L1432" s="139"/>
      <c r="M1432" s="139"/>
      <c r="N1432" s="139"/>
      <c r="O1432" s="139"/>
      <c r="P1432" s="139"/>
      <c r="Q1432" s="139"/>
      <c r="R1432" s="139"/>
      <c r="S1432" s="139"/>
      <c r="T1432" s="139"/>
      <c r="U1432" s="139"/>
      <c r="V1432" s="139"/>
      <c r="W1432" s="139"/>
      <c r="X1432" s="139"/>
      <c r="Y1432" s="139"/>
      <c r="Z1432" s="139"/>
      <c r="AA1432" s="139"/>
      <c r="AB1432" s="139"/>
      <c r="AC1432" s="139"/>
      <c r="AD1432" s="693"/>
      <c r="AE1432" s="693"/>
    </row>
    <row r="1433" spans="2:31" ht="9.75" customHeight="1" x14ac:dyDescent="0.2">
      <c r="B1433" s="705"/>
      <c r="C1433" s="704"/>
      <c r="D1433" s="139"/>
      <c r="E1433" s="704"/>
      <c r="F1433" s="139"/>
      <c r="G1433" s="139"/>
      <c r="H1433" s="139"/>
      <c r="I1433" s="139"/>
      <c r="J1433" s="139"/>
      <c r="K1433" s="139"/>
      <c r="L1433" s="139"/>
      <c r="M1433" s="139"/>
      <c r="N1433" s="139"/>
      <c r="O1433" s="139"/>
      <c r="P1433" s="139"/>
      <c r="Q1433" s="139"/>
      <c r="R1433" s="139"/>
      <c r="S1433" s="139"/>
      <c r="T1433" s="139"/>
      <c r="U1433" s="139"/>
      <c r="V1433" s="139"/>
      <c r="W1433" s="139"/>
      <c r="X1433" s="139"/>
      <c r="Y1433" s="139"/>
      <c r="Z1433" s="139"/>
      <c r="AA1433" s="139"/>
      <c r="AB1433" s="139"/>
      <c r="AC1433" s="139"/>
      <c r="AD1433" s="693"/>
      <c r="AE1433" s="693"/>
    </row>
    <row r="1434" spans="2:31" ht="9.75" customHeight="1" x14ac:dyDescent="0.2">
      <c r="B1434" s="705"/>
      <c r="C1434" s="704"/>
      <c r="D1434" s="139"/>
      <c r="E1434" s="704"/>
      <c r="F1434" s="139"/>
      <c r="G1434" s="139"/>
      <c r="H1434" s="139"/>
      <c r="I1434" s="139"/>
      <c r="J1434" s="139"/>
      <c r="K1434" s="139"/>
      <c r="L1434" s="139"/>
      <c r="M1434" s="139"/>
      <c r="N1434" s="139"/>
      <c r="O1434" s="139"/>
      <c r="P1434" s="139"/>
      <c r="Q1434" s="139"/>
      <c r="R1434" s="139"/>
      <c r="S1434" s="139"/>
      <c r="T1434" s="139"/>
      <c r="U1434" s="139"/>
      <c r="V1434" s="139"/>
      <c r="W1434" s="139"/>
      <c r="X1434" s="139"/>
      <c r="Y1434" s="139"/>
      <c r="Z1434" s="139"/>
      <c r="AA1434" s="139"/>
      <c r="AB1434" s="139"/>
      <c r="AC1434" s="139"/>
      <c r="AD1434" s="693"/>
      <c r="AE1434" s="693"/>
    </row>
    <row r="1435" spans="2:31" ht="9.75" customHeight="1" x14ac:dyDescent="0.2">
      <c r="B1435" s="705"/>
      <c r="C1435" s="704"/>
      <c r="D1435" s="139"/>
      <c r="E1435" s="704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3"/>
      <c r="AE1435" s="693"/>
    </row>
    <row r="1436" spans="2:31" ht="9.75" customHeight="1" x14ac:dyDescent="0.2">
      <c r="B1436" s="705"/>
      <c r="C1436" s="704"/>
      <c r="D1436" s="139"/>
      <c r="E1436" s="704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3"/>
      <c r="AE1436" s="693"/>
    </row>
    <row r="1437" spans="2:31" ht="9.75" customHeight="1" x14ac:dyDescent="0.2">
      <c r="B1437" s="705"/>
      <c r="C1437" s="704"/>
      <c r="D1437" s="139"/>
      <c r="E1437" s="704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3"/>
      <c r="AE1437" s="693"/>
    </row>
    <row r="1438" spans="2:31" ht="9.75" customHeight="1" x14ac:dyDescent="0.2">
      <c r="B1438" s="705"/>
      <c r="C1438" s="704"/>
      <c r="D1438" s="139"/>
      <c r="E1438" s="704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3"/>
      <c r="AE1438" s="693"/>
    </row>
    <row r="1439" spans="2:31" ht="9.75" customHeight="1" x14ac:dyDescent="0.2">
      <c r="B1439" s="705"/>
      <c r="C1439" s="704"/>
      <c r="D1439" s="139"/>
      <c r="E1439" s="704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3"/>
      <c r="AE1439" s="693"/>
    </row>
    <row r="1440" spans="2:31" ht="9.75" customHeight="1" x14ac:dyDescent="0.2">
      <c r="B1440" s="705"/>
      <c r="C1440" s="704"/>
      <c r="D1440" s="139"/>
      <c r="E1440" s="704"/>
      <c r="F1440" s="139"/>
      <c r="G1440" s="139"/>
      <c r="H1440" s="139"/>
      <c r="I1440" s="139"/>
      <c r="J1440" s="139"/>
      <c r="K1440" s="139"/>
      <c r="L1440" s="139"/>
      <c r="M1440" s="139"/>
      <c r="N1440" s="139"/>
      <c r="O1440" s="139"/>
      <c r="P1440" s="139"/>
      <c r="Q1440" s="139"/>
      <c r="R1440" s="139"/>
      <c r="S1440" s="139"/>
      <c r="T1440" s="139"/>
      <c r="U1440" s="139"/>
      <c r="V1440" s="139"/>
      <c r="W1440" s="139"/>
      <c r="X1440" s="139"/>
      <c r="Y1440" s="139"/>
      <c r="Z1440" s="139"/>
      <c r="AA1440" s="139"/>
      <c r="AB1440" s="139"/>
      <c r="AC1440" s="139"/>
      <c r="AD1440" s="693"/>
      <c r="AE1440" s="693"/>
    </row>
    <row r="1441" spans="2:31" ht="9.75" customHeight="1" x14ac:dyDescent="0.2">
      <c r="B1441" s="705"/>
      <c r="C1441" s="704"/>
      <c r="D1441" s="139"/>
      <c r="E1441" s="704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3"/>
      <c r="AE1441" s="693"/>
    </row>
    <row r="1442" spans="2:31" ht="9.75" customHeight="1" x14ac:dyDescent="0.2">
      <c r="B1442" s="705"/>
      <c r="C1442" s="704"/>
      <c r="D1442" s="139"/>
      <c r="E1442" s="704"/>
      <c r="F1442" s="139"/>
      <c r="G1442" s="139"/>
      <c r="H1442" s="139"/>
      <c r="I1442" s="139"/>
      <c r="J1442" s="139"/>
      <c r="K1442" s="139"/>
      <c r="L1442" s="139"/>
      <c r="M1442" s="139"/>
      <c r="N1442" s="139"/>
      <c r="O1442" s="139"/>
      <c r="P1442" s="139"/>
      <c r="Q1442" s="139"/>
      <c r="R1442" s="139"/>
      <c r="S1442" s="139"/>
      <c r="T1442" s="139"/>
      <c r="U1442" s="139"/>
      <c r="V1442" s="139"/>
      <c r="W1442" s="139"/>
      <c r="X1442" s="139"/>
      <c r="Y1442" s="139"/>
      <c r="Z1442" s="139"/>
      <c r="AA1442" s="139"/>
      <c r="AB1442" s="139"/>
      <c r="AC1442" s="139"/>
      <c r="AD1442" s="693"/>
      <c r="AE1442" s="693"/>
    </row>
    <row r="1443" spans="2:31" ht="9.75" customHeight="1" x14ac:dyDescent="0.2">
      <c r="B1443" s="705"/>
      <c r="C1443" s="704"/>
      <c r="D1443" s="146"/>
      <c r="E1443" s="704"/>
      <c r="F1443" s="139"/>
      <c r="G1443" s="139"/>
      <c r="H1443" s="139"/>
      <c r="I1443" s="139"/>
      <c r="J1443" s="118"/>
      <c r="K1443" s="118"/>
      <c r="L1443" s="118"/>
      <c r="M1443" s="118"/>
      <c r="N1443" s="118"/>
      <c r="O1443" s="118"/>
      <c r="P1443" s="118"/>
      <c r="Q1443" s="118"/>
      <c r="R1443" s="118"/>
      <c r="S1443" s="118"/>
      <c r="T1443" s="118"/>
      <c r="U1443" s="118"/>
      <c r="V1443" s="118"/>
      <c r="W1443" s="118"/>
      <c r="X1443" s="118"/>
      <c r="Y1443" s="118"/>
      <c r="Z1443" s="118"/>
      <c r="AA1443" s="118"/>
      <c r="AB1443" s="118"/>
      <c r="AC1443" s="118"/>
      <c r="AD1443" s="693"/>
      <c r="AE1443" s="693"/>
    </row>
    <row r="1444" spans="2:31" ht="9.75" customHeight="1" x14ac:dyDescent="0.2">
      <c r="B1444" s="705"/>
      <c r="C1444" s="704"/>
      <c r="D1444" s="139"/>
      <c r="E1444" s="704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3"/>
      <c r="AE1444" s="693"/>
    </row>
    <row r="1445" spans="2:31" ht="9.75" customHeight="1" x14ac:dyDescent="0.2">
      <c r="B1445" s="705"/>
      <c r="C1445" s="704"/>
      <c r="D1445" s="142"/>
      <c r="E1445" s="70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693"/>
      <c r="AE1445" s="693"/>
    </row>
    <row r="1446" spans="2:31" ht="9.75" customHeight="1" x14ac:dyDescent="0.2">
      <c r="B1446" s="705"/>
      <c r="C1446" s="704"/>
      <c r="D1446" s="139"/>
      <c r="E1446" s="704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3"/>
      <c r="AE1446" s="693"/>
    </row>
    <row r="1447" spans="2:31" ht="9.75" customHeight="1" x14ac:dyDescent="0.2">
      <c r="B1447" s="705"/>
      <c r="C1447" s="704"/>
      <c r="D1447" s="139"/>
      <c r="E1447" s="704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3"/>
      <c r="AE1447" s="693"/>
    </row>
    <row r="1448" spans="2:31" ht="9.75" customHeight="1" x14ac:dyDescent="0.2">
      <c r="B1448" s="705"/>
      <c r="C1448" s="704"/>
      <c r="D1448" s="142"/>
      <c r="E1448" s="70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693"/>
      <c r="AE1448" s="693"/>
    </row>
    <row r="1449" spans="2:31" ht="9.75" customHeight="1" x14ac:dyDescent="0.2">
      <c r="B1449" s="705"/>
      <c r="C1449" s="704"/>
      <c r="D1449" s="139"/>
      <c r="E1449" s="704"/>
      <c r="F1449" s="139"/>
      <c r="G1449" s="139"/>
      <c r="H1449" s="139"/>
      <c r="I1449" s="139"/>
      <c r="J1449" s="139"/>
      <c r="K1449" s="139"/>
      <c r="L1449" s="139"/>
      <c r="M1449" s="139"/>
      <c r="N1449" s="139"/>
      <c r="O1449" s="139"/>
      <c r="P1449" s="139"/>
      <c r="Q1449" s="139"/>
      <c r="R1449" s="139"/>
      <c r="S1449" s="139"/>
      <c r="T1449" s="139"/>
      <c r="U1449" s="139"/>
      <c r="V1449" s="139"/>
      <c r="W1449" s="139"/>
      <c r="X1449" s="139"/>
      <c r="Y1449" s="139"/>
      <c r="Z1449" s="139"/>
      <c r="AA1449" s="139"/>
      <c r="AB1449" s="139"/>
      <c r="AC1449" s="139"/>
      <c r="AD1449" s="693"/>
      <c r="AE1449" s="693"/>
    </row>
    <row r="1450" spans="2:31" ht="9.75" customHeight="1" x14ac:dyDescent="0.2">
      <c r="B1450" s="705"/>
      <c r="C1450" s="704"/>
      <c r="D1450" s="142"/>
      <c r="E1450" s="704"/>
      <c r="F1450" s="118"/>
      <c r="G1450" s="118"/>
      <c r="H1450" s="118"/>
      <c r="I1450" s="118"/>
      <c r="J1450" s="118"/>
      <c r="K1450" s="118"/>
      <c r="L1450" s="118"/>
      <c r="M1450" s="118"/>
      <c r="N1450" s="118"/>
      <c r="O1450" s="118"/>
      <c r="P1450" s="118"/>
      <c r="Q1450" s="118"/>
      <c r="R1450" s="118"/>
      <c r="S1450" s="144"/>
      <c r="T1450" s="144"/>
      <c r="U1450" s="144"/>
      <c r="V1450" s="144"/>
      <c r="W1450" s="144"/>
      <c r="X1450" s="144"/>
      <c r="Y1450" s="144"/>
      <c r="Z1450" s="118"/>
      <c r="AA1450" s="118"/>
      <c r="AB1450" s="118"/>
      <c r="AC1450" s="118"/>
      <c r="AD1450" s="693"/>
      <c r="AE1450" s="693"/>
    </row>
    <row r="1451" spans="2:31" ht="9.75" customHeight="1" x14ac:dyDescent="0.2">
      <c r="B1451" s="705"/>
      <c r="C1451" s="704"/>
      <c r="D1451" s="146"/>
      <c r="E1451" s="704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39"/>
      <c r="R1451" s="139"/>
      <c r="S1451" s="139"/>
      <c r="T1451" s="139"/>
      <c r="U1451" s="139"/>
      <c r="V1451" s="139"/>
      <c r="W1451" s="139"/>
      <c r="X1451" s="139"/>
      <c r="Y1451" s="139"/>
      <c r="Z1451" s="139"/>
      <c r="AA1451" s="139"/>
      <c r="AB1451" s="139"/>
      <c r="AC1451" s="139"/>
      <c r="AD1451" s="693"/>
      <c r="AE1451" s="693"/>
    </row>
    <row r="1452" spans="2:31" ht="9.75" customHeight="1" x14ac:dyDescent="0.2">
      <c r="B1452" s="705"/>
      <c r="C1452" s="704"/>
      <c r="D1452" s="139"/>
      <c r="E1452" s="704"/>
      <c r="F1452" s="139"/>
      <c r="G1452" s="139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693"/>
      <c r="AE1452" s="693"/>
    </row>
    <row r="1453" spans="2:31" ht="9.75" customHeight="1" x14ac:dyDescent="0.2">
      <c r="B1453" s="705"/>
      <c r="C1453" s="704"/>
      <c r="D1453" s="144"/>
      <c r="E1453" s="704"/>
      <c r="F1453" s="139"/>
      <c r="G1453" s="139"/>
      <c r="H1453" s="139"/>
      <c r="I1453" s="139"/>
      <c r="J1453" s="139"/>
      <c r="K1453" s="139"/>
      <c r="L1453" s="139"/>
      <c r="M1453" s="139"/>
      <c r="N1453" s="139"/>
      <c r="O1453" s="139"/>
      <c r="P1453" s="139"/>
      <c r="Q1453" s="139"/>
      <c r="R1453" s="139"/>
      <c r="S1453" s="139"/>
      <c r="T1453" s="139"/>
      <c r="U1453" s="139"/>
      <c r="V1453" s="139"/>
      <c r="W1453" s="139"/>
      <c r="X1453" s="139"/>
      <c r="Y1453" s="139"/>
      <c r="Z1453" s="139"/>
      <c r="AA1453" s="139"/>
      <c r="AB1453" s="139"/>
      <c r="AC1453" s="139"/>
      <c r="AD1453" s="693"/>
      <c r="AE1453" s="693"/>
    </row>
    <row r="1454" spans="2:31" ht="9.75" customHeight="1" x14ac:dyDescent="0.2">
      <c r="B1454" s="705"/>
      <c r="C1454" s="704"/>
      <c r="D1454" s="146"/>
      <c r="E1454" s="704"/>
      <c r="F1454" s="139"/>
      <c r="G1454" s="139"/>
      <c r="H1454" s="139"/>
      <c r="I1454" s="139"/>
      <c r="J1454" s="139"/>
      <c r="K1454" s="139"/>
      <c r="L1454" s="139"/>
      <c r="M1454" s="139"/>
      <c r="N1454" s="139"/>
      <c r="O1454" s="139"/>
      <c r="P1454" s="139"/>
      <c r="Q1454" s="139"/>
      <c r="R1454" s="139"/>
      <c r="S1454" s="139"/>
      <c r="T1454" s="139"/>
      <c r="U1454" s="139"/>
      <c r="V1454" s="139"/>
      <c r="W1454" s="139"/>
      <c r="X1454" s="139"/>
      <c r="Y1454" s="139"/>
      <c r="Z1454" s="139"/>
      <c r="AA1454" s="139"/>
      <c r="AB1454" s="139"/>
      <c r="AC1454" s="139"/>
      <c r="AD1454" s="693"/>
      <c r="AE1454" s="693"/>
    </row>
    <row r="1455" spans="2:31" ht="9.75" customHeight="1" x14ac:dyDescent="0.2">
      <c r="B1455" s="705"/>
      <c r="C1455" s="704"/>
      <c r="D1455" s="144"/>
      <c r="E1455" s="704"/>
      <c r="F1455" s="139"/>
      <c r="G1455" s="139"/>
      <c r="H1455" s="139"/>
      <c r="I1455" s="139"/>
      <c r="J1455" s="139"/>
      <c r="K1455" s="139"/>
      <c r="L1455" s="139"/>
      <c r="M1455" s="139"/>
      <c r="N1455" s="139"/>
      <c r="O1455" s="139"/>
      <c r="P1455" s="139"/>
      <c r="Q1455" s="139"/>
      <c r="R1455" s="139"/>
      <c r="S1455" s="139"/>
      <c r="T1455" s="139"/>
      <c r="U1455" s="139"/>
      <c r="V1455" s="139"/>
      <c r="W1455" s="139"/>
      <c r="X1455" s="139"/>
      <c r="Y1455" s="139"/>
      <c r="Z1455" s="139"/>
      <c r="AA1455" s="139"/>
      <c r="AB1455" s="139"/>
      <c r="AC1455" s="139"/>
      <c r="AD1455" s="693"/>
      <c r="AE1455" s="693"/>
    </row>
    <row r="1456" spans="2:31" ht="9.75" customHeight="1" x14ac:dyDescent="0.2">
      <c r="B1456" s="705"/>
      <c r="C1456" s="704"/>
      <c r="D1456" s="144"/>
      <c r="E1456" s="704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39"/>
      <c r="R1456" s="139"/>
      <c r="S1456" s="139"/>
      <c r="T1456" s="139"/>
      <c r="U1456" s="139"/>
      <c r="V1456" s="139"/>
      <c r="W1456" s="139"/>
      <c r="X1456" s="139"/>
      <c r="Y1456" s="139"/>
      <c r="Z1456" s="139"/>
      <c r="AA1456" s="139"/>
      <c r="AB1456" s="139"/>
      <c r="AC1456" s="139"/>
      <c r="AD1456" s="693"/>
      <c r="AE1456" s="693"/>
    </row>
    <row r="1457" spans="2:31" ht="9.75" customHeight="1" x14ac:dyDescent="0.2">
      <c r="B1457" s="705"/>
      <c r="C1457" s="704"/>
      <c r="D1457" s="146"/>
      <c r="E1457" s="704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3"/>
      <c r="AE1457" s="693"/>
    </row>
    <row r="1458" spans="2:31" ht="9.75" customHeight="1" x14ac:dyDescent="0.2">
      <c r="B1458" s="705"/>
      <c r="C1458" s="704"/>
      <c r="D1458" s="146"/>
      <c r="E1458" s="704"/>
      <c r="F1458" s="139"/>
      <c r="G1458" s="139"/>
      <c r="H1458" s="139"/>
      <c r="I1458" s="139"/>
      <c r="J1458" s="139"/>
      <c r="K1458" s="139"/>
      <c r="L1458" s="139"/>
      <c r="M1458" s="139"/>
      <c r="N1458" s="139"/>
      <c r="O1458" s="139"/>
      <c r="P1458" s="139"/>
      <c r="Q1458" s="139"/>
      <c r="R1458" s="139"/>
      <c r="S1458" s="139"/>
      <c r="T1458" s="139"/>
      <c r="U1458" s="139"/>
      <c r="V1458" s="139"/>
      <c r="W1458" s="139"/>
      <c r="X1458" s="139"/>
      <c r="Y1458" s="139"/>
      <c r="Z1458" s="139"/>
      <c r="AA1458" s="139"/>
      <c r="AB1458" s="139"/>
      <c r="AC1458" s="139"/>
      <c r="AD1458" s="693"/>
      <c r="AE1458" s="693"/>
    </row>
    <row r="1459" spans="2:31" ht="9.75" customHeight="1" x14ac:dyDescent="0.2">
      <c r="B1459" s="705"/>
      <c r="C1459" s="704"/>
      <c r="D1459" s="146"/>
      <c r="E1459" s="704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3"/>
      <c r="AE1459" s="693"/>
    </row>
    <row r="1460" spans="2:31" ht="9.75" customHeight="1" x14ac:dyDescent="0.2">
      <c r="B1460" s="705"/>
      <c r="C1460" s="704"/>
      <c r="D1460" s="144"/>
      <c r="E1460" s="704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3"/>
      <c r="AE1460" s="693"/>
    </row>
    <row r="1461" spans="2:31" ht="9.75" customHeight="1" x14ac:dyDescent="0.2">
      <c r="B1461" s="705"/>
      <c r="C1461" s="704"/>
      <c r="D1461" s="146"/>
      <c r="E1461" s="704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39"/>
      <c r="R1461" s="139"/>
      <c r="S1461" s="139"/>
      <c r="T1461" s="139"/>
      <c r="U1461" s="139"/>
      <c r="V1461" s="139"/>
      <c r="W1461" s="139"/>
      <c r="X1461" s="139"/>
      <c r="Y1461" s="139"/>
      <c r="Z1461" s="139"/>
      <c r="AA1461" s="139"/>
      <c r="AB1461" s="139"/>
      <c r="AC1461" s="139"/>
      <c r="AD1461" s="693"/>
      <c r="AE1461" s="693"/>
    </row>
    <row r="1462" spans="2:31" ht="9.75" customHeight="1" x14ac:dyDescent="0.2">
      <c r="B1462" s="705"/>
      <c r="C1462" s="704"/>
      <c r="D1462" s="146"/>
      <c r="E1462" s="704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3"/>
      <c r="AE1462" s="693"/>
    </row>
    <row r="1463" spans="2:31" ht="9.75" customHeight="1" x14ac:dyDescent="0.2">
      <c r="B1463" s="705"/>
      <c r="C1463" s="704"/>
      <c r="D1463" s="146"/>
      <c r="E1463" s="704"/>
      <c r="F1463" s="139"/>
      <c r="G1463" s="139"/>
      <c r="H1463" s="139"/>
      <c r="I1463" s="139"/>
      <c r="J1463" s="139"/>
      <c r="K1463" s="139"/>
      <c r="L1463" s="139"/>
      <c r="M1463" s="139"/>
      <c r="N1463" s="139"/>
      <c r="O1463" s="139"/>
      <c r="P1463" s="139"/>
      <c r="Q1463" s="139"/>
      <c r="R1463" s="139"/>
      <c r="S1463" s="139"/>
      <c r="T1463" s="139"/>
      <c r="U1463" s="139"/>
      <c r="V1463" s="139"/>
      <c r="W1463" s="139"/>
      <c r="X1463" s="139"/>
      <c r="Y1463" s="139"/>
      <c r="Z1463" s="139"/>
      <c r="AA1463" s="139"/>
      <c r="AB1463" s="139"/>
      <c r="AC1463" s="139"/>
      <c r="AD1463" s="693"/>
      <c r="AE1463" s="693"/>
    </row>
    <row r="1464" spans="2:31" ht="9.75" customHeight="1" x14ac:dyDescent="0.2">
      <c r="B1464" s="705"/>
      <c r="C1464" s="704"/>
      <c r="D1464" s="144"/>
      <c r="E1464" s="704"/>
      <c r="F1464" s="139"/>
      <c r="G1464" s="139"/>
      <c r="H1464" s="139"/>
      <c r="I1464" s="139"/>
      <c r="J1464" s="139"/>
      <c r="K1464" s="139"/>
      <c r="L1464" s="139"/>
      <c r="M1464" s="139"/>
      <c r="N1464" s="139"/>
      <c r="O1464" s="139"/>
      <c r="P1464" s="139"/>
      <c r="Q1464" s="139"/>
      <c r="R1464" s="139"/>
      <c r="S1464" s="139"/>
      <c r="T1464" s="139"/>
      <c r="U1464" s="139"/>
      <c r="V1464" s="139"/>
      <c r="W1464" s="139"/>
      <c r="X1464" s="139"/>
      <c r="Y1464" s="139"/>
      <c r="Z1464" s="139"/>
      <c r="AA1464" s="139"/>
      <c r="AB1464" s="139"/>
      <c r="AC1464" s="139"/>
      <c r="AD1464" s="693"/>
      <c r="AE1464" s="693"/>
    </row>
    <row r="1465" spans="2:31" ht="9.75" customHeight="1" x14ac:dyDescent="0.2">
      <c r="B1465" s="705"/>
      <c r="C1465" s="704"/>
      <c r="D1465" s="146"/>
      <c r="E1465" s="704"/>
      <c r="F1465" s="139"/>
      <c r="G1465" s="139"/>
      <c r="H1465" s="139"/>
      <c r="I1465" s="139"/>
      <c r="J1465" s="139"/>
      <c r="K1465" s="139"/>
      <c r="L1465" s="139"/>
      <c r="M1465" s="139"/>
      <c r="N1465" s="139"/>
      <c r="O1465" s="139"/>
      <c r="P1465" s="139"/>
      <c r="Q1465" s="139"/>
      <c r="R1465" s="139"/>
      <c r="S1465" s="139"/>
      <c r="T1465" s="139"/>
      <c r="U1465" s="139"/>
      <c r="V1465" s="139"/>
      <c r="W1465" s="139"/>
      <c r="X1465" s="139"/>
      <c r="Y1465" s="139"/>
      <c r="Z1465" s="139"/>
      <c r="AA1465" s="139"/>
      <c r="AB1465" s="139"/>
      <c r="AC1465" s="139"/>
      <c r="AD1465" s="693"/>
      <c r="AE1465" s="693"/>
    </row>
    <row r="1466" spans="2:31" ht="9.75" customHeight="1" x14ac:dyDescent="0.2">
      <c r="B1466" s="705"/>
      <c r="C1466" s="704"/>
      <c r="D1466" s="146"/>
      <c r="E1466" s="704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39"/>
      <c r="R1466" s="139"/>
      <c r="S1466" s="139"/>
      <c r="T1466" s="139"/>
      <c r="U1466" s="139"/>
      <c r="V1466" s="139"/>
      <c r="W1466" s="139"/>
      <c r="X1466" s="139"/>
      <c r="Y1466" s="139"/>
      <c r="Z1466" s="139"/>
      <c r="AA1466" s="139"/>
      <c r="AB1466" s="139"/>
      <c r="AC1466" s="139"/>
      <c r="AD1466" s="693"/>
      <c r="AE1466" s="693"/>
    </row>
    <row r="1467" spans="2:31" ht="9.75" customHeight="1" x14ac:dyDescent="0.2">
      <c r="B1467" s="705"/>
      <c r="C1467" s="704"/>
      <c r="D1467" s="139"/>
      <c r="E1467" s="704"/>
      <c r="F1467" s="139"/>
      <c r="G1467" s="139"/>
      <c r="H1467" s="118"/>
      <c r="I1467" s="118"/>
      <c r="J1467" s="118"/>
      <c r="K1467" s="118"/>
      <c r="L1467" s="118"/>
      <c r="M1467" s="118"/>
      <c r="N1467" s="118"/>
      <c r="O1467" s="118"/>
      <c r="P1467" s="118"/>
      <c r="Q1467" s="118"/>
      <c r="R1467" s="118"/>
      <c r="S1467" s="118"/>
      <c r="T1467" s="118"/>
      <c r="U1467" s="118"/>
      <c r="V1467" s="118"/>
      <c r="W1467" s="118"/>
      <c r="X1467" s="118"/>
      <c r="Y1467" s="118"/>
      <c r="Z1467" s="118"/>
      <c r="AA1467" s="118"/>
      <c r="AB1467" s="118"/>
      <c r="AC1467" s="118"/>
      <c r="AD1467" s="693"/>
      <c r="AE1467" s="693"/>
    </row>
    <row r="1468" spans="2:31" ht="9.75" customHeight="1" x14ac:dyDescent="0.2">
      <c r="B1468" s="705"/>
      <c r="C1468" s="704"/>
      <c r="D1468" s="146"/>
      <c r="E1468" s="704"/>
      <c r="F1468" s="139"/>
      <c r="G1468" s="139"/>
      <c r="H1468" s="139"/>
      <c r="I1468" s="139"/>
      <c r="J1468" s="139"/>
      <c r="K1468" s="139"/>
      <c r="L1468" s="139"/>
      <c r="M1468" s="139"/>
      <c r="N1468" s="139"/>
      <c r="O1468" s="139"/>
      <c r="P1468" s="139"/>
      <c r="Q1468" s="139"/>
      <c r="R1468" s="139"/>
      <c r="S1468" s="139"/>
      <c r="T1468" s="139"/>
      <c r="U1468" s="139"/>
      <c r="V1468" s="139"/>
      <c r="W1468" s="139"/>
      <c r="X1468" s="139"/>
      <c r="Y1468" s="139"/>
      <c r="Z1468" s="139"/>
      <c r="AA1468" s="139"/>
      <c r="AB1468" s="139"/>
      <c r="AC1468" s="139"/>
      <c r="AD1468" s="693"/>
      <c r="AE1468" s="693"/>
    </row>
    <row r="1469" spans="2:31" ht="9.75" customHeight="1" x14ac:dyDescent="0.2">
      <c r="B1469" s="705"/>
      <c r="C1469" s="704"/>
      <c r="D1469" s="146"/>
      <c r="E1469" s="704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3"/>
      <c r="AE1469" s="693"/>
    </row>
    <row r="1470" spans="2:31" ht="9.75" customHeight="1" x14ac:dyDescent="0.2">
      <c r="B1470" s="705"/>
      <c r="C1470" s="704"/>
      <c r="D1470" s="139"/>
      <c r="E1470" s="704"/>
      <c r="F1470" s="139"/>
      <c r="G1470" s="139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693"/>
      <c r="AE1470" s="693"/>
    </row>
    <row r="1471" spans="2:31" ht="9.75" customHeight="1" x14ac:dyDescent="0.2">
      <c r="B1471" s="705"/>
      <c r="C1471" s="704"/>
      <c r="D1471" s="146"/>
      <c r="E1471" s="704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3"/>
      <c r="AE1471" s="693"/>
    </row>
    <row r="1472" spans="2:31" ht="9.75" customHeight="1" x14ac:dyDescent="0.2">
      <c r="B1472" s="705"/>
      <c r="C1472" s="704"/>
      <c r="D1472" s="146"/>
      <c r="E1472" s="704"/>
      <c r="F1472" s="139"/>
      <c r="G1472" s="139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693"/>
      <c r="AE1472" s="693"/>
    </row>
    <row r="1473" spans="2:31" ht="9.75" customHeight="1" x14ac:dyDescent="0.2">
      <c r="B1473" s="705"/>
      <c r="C1473" s="704"/>
      <c r="D1473" s="142"/>
      <c r="E1473" s="704"/>
      <c r="F1473" s="146"/>
      <c r="G1473" s="146"/>
      <c r="H1473" s="146"/>
      <c r="I1473" s="146"/>
      <c r="J1473" s="146"/>
      <c r="K1473" s="146"/>
      <c r="L1473" s="146"/>
      <c r="M1473" s="146"/>
      <c r="N1473" s="146"/>
      <c r="O1473" s="146"/>
      <c r="P1473" s="146"/>
      <c r="Q1473" s="146"/>
      <c r="R1473" s="146"/>
      <c r="S1473" s="146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693"/>
      <c r="AE1473" s="693"/>
    </row>
    <row r="1474" spans="2:31" ht="9.75" customHeight="1" x14ac:dyDescent="0.2">
      <c r="B1474" s="705"/>
      <c r="C1474" s="704"/>
      <c r="D1474" s="144"/>
      <c r="E1474" s="704"/>
      <c r="F1474" s="139"/>
      <c r="G1474" s="139"/>
      <c r="H1474" s="139"/>
      <c r="I1474" s="139"/>
      <c r="J1474" s="139"/>
      <c r="K1474" s="139"/>
      <c r="L1474" s="139"/>
      <c r="M1474" s="139"/>
      <c r="N1474" s="139"/>
      <c r="O1474" s="139"/>
      <c r="P1474" s="139"/>
      <c r="Q1474" s="139"/>
      <c r="R1474" s="139"/>
      <c r="S1474" s="139"/>
      <c r="T1474" s="139"/>
      <c r="U1474" s="139"/>
      <c r="V1474" s="139"/>
      <c r="W1474" s="139"/>
      <c r="X1474" s="139"/>
      <c r="Y1474" s="139"/>
      <c r="Z1474" s="139"/>
      <c r="AA1474" s="139"/>
      <c r="AB1474" s="139"/>
      <c r="AC1474" s="139"/>
      <c r="AD1474" s="693"/>
      <c r="AE1474" s="693"/>
    </row>
    <row r="1475" spans="2:31" ht="9.75" customHeight="1" x14ac:dyDescent="0.2">
      <c r="B1475" s="705"/>
      <c r="C1475" s="704"/>
      <c r="D1475" s="139"/>
      <c r="E1475" s="704"/>
      <c r="F1475" s="118"/>
      <c r="G1475" s="118"/>
      <c r="H1475" s="118"/>
      <c r="I1475" s="118"/>
      <c r="J1475" s="118"/>
      <c r="K1475" s="118"/>
      <c r="L1475" s="118"/>
      <c r="M1475" s="118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18"/>
      <c r="AD1475" s="693"/>
      <c r="AE1475" s="693"/>
    </row>
    <row r="1476" spans="2:31" ht="9.75" customHeight="1" x14ac:dyDescent="0.2">
      <c r="B1476" s="705"/>
      <c r="C1476" s="704"/>
      <c r="D1476" s="139"/>
      <c r="E1476" s="704"/>
      <c r="F1476" s="118"/>
      <c r="G1476" s="118"/>
      <c r="H1476" s="118"/>
      <c r="I1476" s="118"/>
      <c r="J1476" s="118"/>
      <c r="K1476" s="118"/>
      <c r="L1476" s="118"/>
      <c r="M1476" s="118"/>
      <c r="N1476" s="139"/>
      <c r="O1476" s="118"/>
      <c r="P1476" s="118"/>
      <c r="Q1476" s="118"/>
      <c r="R1476" s="118"/>
      <c r="S1476" s="118"/>
      <c r="T1476" s="118"/>
      <c r="U1476" s="118"/>
      <c r="V1476" s="118"/>
      <c r="W1476" s="118"/>
      <c r="X1476" s="118"/>
      <c r="Y1476" s="118"/>
      <c r="Z1476" s="118"/>
      <c r="AA1476" s="118"/>
      <c r="AB1476" s="118"/>
      <c r="AC1476" s="118"/>
      <c r="AD1476" s="693"/>
      <c r="AE1476" s="693"/>
    </row>
    <row r="1477" spans="2:31" ht="9.75" customHeight="1" x14ac:dyDescent="0.2">
      <c r="B1477" s="705"/>
      <c r="C1477" s="704"/>
      <c r="D1477" s="146"/>
      <c r="E1477" s="704"/>
      <c r="F1477" s="118"/>
      <c r="G1477" s="118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18"/>
      <c r="AD1477" s="693"/>
      <c r="AE1477" s="693"/>
    </row>
    <row r="1478" spans="2:31" ht="9.75" customHeight="1" x14ac:dyDescent="0.2">
      <c r="B1478" s="705"/>
      <c r="C1478" s="704"/>
      <c r="D1478" s="146"/>
      <c r="E1478" s="704"/>
      <c r="F1478" s="139"/>
      <c r="G1478" s="139"/>
      <c r="H1478" s="139"/>
      <c r="I1478" s="139"/>
      <c r="J1478" s="139"/>
      <c r="K1478" s="139"/>
      <c r="L1478" s="139"/>
      <c r="M1478" s="139"/>
      <c r="N1478" s="139"/>
      <c r="O1478" s="139"/>
      <c r="P1478" s="139"/>
      <c r="Q1478" s="139"/>
      <c r="R1478" s="139"/>
      <c r="S1478" s="139"/>
      <c r="T1478" s="139"/>
      <c r="U1478" s="139"/>
      <c r="V1478" s="139"/>
      <c r="W1478" s="139"/>
      <c r="X1478" s="139"/>
      <c r="Y1478" s="139"/>
      <c r="Z1478" s="139"/>
      <c r="AA1478" s="139"/>
      <c r="AB1478" s="139"/>
      <c r="AC1478" s="139"/>
      <c r="AD1478" s="693"/>
      <c r="AE1478" s="693"/>
    </row>
    <row r="1479" spans="2:31" ht="9.75" customHeight="1" x14ac:dyDescent="0.2">
      <c r="B1479" s="705"/>
      <c r="C1479" s="704"/>
      <c r="D1479" s="139"/>
      <c r="E1479" s="704"/>
      <c r="F1479" s="139"/>
      <c r="G1479" s="139"/>
      <c r="H1479" s="118"/>
      <c r="I1479" s="118"/>
      <c r="J1479" s="118"/>
      <c r="K1479" s="118"/>
      <c r="L1479" s="118"/>
      <c r="M1479" s="118"/>
      <c r="N1479" s="118"/>
      <c r="O1479" s="118"/>
      <c r="P1479" s="118"/>
      <c r="Q1479" s="118"/>
      <c r="R1479" s="118"/>
      <c r="S1479" s="118"/>
      <c r="T1479" s="118"/>
      <c r="U1479" s="118"/>
      <c r="V1479" s="118"/>
      <c r="W1479" s="118"/>
      <c r="X1479" s="118"/>
      <c r="Y1479" s="118"/>
      <c r="Z1479" s="118"/>
      <c r="AA1479" s="118"/>
      <c r="AB1479" s="118"/>
      <c r="AC1479" s="118"/>
      <c r="AD1479" s="693"/>
      <c r="AE1479" s="693"/>
    </row>
    <row r="1480" spans="2:31" ht="9.75" customHeight="1" x14ac:dyDescent="0.2">
      <c r="B1480" s="705"/>
      <c r="C1480" s="704"/>
      <c r="D1480" s="146"/>
      <c r="E1480" s="704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3"/>
      <c r="AE1480" s="693"/>
    </row>
    <row r="1481" spans="2:31" ht="9.75" customHeight="1" x14ac:dyDescent="0.2">
      <c r="B1481" s="705"/>
      <c r="C1481" s="704"/>
      <c r="D1481" s="146"/>
      <c r="E1481" s="704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3"/>
      <c r="AE1481" s="693"/>
    </row>
    <row r="1482" spans="2:31" ht="9.75" customHeight="1" x14ac:dyDescent="0.2">
      <c r="B1482" s="705"/>
      <c r="C1482" s="704"/>
      <c r="D1482" s="146"/>
      <c r="E1482" s="704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3"/>
      <c r="AE1482" s="693"/>
    </row>
    <row r="1483" spans="2:31" ht="9.75" customHeight="1" x14ac:dyDescent="0.2">
      <c r="B1483" s="705"/>
      <c r="C1483" s="704"/>
      <c r="D1483" s="146"/>
      <c r="E1483" s="704"/>
      <c r="F1483" s="139"/>
      <c r="G1483" s="139"/>
      <c r="H1483" s="139"/>
      <c r="I1483" s="139"/>
      <c r="J1483" s="139"/>
      <c r="K1483" s="139"/>
      <c r="L1483" s="139"/>
      <c r="M1483" s="139"/>
      <c r="N1483" s="139"/>
      <c r="O1483" s="139"/>
      <c r="P1483" s="139"/>
      <c r="Q1483" s="139"/>
      <c r="R1483" s="139"/>
      <c r="S1483" s="139"/>
      <c r="T1483" s="139"/>
      <c r="U1483" s="139"/>
      <c r="V1483" s="139"/>
      <c r="W1483" s="139"/>
      <c r="X1483" s="139"/>
      <c r="Y1483" s="139"/>
      <c r="Z1483" s="139"/>
      <c r="AA1483" s="139"/>
      <c r="AB1483" s="139"/>
      <c r="AC1483" s="139"/>
      <c r="AD1483" s="693"/>
      <c r="AE1483" s="693"/>
    </row>
    <row r="1484" spans="2:31" ht="9.75" customHeight="1" x14ac:dyDescent="0.2">
      <c r="B1484" s="705"/>
      <c r="C1484" s="704"/>
      <c r="D1484" s="144"/>
      <c r="E1484" s="704"/>
      <c r="F1484" s="139"/>
      <c r="G1484" s="139"/>
      <c r="H1484" s="139"/>
      <c r="I1484" s="139"/>
      <c r="J1484" s="139"/>
      <c r="K1484" s="139"/>
      <c r="L1484" s="139"/>
      <c r="M1484" s="139"/>
      <c r="N1484" s="139"/>
      <c r="O1484" s="139"/>
      <c r="P1484" s="139"/>
      <c r="Q1484" s="139"/>
      <c r="R1484" s="139"/>
      <c r="S1484" s="139"/>
      <c r="T1484" s="139"/>
      <c r="U1484" s="139"/>
      <c r="V1484" s="139"/>
      <c r="W1484" s="139"/>
      <c r="X1484" s="139"/>
      <c r="Y1484" s="139"/>
      <c r="Z1484" s="139"/>
      <c r="AA1484" s="139"/>
      <c r="AB1484" s="139"/>
      <c r="AC1484" s="139"/>
      <c r="AD1484" s="693"/>
      <c r="AE1484" s="693"/>
    </row>
    <row r="1485" spans="2:31" ht="9.75" customHeight="1" x14ac:dyDescent="0.2">
      <c r="B1485" s="705"/>
      <c r="C1485" s="704"/>
      <c r="D1485" s="146"/>
      <c r="E1485" s="704"/>
      <c r="F1485" s="139"/>
      <c r="G1485" s="139"/>
      <c r="H1485" s="139"/>
      <c r="I1485" s="139"/>
      <c r="J1485" s="139"/>
      <c r="K1485" s="139"/>
      <c r="L1485" s="139"/>
      <c r="M1485" s="139"/>
      <c r="N1485" s="139"/>
      <c r="O1485" s="139"/>
      <c r="P1485" s="139"/>
      <c r="Q1485" s="139"/>
      <c r="R1485" s="139"/>
      <c r="S1485" s="139"/>
      <c r="T1485" s="139"/>
      <c r="U1485" s="139"/>
      <c r="V1485" s="139"/>
      <c r="W1485" s="139"/>
      <c r="X1485" s="139"/>
      <c r="Y1485" s="139"/>
      <c r="Z1485" s="139"/>
      <c r="AA1485" s="139"/>
      <c r="AB1485" s="139"/>
      <c r="AC1485" s="139"/>
      <c r="AD1485" s="693"/>
      <c r="AE1485" s="693"/>
    </row>
    <row r="1486" spans="2:31" ht="9.75" customHeight="1" x14ac:dyDescent="0.2">
      <c r="B1486" s="705"/>
      <c r="C1486" s="704"/>
      <c r="D1486" s="142"/>
      <c r="E1486" s="70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18"/>
      <c r="S1486" s="118"/>
      <c r="T1486" s="118"/>
      <c r="U1486" s="118"/>
      <c r="V1486" s="118"/>
      <c r="W1486" s="118"/>
      <c r="X1486" s="118"/>
      <c r="Y1486" s="118"/>
      <c r="Z1486" s="118"/>
      <c r="AA1486" s="118"/>
      <c r="AB1486" s="118"/>
      <c r="AC1486" s="118"/>
      <c r="AD1486" s="693"/>
      <c r="AE1486" s="693"/>
    </row>
    <row r="1487" spans="2:31" ht="9.75" customHeight="1" x14ac:dyDescent="0.2">
      <c r="B1487" s="705"/>
      <c r="C1487" s="704"/>
      <c r="D1487" s="144"/>
      <c r="E1487" s="704"/>
      <c r="F1487" s="118"/>
      <c r="G1487" s="118"/>
      <c r="H1487" s="118"/>
      <c r="I1487" s="118"/>
      <c r="J1487" s="118"/>
      <c r="K1487" s="118"/>
      <c r="L1487" s="118"/>
      <c r="M1487" s="118"/>
      <c r="N1487" s="118"/>
      <c r="O1487" s="118"/>
      <c r="P1487" s="146"/>
      <c r="Q1487" s="146"/>
      <c r="R1487" s="146"/>
      <c r="S1487" s="146"/>
      <c r="T1487" s="146"/>
      <c r="U1487" s="146"/>
      <c r="V1487" s="146"/>
      <c r="W1487" s="146"/>
      <c r="X1487" s="146"/>
      <c r="Y1487" s="146"/>
      <c r="Z1487" s="146"/>
      <c r="AA1487" s="146"/>
      <c r="AB1487" s="146"/>
      <c r="AC1487" s="146"/>
      <c r="AD1487" s="693"/>
      <c r="AE1487" s="693"/>
    </row>
    <row r="1488" spans="2:31" ht="9.75" customHeight="1" x14ac:dyDescent="0.2">
      <c r="B1488" s="705"/>
      <c r="C1488" s="704"/>
      <c r="D1488" s="146"/>
      <c r="E1488" s="704"/>
      <c r="F1488" s="139"/>
      <c r="G1488" s="139"/>
      <c r="H1488" s="139"/>
      <c r="I1488" s="139"/>
      <c r="J1488" s="139"/>
      <c r="K1488" s="139"/>
      <c r="L1488" s="139"/>
      <c r="M1488" s="139"/>
      <c r="N1488" s="139"/>
      <c r="O1488" s="139"/>
      <c r="P1488" s="139"/>
      <c r="Q1488" s="139"/>
      <c r="R1488" s="139"/>
      <c r="S1488" s="139"/>
      <c r="T1488" s="139"/>
      <c r="U1488" s="139"/>
      <c r="V1488" s="139"/>
      <c r="W1488" s="139"/>
      <c r="X1488" s="139"/>
      <c r="Y1488" s="139"/>
      <c r="Z1488" s="139"/>
      <c r="AA1488" s="139"/>
      <c r="AB1488" s="139"/>
      <c r="AC1488" s="139"/>
      <c r="AD1488" s="693"/>
      <c r="AE1488" s="693"/>
    </row>
    <row r="1489" spans="2:31" ht="9.75" customHeight="1" x14ac:dyDescent="0.2">
      <c r="B1489" s="705"/>
      <c r="C1489" s="704"/>
      <c r="D1489" s="144"/>
      <c r="E1489" s="704"/>
      <c r="F1489" s="118"/>
      <c r="G1489" s="118"/>
      <c r="H1489" s="118"/>
      <c r="I1489" s="118"/>
      <c r="J1489" s="118"/>
      <c r="K1489" s="118"/>
      <c r="L1489" s="146"/>
      <c r="M1489" s="118"/>
      <c r="N1489" s="146"/>
      <c r="O1489" s="118"/>
      <c r="P1489" s="118"/>
      <c r="Q1489" s="118"/>
      <c r="R1489" s="118"/>
      <c r="S1489" s="118"/>
      <c r="T1489" s="118"/>
      <c r="U1489" s="118"/>
      <c r="V1489" s="118"/>
      <c r="W1489" s="118"/>
      <c r="X1489" s="118"/>
      <c r="Y1489" s="118"/>
      <c r="Z1489" s="118"/>
      <c r="AA1489" s="118"/>
      <c r="AB1489" s="118"/>
      <c r="AC1489" s="118"/>
      <c r="AD1489" s="693"/>
      <c r="AE1489" s="693"/>
    </row>
    <row r="1490" spans="2:31" ht="9.75" customHeight="1" x14ac:dyDescent="0.2">
      <c r="B1490" s="705"/>
      <c r="C1490" s="704"/>
      <c r="D1490" s="144"/>
      <c r="E1490" s="704"/>
      <c r="F1490" s="118"/>
      <c r="G1490" s="118"/>
      <c r="H1490" s="118"/>
      <c r="I1490" s="118"/>
      <c r="J1490" s="118"/>
      <c r="K1490" s="118"/>
      <c r="L1490" s="118"/>
      <c r="M1490" s="118"/>
      <c r="N1490" s="118"/>
      <c r="O1490" s="146"/>
      <c r="P1490" s="146"/>
      <c r="Q1490" s="118"/>
      <c r="R1490" s="118"/>
      <c r="S1490" s="118"/>
      <c r="T1490" s="118"/>
      <c r="U1490" s="118"/>
      <c r="V1490" s="118"/>
      <c r="W1490" s="118"/>
      <c r="X1490" s="118"/>
      <c r="Y1490" s="118"/>
      <c r="Z1490" s="118"/>
      <c r="AA1490" s="118"/>
      <c r="AB1490" s="118"/>
      <c r="AC1490" s="118"/>
      <c r="AD1490" s="693"/>
      <c r="AE1490" s="693"/>
    </row>
    <row r="1491" spans="2:31" ht="9.75" customHeight="1" x14ac:dyDescent="0.2">
      <c r="B1491" s="705"/>
      <c r="C1491" s="704"/>
      <c r="D1491" s="142"/>
      <c r="E1491" s="704"/>
      <c r="F1491" s="146"/>
      <c r="G1491" s="146"/>
      <c r="H1491" s="146"/>
      <c r="I1491" s="146"/>
      <c r="J1491" s="146"/>
      <c r="K1491" s="146"/>
      <c r="L1491" s="146"/>
      <c r="M1491" s="146"/>
      <c r="N1491" s="146"/>
      <c r="O1491" s="146"/>
      <c r="P1491" s="146"/>
      <c r="Q1491" s="146"/>
      <c r="R1491" s="146"/>
      <c r="S1491" s="146"/>
      <c r="T1491" s="146"/>
      <c r="U1491" s="146"/>
      <c r="V1491" s="146"/>
      <c r="W1491" s="146"/>
      <c r="X1491" s="146"/>
      <c r="Y1491" s="146"/>
      <c r="Z1491" s="146"/>
      <c r="AA1491" s="146"/>
      <c r="AB1491" s="146"/>
      <c r="AC1491" s="146"/>
      <c r="AD1491" s="693"/>
      <c r="AE1491" s="693"/>
    </row>
    <row r="1492" spans="2:31" ht="9.75" customHeight="1" x14ac:dyDescent="0.2">
      <c r="B1492" s="705"/>
      <c r="C1492" s="704"/>
      <c r="D1492" s="144"/>
      <c r="E1492" s="704"/>
      <c r="F1492" s="118"/>
      <c r="G1492" s="118"/>
      <c r="H1492" s="118"/>
      <c r="I1492" s="118"/>
      <c r="J1492" s="118"/>
      <c r="K1492" s="118"/>
      <c r="L1492" s="118"/>
      <c r="M1492" s="144"/>
      <c r="N1492" s="118"/>
      <c r="O1492" s="144"/>
      <c r="P1492" s="144"/>
      <c r="Q1492" s="118"/>
      <c r="R1492" s="118"/>
      <c r="S1492" s="118"/>
      <c r="T1492" s="118"/>
      <c r="U1492" s="118"/>
      <c r="V1492" s="118"/>
      <c r="W1492" s="118"/>
      <c r="X1492" s="118"/>
      <c r="Y1492" s="118"/>
      <c r="Z1492" s="118"/>
      <c r="AA1492" s="118"/>
      <c r="AB1492" s="118"/>
      <c r="AC1492" s="118"/>
      <c r="AD1492" s="693"/>
      <c r="AE1492" s="693"/>
    </row>
    <row r="1493" spans="2:31" ht="9.75" customHeight="1" x14ac:dyDescent="0.2">
      <c r="B1493" s="705"/>
      <c r="C1493" s="704"/>
      <c r="D1493" s="144"/>
      <c r="E1493" s="704"/>
      <c r="F1493" s="146"/>
      <c r="G1493" s="146"/>
      <c r="H1493" s="146"/>
      <c r="I1493" s="146"/>
      <c r="J1493" s="146"/>
      <c r="K1493" s="146"/>
      <c r="L1493" s="146"/>
      <c r="M1493" s="146"/>
      <c r="N1493" s="146"/>
      <c r="O1493" s="146"/>
      <c r="P1493" s="146"/>
      <c r="Q1493" s="146"/>
      <c r="R1493" s="146"/>
      <c r="S1493" s="146"/>
      <c r="T1493" s="146"/>
      <c r="U1493" s="146"/>
      <c r="V1493" s="146"/>
      <c r="W1493" s="146"/>
      <c r="X1493" s="146"/>
      <c r="Y1493" s="146"/>
      <c r="Z1493" s="146"/>
      <c r="AA1493" s="146"/>
      <c r="AB1493" s="146"/>
      <c r="AC1493" s="146"/>
      <c r="AD1493" s="693"/>
      <c r="AE1493" s="693"/>
    </row>
    <row r="1494" spans="2:31" ht="9.75" customHeight="1" x14ac:dyDescent="0.2">
      <c r="B1494" s="705"/>
      <c r="C1494" s="704"/>
      <c r="D1494" s="146"/>
      <c r="E1494" s="704"/>
      <c r="F1494" s="118"/>
      <c r="G1494" s="118"/>
      <c r="H1494" s="118"/>
      <c r="I1494" s="118"/>
      <c r="J1494" s="118"/>
      <c r="K1494" s="118"/>
      <c r="L1494" s="118"/>
      <c r="M1494" s="118"/>
      <c r="N1494" s="118"/>
      <c r="O1494" s="118"/>
      <c r="P1494" s="118"/>
      <c r="Q1494" s="118"/>
      <c r="R1494" s="118"/>
      <c r="S1494" s="139"/>
      <c r="T1494" s="139"/>
      <c r="U1494" s="139"/>
      <c r="V1494" s="139"/>
      <c r="W1494" s="139"/>
      <c r="X1494" s="139"/>
      <c r="Y1494" s="139"/>
      <c r="Z1494" s="118"/>
      <c r="AA1494" s="118"/>
      <c r="AB1494" s="118"/>
      <c r="AC1494" s="118"/>
      <c r="AD1494" s="693"/>
      <c r="AE1494" s="693"/>
    </row>
    <row r="1495" spans="2:31" ht="9.75" customHeight="1" x14ac:dyDescent="0.2">
      <c r="B1495" s="705"/>
      <c r="C1495" s="704"/>
      <c r="D1495" s="139"/>
      <c r="E1495" s="704"/>
      <c r="F1495" s="139"/>
      <c r="G1495" s="139"/>
      <c r="H1495" s="139"/>
      <c r="I1495" s="139"/>
      <c r="J1495" s="139"/>
      <c r="K1495" s="139"/>
      <c r="L1495" s="139"/>
      <c r="M1495" s="139"/>
      <c r="N1495" s="139"/>
      <c r="O1495" s="139"/>
      <c r="P1495" s="139"/>
      <c r="Q1495" s="139"/>
      <c r="R1495" s="139"/>
      <c r="S1495" s="139"/>
      <c r="T1495" s="139"/>
      <c r="U1495" s="139"/>
      <c r="V1495" s="139"/>
      <c r="W1495" s="139"/>
      <c r="X1495" s="139"/>
      <c r="Y1495" s="139"/>
      <c r="Z1495" s="139"/>
      <c r="AA1495" s="139"/>
      <c r="AB1495" s="139"/>
      <c r="AC1495" s="139"/>
      <c r="AD1495" s="693"/>
      <c r="AE1495" s="693"/>
    </row>
    <row r="1496" spans="2:31" ht="9.75" customHeight="1" x14ac:dyDescent="0.2">
      <c r="B1496" s="705"/>
      <c r="C1496" s="704"/>
      <c r="D1496" s="139"/>
      <c r="E1496" s="704"/>
      <c r="F1496" s="118"/>
      <c r="G1496" s="118"/>
      <c r="H1496" s="118"/>
      <c r="I1496" s="118"/>
      <c r="J1496" s="118"/>
      <c r="K1496" s="118"/>
      <c r="L1496" s="118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3"/>
      <c r="AE1496" s="693"/>
    </row>
    <row r="1497" spans="2:31" ht="9.75" customHeight="1" x14ac:dyDescent="0.2">
      <c r="B1497" s="705"/>
      <c r="C1497" s="704"/>
      <c r="D1497" s="146"/>
      <c r="E1497" s="704"/>
      <c r="F1497" s="118"/>
      <c r="G1497" s="118"/>
      <c r="H1497" s="118"/>
      <c r="I1497" s="118"/>
      <c r="J1497" s="139"/>
      <c r="K1497" s="139"/>
      <c r="L1497" s="139"/>
      <c r="M1497" s="139"/>
      <c r="N1497" s="139"/>
      <c r="O1497" s="139"/>
      <c r="P1497" s="139"/>
      <c r="Q1497" s="139"/>
      <c r="R1497" s="118"/>
      <c r="S1497" s="118"/>
      <c r="T1497" s="118"/>
      <c r="U1497" s="118"/>
      <c r="V1497" s="118"/>
      <c r="W1497" s="118"/>
      <c r="X1497" s="118"/>
      <c r="Y1497" s="118"/>
      <c r="Z1497" s="118"/>
      <c r="AA1497" s="118"/>
      <c r="AB1497" s="118"/>
      <c r="AC1497" s="118"/>
      <c r="AD1497" s="693"/>
      <c r="AE1497" s="693"/>
    </row>
    <row r="1498" spans="2:31" ht="9.75" customHeight="1" x14ac:dyDescent="0.2">
      <c r="B1498" s="705"/>
      <c r="C1498" s="704"/>
      <c r="D1498" s="139"/>
      <c r="E1498" s="704"/>
      <c r="F1498" s="139"/>
      <c r="G1498" s="139"/>
      <c r="H1498" s="139"/>
      <c r="I1498" s="139"/>
      <c r="J1498" s="139"/>
      <c r="K1498" s="139"/>
      <c r="L1498" s="139"/>
      <c r="M1498" s="139"/>
      <c r="N1498" s="139"/>
      <c r="O1498" s="139"/>
      <c r="P1498" s="139"/>
      <c r="Q1498" s="139"/>
      <c r="R1498" s="139"/>
      <c r="S1498" s="139"/>
      <c r="T1498" s="139"/>
      <c r="U1498" s="139"/>
      <c r="V1498" s="139"/>
      <c r="W1498" s="139"/>
      <c r="X1498" s="139"/>
      <c r="Y1498" s="139"/>
      <c r="Z1498" s="139"/>
      <c r="AA1498" s="139"/>
      <c r="AB1498" s="139"/>
      <c r="AC1498" s="139"/>
      <c r="AD1498" s="693"/>
      <c r="AE1498" s="693"/>
    </row>
    <row r="1499" spans="2:31" ht="9.75" customHeight="1" x14ac:dyDescent="0.2">
      <c r="B1499" s="705"/>
      <c r="C1499" s="704"/>
      <c r="D1499" s="146"/>
      <c r="E1499" s="704"/>
      <c r="F1499" s="139"/>
      <c r="G1499" s="139"/>
      <c r="H1499" s="139"/>
      <c r="I1499" s="139"/>
      <c r="J1499" s="139"/>
      <c r="K1499" s="139"/>
      <c r="L1499" s="139"/>
      <c r="M1499" s="139"/>
      <c r="N1499" s="139"/>
      <c r="O1499" s="139"/>
      <c r="P1499" s="139"/>
      <c r="Q1499" s="139"/>
      <c r="R1499" s="139"/>
      <c r="S1499" s="139"/>
      <c r="T1499" s="139"/>
      <c r="U1499" s="139"/>
      <c r="V1499" s="139"/>
      <c r="W1499" s="139"/>
      <c r="X1499" s="139"/>
      <c r="Y1499" s="139"/>
      <c r="Z1499" s="139"/>
      <c r="AA1499" s="139"/>
      <c r="AB1499" s="139"/>
      <c r="AC1499" s="139"/>
      <c r="AD1499" s="693"/>
      <c r="AE1499" s="693"/>
    </row>
    <row r="1500" spans="2:31" ht="9.75" customHeight="1" x14ac:dyDescent="0.2">
      <c r="B1500" s="705"/>
      <c r="C1500" s="704"/>
      <c r="D1500" s="142"/>
      <c r="E1500" s="704"/>
      <c r="F1500" s="118"/>
      <c r="G1500" s="118"/>
      <c r="H1500" s="118"/>
      <c r="I1500" s="118"/>
      <c r="J1500" s="118"/>
      <c r="K1500" s="118"/>
      <c r="L1500" s="118"/>
      <c r="M1500" s="144"/>
      <c r="N1500" s="118"/>
      <c r="O1500" s="144"/>
      <c r="P1500" s="144"/>
      <c r="Q1500" s="118"/>
      <c r="R1500" s="118"/>
      <c r="S1500" s="118"/>
      <c r="T1500" s="118"/>
      <c r="U1500" s="118"/>
      <c r="V1500" s="118"/>
      <c r="W1500" s="118"/>
      <c r="X1500" s="118"/>
      <c r="Y1500" s="118"/>
      <c r="Z1500" s="118"/>
      <c r="AA1500" s="118"/>
      <c r="AB1500" s="118"/>
      <c r="AC1500" s="118"/>
      <c r="AD1500" s="693"/>
      <c r="AE1500" s="693"/>
    </row>
    <row r="1501" spans="2:31" ht="9.75" customHeight="1" x14ac:dyDescent="0.2">
      <c r="B1501" s="705"/>
      <c r="C1501" s="704"/>
      <c r="D1501" s="146"/>
      <c r="E1501" s="704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18"/>
      <c r="S1501" s="118"/>
      <c r="T1501" s="118"/>
      <c r="U1501" s="118"/>
      <c r="V1501" s="118"/>
      <c r="W1501" s="118"/>
      <c r="X1501" s="118"/>
      <c r="Y1501" s="118"/>
      <c r="Z1501" s="118"/>
      <c r="AA1501" s="118"/>
      <c r="AB1501" s="118"/>
      <c r="AC1501" s="118"/>
      <c r="AD1501" s="693"/>
      <c r="AE1501" s="693"/>
    </row>
    <row r="1502" spans="2:31" ht="9.75" customHeight="1" x14ac:dyDescent="0.2">
      <c r="B1502" s="705"/>
      <c r="C1502" s="704"/>
      <c r="D1502" s="146"/>
      <c r="E1502" s="704"/>
      <c r="F1502" s="118"/>
      <c r="G1502" s="118"/>
      <c r="H1502" s="118"/>
      <c r="I1502" s="118"/>
      <c r="J1502" s="118"/>
      <c r="K1502" s="118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18"/>
      <c r="AC1502" s="118"/>
      <c r="AD1502" s="693"/>
      <c r="AE1502" s="693"/>
    </row>
    <row r="1503" spans="2:31" ht="9.75" customHeight="1" x14ac:dyDescent="0.2">
      <c r="B1503" s="705"/>
      <c r="C1503" s="704"/>
      <c r="D1503" s="146"/>
      <c r="E1503" s="704"/>
      <c r="F1503" s="118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18"/>
      <c r="U1503" s="118"/>
      <c r="V1503" s="118"/>
      <c r="W1503" s="118"/>
      <c r="X1503" s="118"/>
      <c r="Y1503" s="118"/>
      <c r="Z1503" s="118"/>
      <c r="AA1503" s="118"/>
      <c r="AB1503" s="118"/>
      <c r="AC1503" s="118"/>
      <c r="AD1503" s="693"/>
      <c r="AE1503" s="693"/>
    </row>
    <row r="1504" spans="2:31" ht="9.75" customHeight="1" x14ac:dyDescent="0.2">
      <c r="B1504" s="705"/>
      <c r="C1504" s="704"/>
      <c r="D1504" s="146"/>
      <c r="E1504" s="704"/>
      <c r="F1504" s="118"/>
      <c r="G1504" s="118"/>
      <c r="H1504" s="118"/>
      <c r="I1504" s="118"/>
      <c r="J1504" s="118"/>
      <c r="K1504" s="118"/>
      <c r="L1504" s="118"/>
      <c r="M1504" s="118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18"/>
      <c r="AD1504" s="693"/>
      <c r="AE1504" s="693"/>
    </row>
    <row r="1505" spans="1:31" ht="9.75" customHeight="1" x14ac:dyDescent="0.2">
      <c r="B1505" s="705"/>
      <c r="C1505" s="704"/>
      <c r="D1505" s="146"/>
      <c r="E1505" s="704"/>
      <c r="F1505" s="118"/>
      <c r="G1505" s="118"/>
      <c r="H1505" s="118"/>
      <c r="I1505" s="118"/>
      <c r="J1505" s="118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18"/>
      <c r="V1505" s="118"/>
      <c r="W1505" s="118"/>
      <c r="X1505" s="118"/>
      <c r="Y1505" s="118"/>
      <c r="Z1505" s="118"/>
      <c r="AA1505" s="118"/>
      <c r="AB1505" s="118"/>
      <c r="AC1505" s="118"/>
      <c r="AD1505" s="693"/>
      <c r="AE1505" s="693"/>
    </row>
    <row r="1506" spans="1:31" ht="9.75" customHeight="1" x14ac:dyDescent="0.2">
      <c r="B1506" s="705"/>
      <c r="C1506" s="704"/>
      <c r="D1506" s="139"/>
      <c r="E1506" s="704"/>
      <c r="F1506" s="139"/>
      <c r="G1506" s="139"/>
      <c r="H1506" s="118"/>
      <c r="I1506" s="118"/>
      <c r="J1506" s="118"/>
      <c r="K1506" s="118"/>
      <c r="L1506" s="118"/>
      <c r="M1506" s="118"/>
      <c r="N1506" s="118"/>
      <c r="O1506" s="118"/>
      <c r="P1506" s="118"/>
      <c r="Q1506" s="118"/>
      <c r="R1506" s="118"/>
      <c r="S1506" s="118"/>
      <c r="T1506" s="118"/>
      <c r="U1506" s="118"/>
      <c r="V1506" s="118"/>
      <c r="W1506" s="118"/>
      <c r="X1506" s="118"/>
      <c r="Y1506" s="118"/>
      <c r="Z1506" s="118"/>
      <c r="AA1506" s="118"/>
      <c r="AB1506" s="118"/>
      <c r="AC1506" s="118"/>
      <c r="AD1506" s="693"/>
      <c r="AE1506" s="693"/>
    </row>
    <row r="1507" spans="1:31" ht="9.75" customHeight="1" x14ac:dyDescent="0.2">
      <c r="B1507" s="705"/>
      <c r="C1507" s="704"/>
      <c r="D1507" s="139"/>
      <c r="E1507" s="704"/>
      <c r="F1507" s="139"/>
      <c r="G1507" s="139"/>
      <c r="H1507" s="139"/>
      <c r="I1507" s="139"/>
      <c r="J1507" s="139"/>
      <c r="K1507" s="118"/>
      <c r="L1507" s="118"/>
      <c r="M1507" s="118"/>
      <c r="N1507" s="118"/>
      <c r="O1507" s="118"/>
      <c r="P1507" s="118"/>
      <c r="Q1507" s="118"/>
      <c r="R1507" s="118"/>
      <c r="S1507" s="118"/>
      <c r="T1507" s="118"/>
      <c r="U1507" s="118"/>
      <c r="V1507" s="118"/>
      <c r="W1507" s="118"/>
      <c r="X1507" s="118"/>
      <c r="Y1507" s="118"/>
      <c r="Z1507" s="118"/>
      <c r="AA1507" s="118"/>
      <c r="AB1507" s="118"/>
      <c r="AC1507" s="118"/>
      <c r="AD1507" s="693"/>
      <c r="AE1507" s="693"/>
    </row>
    <row r="1508" spans="1:31" ht="9.75" customHeight="1" x14ac:dyDescent="0.2">
      <c r="B1508" s="705"/>
      <c r="C1508" s="704"/>
      <c r="D1508" s="139"/>
      <c r="E1508" s="704"/>
      <c r="F1508" s="118"/>
      <c r="G1508" s="118"/>
      <c r="H1508" s="118"/>
      <c r="I1508" s="118"/>
      <c r="J1508" s="118"/>
      <c r="K1508" s="118"/>
      <c r="L1508" s="139"/>
      <c r="M1508" s="139"/>
      <c r="N1508" s="118"/>
      <c r="O1508" s="118"/>
      <c r="P1508" s="118"/>
      <c r="Q1508" s="118"/>
      <c r="R1508" s="118"/>
      <c r="S1508" s="118"/>
      <c r="T1508" s="118"/>
      <c r="U1508" s="118"/>
      <c r="V1508" s="118"/>
      <c r="W1508" s="118"/>
      <c r="X1508" s="118"/>
      <c r="Y1508" s="118"/>
      <c r="Z1508" s="118"/>
      <c r="AA1508" s="118"/>
      <c r="AB1508" s="118"/>
      <c r="AC1508" s="118"/>
      <c r="AD1508" s="693"/>
      <c r="AE1508" s="693"/>
    </row>
    <row r="1509" spans="1:31" ht="9.75" customHeight="1" x14ac:dyDescent="0.2">
      <c r="B1509" s="705"/>
      <c r="C1509" s="704"/>
      <c r="D1509" s="146"/>
      <c r="E1509" s="704"/>
      <c r="F1509" s="118"/>
      <c r="G1509" s="118"/>
      <c r="H1509" s="118"/>
      <c r="I1509" s="118"/>
      <c r="J1509" s="118"/>
      <c r="K1509" s="118"/>
      <c r="L1509" s="118"/>
      <c r="M1509" s="118"/>
      <c r="N1509" s="118"/>
      <c r="O1509" s="118"/>
      <c r="P1509" s="118"/>
      <c r="Q1509" s="118"/>
      <c r="R1509" s="118"/>
      <c r="S1509" s="139"/>
      <c r="T1509" s="139"/>
      <c r="U1509" s="139"/>
      <c r="V1509" s="139"/>
      <c r="W1509" s="139"/>
      <c r="X1509" s="139"/>
      <c r="Y1509" s="139"/>
      <c r="Z1509" s="118"/>
      <c r="AA1509" s="118"/>
      <c r="AB1509" s="118"/>
      <c r="AC1509" s="118"/>
      <c r="AD1509" s="693"/>
      <c r="AE1509" s="693"/>
    </row>
    <row r="1510" spans="1:31" ht="9.75" customHeight="1" x14ac:dyDescent="0.2">
      <c r="B1510" s="705"/>
      <c r="C1510" s="704"/>
      <c r="D1510" s="139"/>
      <c r="E1510" s="704"/>
      <c r="F1510" s="139"/>
      <c r="G1510" s="139"/>
      <c r="H1510" s="139"/>
      <c r="I1510" s="118"/>
      <c r="J1510" s="118"/>
      <c r="K1510" s="118"/>
      <c r="L1510" s="118"/>
      <c r="M1510" s="118"/>
      <c r="N1510" s="118"/>
      <c r="O1510" s="118"/>
      <c r="P1510" s="118"/>
      <c r="Q1510" s="118"/>
      <c r="R1510" s="118"/>
      <c r="S1510" s="118"/>
      <c r="T1510" s="118"/>
      <c r="U1510" s="118"/>
      <c r="V1510" s="118"/>
      <c r="W1510" s="118"/>
      <c r="X1510" s="118"/>
      <c r="Y1510" s="118"/>
      <c r="Z1510" s="118"/>
      <c r="AA1510" s="118"/>
      <c r="AB1510" s="118"/>
      <c r="AC1510" s="118"/>
      <c r="AD1510" s="693"/>
      <c r="AE1510" s="693"/>
    </row>
    <row r="1511" spans="1:31" ht="9.75" customHeight="1" x14ac:dyDescent="0.2">
      <c r="B1511" s="705"/>
      <c r="C1511" s="704"/>
      <c r="D1511" s="139"/>
      <c r="E1511" s="704"/>
      <c r="F1511" s="139"/>
      <c r="G1511" s="139"/>
      <c r="H1511" s="139"/>
      <c r="I1511" s="118"/>
      <c r="J1511" s="118"/>
      <c r="K1511" s="118"/>
      <c r="L1511" s="118"/>
      <c r="M1511" s="118"/>
      <c r="N1511" s="118"/>
      <c r="O1511" s="118"/>
      <c r="P1511" s="118"/>
      <c r="Q1511" s="118"/>
      <c r="R1511" s="118"/>
      <c r="S1511" s="118"/>
      <c r="T1511" s="118"/>
      <c r="U1511" s="118"/>
      <c r="V1511" s="118"/>
      <c r="W1511" s="118"/>
      <c r="X1511" s="118"/>
      <c r="Y1511" s="118"/>
      <c r="Z1511" s="118"/>
      <c r="AA1511" s="118"/>
      <c r="AB1511" s="118"/>
      <c r="AC1511" s="118"/>
      <c r="AD1511" s="693"/>
      <c r="AE1511" s="693"/>
    </row>
    <row r="1512" spans="1:31" ht="9.75" customHeight="1" x14ac:dyDescent="0.2">
      <c r="B1512" s="705"/>
      <c r="C1512" s="704"/>
      <c r="D1512" s="146"/>
      <c r="E1512" s="704"/>
      <c r="F1512" s="139"/>
      <c r="G1512" s="139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693"/>
      <c r="AE1512" s="693"/>
    </row>
    <row r="1513" spans="1:31" ht="9.75" customHeight="1" x14ac:dyDescent="0.2">
      <c r="B1513" s="705"/>
      <c r="C1513" s="704"/>
      <c r="D1513" s="139"/>
      <c r="E1513" s="704"/>
      <c r="F1513" s="118"/>
      <c r="G1513" s="118"/>
      <c r="H1513" s="118"/>
      <c r="I1513" s="118"/>
      <c r="J1513" s="118"/>
      <c r="K1513" s="118"/>
      <c r="L1513" s="118"/>
      <c r="M1513" s="118"/>
      <c r="N1513" s="118"/>
      <c r="O1513" s="118"/>
      <c r="P1513" s="118"/>
      <c r="Q1513" s="118"/>
      <c r="R1513" s="118"/>
      <c r="S1513" s="118"/>
      <c r="T1513" s="118"/>
      <c r="U1513" s="118"/>
      <c r="V1513" s="118"/>
      <c r="W1513" s="118"/>
      <c r="X1513" s="118"/>
      <c r="Y1513" s="139"/>
      <c r="Z1513" s="139"/>
      <c r="AA1513" s="139"/>
      <c r="AB1513" s="139"/>
      <c r="AC1513" s="139"/>
      <c r="AD1513" s="693"/>
      <c r="AE1513" s="693"/>
    </row>
    <row r="1514" spans="1:31" ht="9.75" customHeight="1" x14ac:dyDescent="0.2">
      <c r="B1514" s="705"/>
      <c r="C1514" s="704"/>
      <c r="D1514" s="139"/>
      <c r="E1514" s="704"/>
      <c r="F1514" s="118"/>
      <c r="G1514" s="118"/>
      <c r="H1514" s="118"/>
      <c r="I1514" s="118"/>
      <c r="J1514" s="118"/>
      <c r="K1514" s="118"/>
      <c r="L1514" s="118"/>
      <c r="M1514" s="118"/>
      <c r="N1514" s="118"/>
      <c r="O1514" s="118"/>
      <c r="P1514" s="118"/>
      <c r="Q1514" s="118"/>
      <c r="R1514" s="118"/>
      <c r="S1514" s="118"/>
      <c r="T1514" s="118"/>
      <c r="U1514" s="118"/>
      <c r="V1514" s="139"/>
      <c r="W1514" s="139"/>
      <c r="X1514" s="139"/>
      <c r="Y1514" s="139"/>
      <c r="Z1514" s="139"/>
      <c r="AA1514" s="139"/>
      <c r="AB1514" s="139"/>
      <c r="AC1514" s="139"/>
      <c r="AD1514" s="693"/>
      <c r="AE1514" s="693"/>
    </row>
    <row r="1515" spans="1:31" ht="9.75" customHeight="1" x14ac:dyDescent="0.2">
      <c r="B1515" s="705"/>
      <c r="C1515" s="704"/>
      <c r="D1515" s="146"/>
      <c r="E1515" s="704"/>
      <c r="F1515" s="118"/>
      <c r="G1515" s="118"/>
      <c r="H1515" s="118"/>
      <c r="I1515" s="118"/>
      <c r="J1515" s="118"/>
      <c r="K1515" s="118"/>
      <c r="L1515" s="118"/>
      <c r="M1515" s="118"/>
      <c r="N1515" s="118"/>
      <c r="O1515" s="118"/>
      <c r="P1515" s="118"/>
      <c r="Q1515" s="118"/>
      <c r="R1515" s="118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693"/>
      <c r="AE1515" s="693"/>
    </row>
    <row r="1516" spans="1:31" ht="9.75" customHeight="1" x14ac:dyDescent="0.2">
      <c r="B1516" s="705"/>
      <c r="C1516" s="704"/>
      <c r="D1516" s="142"/>
      <c r="E1516" s="704"/>
      <c r="F1516" s="118"/>
      <c r="G1516" s="118"/>
      <c r="H1516" s="118"/>
      <c r="I1516" s="118"/>
      <c r="J1516" s="118"/>
      <c r="K1516" s="118"/>
      <c r="L1516" s="118"/>
      <c r="M1516" s="118"/>
      <c r="N1516" s="118"/>
      <c r="O1516" s="118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693"/>
      <c r="AE1516" s="693"/>
    </row>
    <row r="1517" spans="1:31" ht="9.75" customHeight="1" x14ac:dyDescent="0.2">
      <c r="B1517" s="705"/>
      <c r="C1517" s="704"/>
      <c r="D1517" s="139"/>
      <c r="E1517" s="704"/>
      <c r="F1517" s="118"/>
      <c r="G1517" s="118"/>
      <c r="H1517" s="139"/>
      <c r="I1517" s="139"/>
      <c r="J1517" s="118"/>
      <c r="K1517" s="118"/>
      <c r="L1517" s="118"/>
      <c r="M1517" s="118"/>
      <c r="N1517" s="118"/>
      <c r="O1517" s="118"/>
      <c r="P1517" s="118"/>
      <c r="Q1517" s="118"/>
      <c r="R1517" s="118"/>
      <c r="S1517" s="118"/>
      <c r="T1517" s="118"/>
      <c r="U1517" s="118"/>
      <c r="V1517" s="118"/>
      <c r="W1517" s="118"/>
      <c r="X1517" s="118"/>
      <c r="Y1517" s="118"/>
      <c r="Z1517" s="118"/>
      <c r="AA1517" s="118"/>
      <c r="AB1517" s="118"/>
      <c r="AC1517" s="118"/>
      <c r="AD1517" s="693"/>
      <c r="AE1517" s="693"/>
    </row>
    <row r="1518" spans="1:31" ht="9.75" customHeight="1" x14ac:dyDescent="0.2">
      <c r="B1518" s="705"/>
      <c r="C1518" s="704"/>
      <c r="D1518" s="139"/>
      <c r="E1518" s="704"/>
      <c r="F1518" s="139"/>
      <c r="G1518" s="139"/>
      <c r="H1518" s="118"/>
      <c r="I1518" s="118"/>
      <c r="J1518" s="118"/>
      <c r="K1518" s="118"/>
      <c r="L1518" s="118"/>
      <c r="M1518" s="118"/>
      <c r="N1518" s="118"/>
      <c r="O1518" s="118"/>
      <c r="P1518" s="118"/>
      <c r="Q1518" s="118"/>
      <c r="R1518" s="118"/>
      <c r="S1518" s="118"/>
      <c r="T1518" s="118"/>
      <c r="U1518" s="118"/>
      <c r="V1518" s="118"/>
      <c r="W1518" s="118"/>
      <c r="X1518" s="118"/>
      <c r="Y1518" s="118"/>
      <c r="Z1518" s="118"/>
      <c r="AA1518" s="118"/>
      <c r="AB1518" s="118"/>
      <c r="AC1518" s="118"/>
      <c r="AD1518" s="693"/>
      <c r="AE1518" s="693"/>
    </row>
    <row r="1519" spans="1:31" s="117" customFormat="1" x14ac:dyDescent="0.2">
      <c r="A1519" s="131"/>
      <c r="B1519" s="131" t="s">
        <v>204</v>
      </c>
    </row>
    <row r="1521" spans="1:10" ht="9.75" customHeight="1" x14ac:dyDescent="0.2">
      <c r="B1521" s="246" t="s">
        <v>195</v>
      </c>
      <c r="C1521" s="246"/>
      <c r="D1521" s="127"/>
      <c r="E1521" s="127"/>
      <c r="F1521" s="127"/>
      <c r="G1521" s="127"/>
      <c r="H1521" s="127"/>
      <c r="I1521" s="127"/>
      <c r="J1521" s="154"/>
    </row>
    <row r="1522" spans="1:10" ht="9.75" customHeight="1" x14ac:dyDescent="0.2">
      <c r="B1522" s="111"/>
      <c r="C1522" s="111"/>
      <c r="D1522" s="111"/>
      <c r="E1522" s="111"/>
      <c r="F1522" s="246" t="s">
        <v>196</v>
      </c>
      <c r="G1522" s="246"/>
      <c r="H1522" s="246"/>
      <c r="I1522" s="246"/>
      <c r="J1522" s="258"/>
    </row>
    <row r="1523" spans="1:10" ht="14.25" customHeight="1" x14ac:dyDescent="0.2">
      <c r="B1523" s="112" t="s">
        <v>70</v>
      </c>
      <c r="C1523" s="112" t="s">
        <v>4</v>
      </c>
      <c r="D1523" s="112" t="s">
        <v>182</v>
      </c>
      <c r="E1523" s="113" t="s">
        <v>180</v>
      </c>
      <c r="F1523" s="112" t="s">
        <v>197</v>
      </c>
      <c r="G1523" s="357" t="s">
        <v>52</v>
      </c>
      <c r="H1523" s="357" t="s">
        <v>198</v>
      </c>
      <c r="I1523" s="357" t="s">
        <v>6</v>
      </c>
      <c r="J1523" s="258"/>
    </row>
    <row r="1524" spans="1:10" ht="9.75" hidden="1" customHeight="1" x14ac:dyDescent="0.2">
      <c r="A1524" s="261" t="s">
        <v>1114</v>
      </c>
      <c r="B1524" s="713">
        <v>1</v>
      </c>
      <c r="C1524" s="127" t="s">
        <v>188</v>
      </c>
      <c r="D1524" s="127" t="s">
        <v>12</v>
      </c>
      <c r="E1524" s="852">
        <v>24.5</v>
      </c>
      <c r="F1524" s="706">
        <v>1</v>
      </c>
      <c r="G1524" s="853">
        <v>38</v>
      </c>
      <c r="H1524" s="127" t="s">
        <v>450</v>
      </c>
      <c r="I1524" s="848" t="s">
        <v>847</v>
      </c>
      <c r="J1524" s="258"/>
    </row>
    <row r="1525" spans="1:10" ht="9.75" hidden="1" customHeight="1" x14ac:dyDescent="0.2">
      <c r="A1525" s="261" t="s">
        <v>1072</v>
      </c>
      <c r="B1525" s="713">
        <v>2</v>
      </c>
      <c r="C1525" s="127" t="s">
        <v>189</v>
      </c>
      <c r="D1525" s="127" t="s">
        <v>12</v>
      </c>
      <c r="E1525" s="852">
        <v>15.7721</v>
      </c>
      <c r="F1525" s="706">
        <v>1</v>
      </c>
      <c r="G1525" s="853">
        <v>39</v>
      </c>
      <c r="H1525" s="127" t="s">
        <v>451</v>
      </c>
      <c r="I1525" s="848" t="s">
        <v>847</v>
      </c>
      <c r="J1525" s="258"/>
    </row>
    <row r="1526" spans="1:10" ht="9.75" hidden="1" customHeight="1" x14ac:dyDescent="0.2">
      <c r="A1526" s="261" t="s">
        <v>1260</v>
      </c>
      <c r="B1526" s="713">
        <v>3</v>
      </c>
      <c r="C1526" s="127" t="s">
        <v>1020</v>
      </c>
      <c r="D1526" s="127" t="s">
        <v>12</v>
      </c>
      <c r="E1526" s="854">
        <v>6.0468999999999999</v>
      </c>
      <c r="F1526" s="706">
        <v>2</v>
      </c>
      <c r="G1526" s="853">
        <v>15</v>
      </c>
      <c r="H1526" s="127" t="s">
        <v>159</v>
      </c>
      <c r="I1526" s="848" t="s">
        <v>847</v>
      </c>
      <c r="J1526" s="258"/>
    </row>
    <row r="1527" spans="1:10" ht="9.75" hidden="1" customHeight="1" x14ac:dyDescent="0.2">
      <c r="A1527" s="261" t="s">
        <v>1228</v>
      </c>
      <c r="B1527" s="706">
        <v>4</v>
      </c>
      <c r="C1527" s="127" t="s">
        <v>1021</v>
      </c>
      <c r="D1527" s="127" t="s">
        <v>12</v>
      </c>
      <c r="E1527" s="854">
        <v>4</v>
      </c>
      <c r="F1527" s="706">
        <v>2</v>
      </c>
      <c r="G1527" s="853">
        <v>71</v>
      </c>
      <c r="H1527" s="127" t="s">
        <v>461</v>
      </c>
      <c r="I1527" s="848" t="s">
        <v>847</v>
      </c>
      <c r="J1527" s="258"/>
    </row>
    <row r="1528" spans="1:10" ht="9.75" hidden="1" customHeight="1" x14ac:dyDescent="0.2">
      <c r="A1528" s="261" t="s">
        <v>1142</v>
      </c>
      <c r="B1528" s="219">
        <v>36</v>
      </c>
      <c r="C1528" s="127" t="s">
        <v>1022</v>
      </c>
      <c r="D1528" s="127" t="s">
        <v>12</v>
      </c>
      <c r="E1528" s="855">
        <v>2660</v>
      </c>
      <c r="F1528" s="706">
        <v>2</v>
      </c>
      <c r="G1528" s="853">
        <v>38</v>
      </c>
      <c r="H1528" s="127" t="s">
        <v>161</v>
      </c>
      <c r="I1528" s="848" t="s">
        <v>847</v>
      </c>
      <c r="J1528" s="258"/>
    </row>
    <row r="1529" spans="1:10" ht="9.75" hidden="1" customHeight="1" x14ac:dyDescent="0.2">
      <c r="A1529" s="261" t="s">
        <v>1074</v>
      </c>
      <c r="B1529" s="707">
        <v>532</v>
      </c>
      <c r="C1529" s="127" t="s">
        <v>1023</v>
      </c>
      <c r="D1529" s="127" t="s">
        <v>8</v>
      </c>
      <c r="E1529" s="852">
        <v>12</v>
      </c>
      <c r="F1529" s="706">
        <v>2</v>
      </c>
      <c r="G1529" s="853">
        <v>60</v>
      </c>
      <c r="H1529" s="127" t="s">
        <v>169</v>
      </c>
      <c r="I1529" s="848" t="s">
        <v>847</v>
      </c>
      <c r="J1529" s="258"/>
    </row>
    <row r="1530" spans="1:10" ht="9.75" hidden="1" customHeight="1" x14ac:dyDescent="0.2">
      <c r="A1530" s="261" t="s">
        <v>1075</v>
      </c>
      <c r="B1530" s="707">
        <v>561</v>
      </c>
      <c r="C1530" s="127" t="s">
        <v>1024</v>
      </c>
      <c r="D1530" s="127" t="s">
        <v>7</v>
      </c>
      <c r="E1530" s="852">
        <v>20</v>
      </c>
      <c r="F1530" s="706">
        <v>2</v>
      </c>
      <c r="G1530" s="853">
        <v>78</v>
      </c>
      <c r="H1530" s="127" t="s">
        <v>832</v>
      </c>
      <c r="I1530" s="848" t="s">
        <v>847</v>
      </c>
      <c r="J1530" s="258"/>
    </row>
    <row r="1531" spans="1:10" ht="9.75" hidden="1" customHeight="1" x14ac:dyDescent="0.2">
      <c r="A1531" s="261" t="s">
        <v>1076</v>
      </c>
      <c r="B1531" s="707">
        <v>811</v>
      </c>
      <c r="C1531" s="127" t="s">
        <v>1025</v>
      </c>
      <c r="D1531" s="127" t="s">
        <v>7</v>
      </c>
      <c r="E1531" s="852">
        <v>20</v>
      </c>
      <c r="F1531" s="706">
        <v>2</v>
      </c>
      <c r="G1531" s="853">
        <v>80</v>
      </c>
      <c r="H1531" s="127" t="s">
        <v>833</v>
      </c>
      <c r="I1531" s="848" t="s">
        <v>847</v>
      </c>
      <c r="J1531" s="258"/>
    </row>
    <row r="1532" spans="1:10" ht="9.75" hidden="1" customHeight="1" x14ac:dyDescent="0.2">
      <c r="A1532" s="261" t="s">
        <v>1697</v>
      </c>
      <c r="B1532" s="707">
        <v>835</v>
      </c>
      <c r="C1532" s="127" t="s">
        <v>1585</v>
      </c>
      <c r="D1532" s="127" t="s">
        <v>7</v>
      </c>
      <c r="E1532" s="854">
        <v>1</v>
      </c>
      <c r="F1532" s="706">
        <v>1</v>
      </c>
      <c r="G1532" s="853">
        <v>26</v>
      </c>
      <c r="H1532" s="127" t="s">
        <v>1382</v>
      </c>
      <c r="I1532" s="848" t="s">
        <v>847</v>
      </c>
      <c r="J1532" s="258"/>
    </row>
    <row r="1533" spans="1:10" ht="19.350000000000001" hidden="1" customHeight="1" x14ac:dyDescent="0.2">
      <c r="A1533" s="261" t="s">
        <v>1261</v>
      </c>
      <c r="B1533" s="707">
        <v>933</v>
      </c>
      <c r="C1533" s="127" t="s">
        <v>375</v>
      </c>
      <c r="D1533" s="127" t="s">
        <v>15</v>
      </c>
      <c r="E1533" s="856">
        <v>122.5728</v>
      </c>
      <c r="F1533" s="706">
        <v>2</v>
      </c>
      <c r="G1533" s="853">
        <v>15</v>
      </c>
      <c r="H1533" s="127" t="s">
        <v>159</v>
      </c>
      <c r="I1533" s="848" t="s">
        <v>847</v>
      </c>
      <c r="J1533" s="258"/>
    </row>
    <row r="1534" spans="1:10" ht="9.75" hidden="1" customHeight="1" x14ac:dyDescent="0.2">
      <c r="A1534" s="261" t="s">
        <v>1698</v>
      </c>
      <c r="B1534" s="705">
        <v>1080</v>
      </c>
      <c r="C1534" s="127" t="s">
        <v>1586</v>
      </c>
      <c r="D1534" s="127" t="s">
        <v>7</v>
      </c>
      <c r="E1534" s="855">
        <v>3264.44</v>
      </c>
      <c r="F1534" s="706">
        <v>1</v>
      </c>
      <c r="G1534" s="713">
        <v>5</v>
      </c>
      <c r="H1534" s="127" t="s">
        <v>425</v>
      </c>
      <c r="I1534" s="848" t="s">
        <v>847</v>
      </c>
      <c r="J1534" s="258"/>
    </row>
    <row r="1535" spans="1:10" ht="9.75" hidden="1" customHeight="1" x14ac:dyDescent="0.2">
      <c r="A1535" s="261" t="s">
        <v>1699</v>
      </c>
      <c r="B1535" s="705">
        <v>1092</v>
      </c>
      <c r="C1535" s="127" t="s">
        <v>1587</v>
      </c>
      <c r="D1535" s="127" t="s">
        <v>7</v>
      </c>
      <c r="E1535" s="855">
        <v>3264.44</v>
      </c>
      <c r="F1535" s="706">
        <v>1</v>
      </c>
      <c r="G1535" s="713">
        <v>3</v>
      </c>
      <c r="H1535" s="127" t="s">
        <v>427</v>
      </c>
      <c r="I1535" s="848" t="s">
        <v>847</v>
      </c>
      <c r="J1535" s="258"/>
    </row>
    <row r="1536" spans="1:10" ht="9.75" hidden="1" customHeight="1" x14ac:dyDescent="0.2">
      <c r="A1536" s="261" t="s">
        <v>1078</v>
      </c>
      <c r="B1536" s="705">
        <v>1118</v>
      </c>
      <c r="C1536" s="127" t="s">
        <v>377</v>
      </c>
      <c r="D1536" s="127" t="s">
        <v>7</v>
      </c>
      <c r="E1536" s="854">
        <v>1</v>
      </c>
      <c r="F1536" s="706">
        <v>2</v>
      </c>
      <c r="G1536" s="853">
        <v>94</v>
      </c>
      <c r="H1536" s="127" t="s">
        <v>377</v>
      </c>
      <c r="I1536" s="848" t="s">
        <v>847</v>
      </c>
      <c r="J1536" s="258"/>
    </row>
    <row r="1537" spans="1:10" ht="9.75" hidden="1" customHeight="1" x14ac:dyDescent="0.2">
      <c r="A1537" s="261" t="s">
        <v>1079</v>
      </c>
      <c r="B1537" s="705">
        <v>1134</v>
      </c>
      <c r="C1537" s="127" t="s">
        <v>1026</v>
      </c>
      <c r="D1537" s="127" t="s">
        <v>7</v>
      </c>
      <c r="E1537" s="852">
        <v>20</v>
      </c>
      <c r="F1537" s="706">
        <v>2</v>
      </c>
      <c r="G1537" s="853">
        <v>77</v>
      </c>
      <c r="H1537" s="127" t="s">
        <v>831</v>
      </c>
      <c r="I1537" s="848" t="s">
        <v>847</v>
      </c>
      <c r="J1537" s="258"/>
    </row>
    <row r="1538" spans="1:10" ht="9.75" hidden="1" customHeight="1" x14ac:dyDescent="0.2">
      <c r="A1538" s="261" t="s">
        <v>1080</v>
      </c>
      <c r="B1538" s="705">
        <v>1138</v>
      </c>
      <c r="C1538" s="127" t="s">
        <v>1027</v>
      </c>
      <c r="D1538" s="127" t="s">
        <v>7</v>
      </c>
      <c r="E1538" s="856">
        <v>100</v>
      </c>
      <c r="F1538" s="706">
        <v>2</v>
      </c>
      <c r="G1538" s="853">
        <v>89</v>
      </c>
      <c r="H1538" s="127" t="s">
        <v>428</v>
      </c>
      <c r="I1538" s="848" t="s">
        <v>847</v>
      </c>
      <c r="J1538" s="258"/>
    </row>
    <row r="1539" spans="1:10" ht="9.75" hidden="1" customHeight="1" x14ac:dyDescent="0.2">
      <c r="A1539" s="261" t="s">
        <v>1081</v>
      </c>
      <c r="B1539" s="705">
        <v>1138</v>
      </c>
      <c r="C1539" s="127" t="s">
        <v>1028</v>
      </c>
      <c r="D1539" s="127" t="s">
        <v>7</v>
      </c>
      <c r="E1539" s="856">
        <v>200</v>
      </c>
      <c r="F1539" s="706">
        <v>2</v>
      </c>
      <c r="G1539" s="853">
        <v>89</v>
      </c>
      <c r="H1539" s="127" t="s">
        <v>428</v>
      </c>
      <c r="I1539" s="848" t="s">
        <v>847</v>
      </c>
      <c r="J1539" s="258"/>
    </row>
    <row r="1540" spans="1:10" ht="19.350000000000001" hidden="1" customHeight="1" x14ac:dyDescent="0.2">
      <c r="A1540" s="261" t="s">
        <v>1082</v>
      </c>
      <c r="B1540" s="705">
        <v>1138</v>
      </c>
      <c r="C1540" s="127" t="s">
        <v>1029</v>
      </c>
      <c r="D1540" s="127" t="s">
        <v>7</v>
      </c>
      <c r="E1540" s="856">
        <v>120</v>
      </c>
      <c r="F1540" s="706">
        <v>2</v>
      </c>
      <c r="G1540" s="853">
        <v>89</v>
      </c>
      <c r="H1540" s="127" t="s">
        <v>428</v>
      </c>
      <c r="I1540" s="848" t="s">
        <v>847</v>
      </c>
      <c r="J1540" s="258"/>
    </row>
    <row r="1541" spans="1:10" ht="9.75" hidden="1" customHeight="1" x14ac:dyDescent="0.2">
      <c r="A1541" s="261" t="s">
        <v>1083</v>
      </c>
      <c r="B1541" s="705">
        <v>1138</v>
      </c>
      <c r="C1541" s="127" t="s">
        <v>1030</v>
      </c>
      <c r="D1541" s="127" t="s">
        <v>7</v>
      </c>
      <c r="E1541" s="855">
        <v>1000</v>
      </c>
      <c r="F1541" s="706">
        <v>2</v>
      </c>
      <c r="G1541" s="853">
        <v>91</v>
      </c>
      <c r="H1541" s="127" t="s">
        <v>429</v>
      </c>
      <c r="I1541" s="848" t="s">
        <v>847</v>
      </c>
      <c r="J1541" s="258"/>
    </row>
    <row r="1542" spans="1:10" ht="9.75" hidden="1" customHeight="1" x14ac:dyDescent="0.2">
      <c r="A1542" s="261" t="s">
        <v>1084</v>
      </c>
      <c r="B1542" s="705">
        <v>1145</v>
      </c>
      <c r="C1542" s="127" t="s">
        <v>1031</v>
      </c>
      <c r="D1542" s="127" t="s">
        <v>7</v>
      </c>
      <c r="E1542" s="854">
        <v>1</v>
      </c>
      <c r="F1542" s="706">
        <v>2</v>
      </c>
      <c r="G1542" s="853">
        <v>92</v>
      </c>
      <c r="H1542" s="127" t="s">
        <v>11</v>
      </c>
      <c r="I1542" s="848" t="s">
        <v>847</v>
      </c>
      <c r="J1542" s="258"/>
    </row>
    <row r="1543" spans="1:10" ht="9.75" hidden="1" customHeight="1" x14ac:dyDescent="0.2">
      <c r="A1543" s="261" t="s">
        <v>1132</v>
      </c>
      <c r="B1543" s="715">
        <v>1151</v>
      </c>
      <c r="C1543" s="127" t="s">
        <v>1032</v>
      </c>
      <c r="D1543" s="127" t="s">
        <v>12</v>
      </c>
      <c r="E1543" s="855">
        <v>3040</v>
      </c>
      <c r="F1543" s="706">
        <v>2</v>
      </c>
      <c r="G1543" s="853">
        <v>29</v>
      </c>
      <c r="H1543" s="127" t="s">
        <v>160</v>
      </c>
      <c r="I1543" s="848" t="s">
        <v>847</v>
      </c>
      <c r="J1543" s="258"/>
    </row>
    <row r="1544" spans="1:10" ht="9.75" hidden="1" customHeight="1" x14ac:dyDescent="0.2">
      <c r="A1544" s="261" t="s">
        <v>1137</v>
      </c>
      <c r="B1544" s="705">
        <v>1169</v>
      </c>
      <c r="C1544" s="127" t="s">
        <v>1033</v>
      </c>
      <c r="D1544" s="127" t="s">
        <v>7</v>
      </c>
      <c r="E1544" s="852">
        <v>19</v>
      </c>
      <c r="F1544" s="706">
        <v>2</v>
      </c>
      <c r="G1544" s="853">
        <v>73</v>
      </c>
      <c r="H1544" s="127" t="s">
        <v>431</v>
      </c>
      <c r="I1544" s="848" t="s">
        <v>847</v>
      </c>
      <c r="J1544" s="258"/>
    </row>
    <row r="1545" spans="1:10" ht="19.350000000000001" hidden="1" customHeight="1" x14ac:dyDescent="0.2">
      <c r="A1545" s="261" t="s">
        <v>1085</v>
      </c>
      <c r="B1545" s="705">
        <v>1172</v>
      </c>
      <c r="C1545" s="127" t="s">
        <v>1034</v>
      </c>
      <c r="D1545" s="127" t="s">
        <v>7</v>
      </c>
      <c r="E1545" s="857">
        <v>24948</v>
      </c>
      <c r="F1545" s="706">
        <v>2</v>
      </c>
      <c r="G1545" s="853">
        <v>46</v>
      </c>
      <c r="H1545" s="127" t="s">
        <v>827</v>
      </c>
      <c r="I1545" s="848" t="s">
        <v>847</v>
      </c>
      <c r="J1545" s="258"/>
    </row>
    <row r="1546" spans="1:10" ht="9.75" hidden="1" customHeight="1" x14ac:dyDescent="0.2">
      <c r="A1546" s="261" t="s">
        <v>1086</v>
      </c>
      <c r="B1546" s="705">
        <v>1175</v>
      </c>
      <c r="C1546" s="127" t="s">
        <v>1035</v>
      </c>
      <c r="D1546" s="127" t="s">
        <v>7</v>
      </c>
      <c r="E1546" s="852">
        <v>20</v>
      </c>
      <c r="F1546" s="706">
        <v>2</v>
      </c>
      <c r="G1546" s="853">
        <v>82</v>
      </c>
      <c r="H1546" s="127" t="s">
        <v>445</v>
      </c>
      <c r="I1546" s="848" t="s">
        <v>847</v>
      </c>
      <c r="J1546" s="258"/>
    </row>
    <row r="1547" spans="1:10" ht="9.75" hidden="1" customHeight="1" x14ac:dyDescent="0.2">
      <c r="A1547" s="261" t="s">
        <v>1087</v>
      </c>
      <c r="B1547" s="705">
        <v>1176</v>
      </c>
      <c r="C1547" s="127" t="s">
        <v>1036</v>
      </c>
      <c r="D1547" s="127" t="s">
        <v>7</v>
      </c>
      <c r="E1547" s="852">
        <v>21</v>
      </c>
      <c r="F1547" s="706">
        <v>2</v>
      </c>
      <c r="G1547" s="713">
        <v>9</v>
      </c>
      <c r="H1547" s="127" t="s">
        <v>17</v>
      </c>
      <c r="I1547" s="848" t="s">
        <v>847</v>
      </c>
      <c r="J1547" s="258"/>
    </row>
    <row r="1548" spans="1:10" ht="9.75" hidden="1" customHeight="1" x14ac:dyDescent="0.2">
      <c r="A1548" s="261" t="s">
        <v>1088</v>
      </c>
      <c r="B1548" s="705">
        <v>1180</v>
      </c>
      <c r="C1548" s="127" t="s">
        <v>1037</v>
      </c>
      <c r="D1548" s="127" t="s">
        <v>7</v>
      </c>
      <c r="E1548" s="852">
        <v>21</v>
      </c>
      <c r="F1548" s="706">
        <v>2</v>
      </c>
      <c r="G1548" s="853">
        <v>85</v>
      </c>
      <c r="H1548" s="127" t="s">
        <v>433</v>
      </c>
      <c r="I1548" s="848" t="s">
        <v>847</v>
      </c>
      <c r="J1548" s="258"/>
    </row>
    <row r="1549" spans="1:10" ht="9.75" hidden="1" customHeight="1" x14ac:dyDescent="0.2">
      <c r="A1549" s="261" t="s">
        <v>1089</v>
      </c>
      <c r="B1549" s="705">
        <v>1195</v>
      </c>
      <c r="C1549" s="127" t="s">
        <v>397</v>
      </c>
      <c r="D1549" s="127" t="s">
        <v>7</v>
      </c>
      <c r="E1549" s="854">
        <v>1</v>
      </c>
      <c r="F1549" s="706">
        <v>1</v>
      </c>
      <c r="G1549" s="853">
        <v>18</v>
      </c>
      <c r="H1549" s="127" t="s">
        <v>434</v>
      </c>
      <c r="I1549" s="848" t="s">
        <v>847</v>
      </c>
      <c r="J1549" s="258"/>
    </row>
    <row r="1550" spans="1:10" ht="9.75" hidden="1" customHeight="1" x14ac:dyDescent="0.2">
      <c r="A1550" s="261" t="s">
        <v>1090</v>
      </c>
      <c r="B1550" s="715">
        <v>1285</v>
      </c>
      <c r="C1550" s="127" t="s">
        <v>378</v>
      </c>
      <c r="D1550" s="127" t="s">
        <v>15</v>
      </c>
      <c r="E1550" s="856">
        <v>248.71420000000001</v>
      </c>
      <c r="F1550" s="706">
        <v>1</v>
      </c>
      <c r="G1550" s="853">
        <v>39</v>
      </c>
      <c r="H1550" s="127" t="s">
        <v>451</v>
      </c>
      <c r="I1550" s="848" t="s">
        <v>847</v>
      </c>
      <c r="J1550" s="258"/>
    </row>
    <row r="1551" spans="1:10" ht="19.350000000000001" hidden="1" customHeight="1" x14ac:dyDescent="0.2">
      <c r="A1551" s="261" t="s">
        <v>1246</v>
      </c>
      <c r="B1551" s="705">
        <v>1327</v>
      </c>
      <c r="C1551" s="127" t="s">
        <v>859</v>
      </c>
      <c r="D1551" s="127" t="s">
        <v>15</v>
      </c>
      <c r="E1551" s="856">
        <v>336.78</v>
      </c>
      <c r="F1551" s="706">
        <v>2</v>
      </c>
      <c r="G1551" s="853">
        <v>14</v>
      </c>
      <c r="H1551" s="127" t="s">
        <v>467</v>
      </c>
      <c r="I1551" s="848" t="s">
        <v>847</v>
      </c>
      <c r="J1551" s="258"/>
    </row>
    <row r="1552" spans="1:10" ht="9.75" hidden="1" customHeight="1" x14ac:dyDescent="0.2">
      <c r="A1552" s="261" t="s">
        <v>1232</v>
      </c>
      <c r="B1552" s="705">
        <v>1492</v>
      </c>
      <c r="C1552" s="127" t="s">
        <v>1038</v>
      </c>
      <c r="D1552" s="127" t="s">
        <v>8</v>
      </c>
      <c r="E1552" s="854">
        <v>3</v>
      </c>
      <c r="F1552" s="706">
        <v>2</v>
      </c>
      <c r="G1552" s="853">
        <v>69</v>
      </c>
      <c r="H1552" s="127" t="s">
        <v>463</v>
      </c>
      <c r="I1552" s="848" t="s">
        <v>847</v>
      </c>
      <c r="J1552" s="258"/>
    </row>
    <row r="1553" spans="1:10" ht="9.75" hidden="1" customHeight="1" x14ac:dyDescent="0.2">
      <c r="A1553" s="261" t="s">
        <v>1233</v>
      </c>
      <c r="B1553" s="705">
        <v>1493</v>
      </c>
      <c r="C1553" s="127" t="s">
        <v>1039</v>
      </c>
      <c r="D1553" s="127" t="s">
        <v>15</v>
      </c>
      <c r="E1553" s="852">
        <v>15</v>
      </c>
      <c r="F1553" s="706">
        <v>2</v>
      </c>
      <c r="G1553" s="853">
        <v>69</v>
      </c>
      <c r="H1553" s="127" t="s">
        <v>463</v>
      </c>
      <c r="I1553" s="848" t="s">
        <v>847</v>
      </c>
      <c r="J1553" s="258"/>
    </row>
    <row r="1554" spans="1:10" ht="9.75" hidden="1" customHeight="1" x14ac:dyDescent="0.2">
      <c r="A1554" s="261" t="s">
        <v>1092</v>
      </c>
      <c r="B1554" s="705">
        <v>4674</v>
      </c>
      <c r="C1554" s="127" t="s">
        <v>1040</v>
      </c>
      <c r="D1554" s="127" t="s">
        <v>8</v>
      </c>
      <c r="E1554" s="854">
        <v>5.2504</v>
      </c>
      <c r="F1554" s="706">
        <v>2</v>
      </c>
      <c r="G1554" s="853">
        <v>12</v>
      </c>
      <c r="H1554" s="127" t="s">
        <v>155</v>
      </c>
      <c r="I1554" s="848" t="s">
        <v>847</v>
      </c>
      <c r="J1554" s="258"/>
    </row>
    <row r="1555" spans="1:10" ht="9.75" hidden="1" customHeight="1" x14ac:dyDescent="0.2">
      <c r="A1555" s="261" t="s">
        <v>1234</v>
      </c>
      <c r="B1555" s="705">
        <v>4992</v>
      </c>
      <c r="C1555" s="127" t="s">
        <v>190</v>
      </c>
      <c r="D1555" s="127" t="s">
        <v>12</v>
      </c>
      <c r="E1555" s="854">
        <v>8</v>
      </c>
      <c r="F1555" s="706">
        <v>2</v>
      </c>
      <c r="G1555" s="853">
        <v>69</v>
      </c>
      <c r="H1555" s="127" t="s">
        <v>463</v>
      </c>
      <c r="I1555" s="848" t="s">
        <v>847</v>
      </c>
      <c r="J1555" s="258"/>
    </row>
    <row r="1556" spans="1:10" ht="9.75" hidden="1" customHeight="1" x14ac:dyDescent="0.2">
      <c r="A1556" s="261" t="s">
        <v>1094</v>
      </c>
      <c r="B1556" s="705">
        <v>5242</v>
      </c>
      <c r="C1556" s="127" t="s">
        <v>1042</v>
      </c>
      <c r="D1556" s="127" t="s">
        <v>10</v>
      </c>
      <c r="E1556" s="852">
        <v>19</v>
      </c>
      <c r="F1556" s="706">
        <v>2</v>
      </c>
      <c r="G1556" s="853">
        <v>24</v>
      </c>
      <c r="H1556" s="127" t="s">
        <v>824</v>
      </c>
      <c r="I1556" s="848" t="s">
        <v>847</v>
      </c>
      <c r="J1556" s="258"/>
    </row>
    <row r="1557" spans="1:10" ht="9.75" hidden="1" customHeight="1" x14ac:dyDescent="0.2">
      <c r="A1557" s="261" t="s">
        <v>1700</v>
      </c>
      <c r="B1557" s="705">
        <v>5243</v>
      </c>
      <c r="C1557" s="127" t="s">
        <v>1588</v>
      </c>
      <c r="D1557" s="127" t="s">
        <v>12</v>
      </c>
      <c r="E1557" s="856">
        <v>950</v>
      </c>
      <c r="F1557" s="706">
        <v>2</v>
      </c>
      <c r="G1557" s="853">
        <v>36</v>
      </c>
      <c r="H1557" s="127" t="s">
        <v>1543</v>
      </c>
      <c r="I1557" s="848" t="s">
        <v>847</v>
      </c>
      <c r="J1557" s="258"/>
    </row>
    <row r="1558" spans="1:10" ht="9.75" hidden="1" customHeight="1" x14ac:dyDescent="0.2">
      <c r="A1558" s="261" t="s">
        <v>1333</v>
      </c>
      <c r="B1558" s="705">
        <v>5522</v>
      </c>
      <c r="C1558" s="127" t="s">
        <v>1043</v>
      </c>
      <c r="D1558" s="127" t="s">
        <v>7</v>
      </c>
      <c r="E1558" s="852">
        <v>22</v>
      </c>
      <c r="F1558" s="706">
        <v>2</v>
      </c>
      <c r="G1558" s="853">
        <v>96</v>
      </c>
      <c r="H1558" s="127" t="s">
        <v>515</v>
      </c>
      <c r="I1558" s="848" t="s">
        <v>847</v>
      </c>
      <c r="J1558" s="258"/>
    </row>
    <row r="1559" spans="1:10" ht="9.75" hidden="1" customHeight="1" x14ac:dyDescent="0.2">
      <c r="A1559" s="261" t="s">
        <v>1235</v>
      </c>
      <c r="B1559" s="705">
        <v>5614</v>
      </c>
      <c r="C1559" s="127" t="s">
        <v>1044</v>
      </c>
      <c r="D1559" s="127" t="s">
        <v>382</v>
      </c>
      <c r="E1559" s="854">
        <v>5</v>
      </c>
      <c r="F1559" s="706">
        <v>2</v>
      </c>
      <c r="G1559" s="853">
        <v>69</v>
      </c>
      <c r="H1559" s="127" t="s">
        <v>463</v>
      </c>
      <c r="I1559" s="848" t="s">
        <v>847</v>
      </c>
      <c r="J1559" s="258"/>
    </row>
    <row r="1560" spans="1:10" ht="9.75" hidden="1" customHeight="1" x14ac:dyDescent="0.2">
      <c r="A1560" s="261" t="s">
        <v>1095</v>
      </c>
      <c r="B1560" s="715">
        <v>5677</v>
      </c>
      <c r="C1560" s="127" t="s">
        <v>1045</v>
      </c>
      <c r="D1560" s="127" t="s">
        <v>12</v>
      </c>
      <c r="E1560" s="855">
        <v>3990</v>
      </c>
      <c r="F1560" s="706">
        <v>2</v>
      </c>
      <c r="G1560" s="853">
        <v>27</v>
      </c>
      <c r="H1560" s="127" t="s">
        <v>438</v>
      </c>
      <c r="I1560" s="848" t="s">
        <v>847</v>
      </c>
      <c r="J1560" s="258"/>
    </row>
    <row r="1561" spans="1:10" ht="9.75" hidden="1" customHeight="1" x14ac:dyDescent="0.2">
      <c r="A1561" s="261" t="s">
        <v>1096</v>
      </c>
      <c r="B1561" s="705">
        <v>5786</v>
      </c>
      <c r="C1561" s="127" t="s">
        <v>1046</v>
      </c>
      <c r="D1561" s="127" t="s">
        <v>10</v>
      </c>
      <c r="E1561" s="852">
        <v>21</v>
      </c>
      <c r="F1561" s="706">
        <v>2</v>
      </c>
      <c r="G1561" s="853">
        <v>86</v>
      </c>
      <c r="H1561" s="127" t="s">
        <v>439</v>
      </c>
      <c r="I1561" s="848" t="s">
        <v>847</v>
      </c>
      <c r="J1561" s="258"/>
    </row>
    <row r="1562" spans="1:10" ht="9.75" hidden="1" customHeight="1" x14ac:dyDescent="0.2">
      <c r="A1562" s="261" t="s">
        <v>1247</v>
      </c>
      <c r="B1562" s="705">
        <v>5804</v>
      </c>
      <c r="C1562" s="127" t="s">
        <v>1047</v>
      </c>
      <c r="D1562" s="127" t="s">
        <v>12</v>
      </c>
      <c r="E1562" s="855">
        <v>2660</v>
      </c>
      <c r="F1562" s="706">
        <v>2</v>
      </c>
      <c r="G1562" s="853">
        <v>35</v>
      </c>
      <c r="H1562" s="127" t="s">
        <v>263</v>
      </c>
      <c r="I1562" s="848" t="s">
        <v>847</v>
      </c>
      <c r="J1562" s="258"/>
    </row>
    <row r="1563" spans="1:10" ht="9.75" hidden="1" customHeight="1" x14ac:dyDescent="0.2">
      <c r="A1563" s="261" t="s">
        <v>1097</v>
      </c>
      <c r="B1563" s="705">
        <v>5858</v>
      </c>
      <c r="C1563" s="127" t="s">
        <v>1048</v>
      </c>
      <c r="D1563" s="127" t="s">
        <v>8</v>
      </c>
      <c r="E1563" s="854">
        <v>6</v>
      </c>
      <c r="F1563" s="706">
        <v>2</v>
      </c>
      <c r="G1563" s="853">
        <v>60</v>
      </c>
      <c r="H1563" s="127" t="s">
        <v>169</v>
      </c>
      <c r="I1563" s="848" t="s">
        <v>847</v>
      </c>
      <c r="J1563" s="258"/>
    </row>
    <row r="1564" spans="1:10" ht="9.75" hidden="1" customHeight="1" x14ac:dyDescent="0.2">
      <c r="A1564" s="261" t="s">
        <v>1098</v>
      </c>
      <c r="B1564" s="705">
        <v>5869</v>
      </c>
      <c r="C1564" s="127" t="s">
        <v>1049</v>
      </c>
      <c r="D1564" s="127" t="s">
        <v>8</v>
      </c>
      <c r="E1564" s="854">
        <v>3.6</v>
      </c>
      <c r="F1564" s="706">
        <v>2</v>
      </c>
      <c r="G1564" s="853">
        <v>60</v>
      </c>
      <c r="H1564" s="127" t="s">
        <v>169</v>
      </c>
      <c r="I1564" s="848" t="s">
        <v>847</v>
      </c>
      <c r="J1564" s="258"/>
    </row>
    <row r="1565" spans="1:10" ht="9.75" hidden="1" customHeight="1" x14ac:dyDescent="0.2">
      <c r="A1565" s="261" t="s">
        <v>1099</v>
      </c>
      <c r="B1565" s="705">
        <v>5907</v>
      </c>
      <c r="C1565" s="127" t="s">
        <v>411</v>
      </c>
      <c r="D1565" s="127" t="s">
        <v>192</v>
      </c>
      <c r="E1565" s="854">
        <v>7</v>
      </c>
      <c r="F1565" s="706">
        <v>1</v>
      </c>
      <c r="G1565" s="853">
        <v>16</v>
      </c>
      <c r="H1565" s="127" t="s">
        <v>453</v>
      </c>
      <c r="I1565" s="848" t="s">
        <v>847</v>
      </c>
      <c r="J1565" s="258"/>
    </row>
    <row r="1566" spans="1:10" ht="9.75" hidden="1" customHeight="1" x14ac:dyDescent="0.2">
      <c r="A1566" s="261" t="s">
        <v>1701</v>
      </c>
      <c r="B1566" s="705">
        <v>5914</v>
      </c>
      <c r="C1566" s="127" t="s">
        <v>1589</v>
      </c>
      <c r="D1566" s="127" t="s">
        <v>1003</v>
      </c>
      <c r="E1566" s="854">
        <v>2</v>
      </c>
      <c r="F1566" s="706">
        <v>1</v>
      </c>
      <c r="G1566" s="853">
        <v>37</v>
      </c>
      <c r="H1566" s="127" t="s">
        <v>449</v>
      </c>
      <c r="I1566" s="848" t="s">
        <v>847</v>
      </c>
      <c r="J1566" s="258"/>
    </row>
    <row r="1567" spans="1:10" ht="9.75" hidden="1" customHeight="1" x14ac:dyDescent="0.2">
      <c r="A1567" s="261" t="s">
        <v>1100</v>
      </c>
      <c r="B1567" s="705">
        <v>5963</v>
      </c>
      <c r="C1567" s="127" t="s">
        <v>1050</v>
      </c>
      <c r="D1567" s="127" t="s">
        <v>7</v>
      </c>
      <c r="E1567" s="854">
        <v>1</v>
      </c>
      <c r="F1567" s="706">
        <v>2</v>
      </c>
      <c r="G1567" s="713">
        <v>3</v>
      </c>
      <c r="H1567" s="127" t="s">
        <v>823</v>
      </c>
      <c r="I1567" s="848" t="s">
        <v>847</v>
      </c>
      <c r="J1567" s="258"/>
    </row>
    <row r="1568" spans="1:10" ht="9.75" hidden="1" customHeight="1" x14ac:dyDescent="0.2">
      <c r="A1568" s="261" t="s">
        <v>1101</v>
      </c>
      <c r="B1568" s="705">
        <v>5963</v>
      </c>
      <c r="C1568" s="127" t="s">
        <v>1051</v>
      </c>
      <c r="D1568" s="127" t="s">
        <v>7</v>
      </c>
      <c r="E1568" s="855">
        <v>3264.44</v>
      </c>
      <c r="F1568" s="706">
        <v>2</v>
      </c>
      <c r="G1568" s="713">
        <v>3</v>
      </c>
      <c r="H1568" s="127" t="s">
        <v>823</v>
      </c>
      <c r="I1568" s="848" t="s">
        <v>847</v>
      </c>
      <c r="J1568" s="258"/>
    </row>
    <row r="1569" spans="1:10" ht="9.75" hidden="1" customHeight="1" x14ac:dyDescent="0.2">
      <c r="A1569" s="261" t="s">
        <v>1102</v>
      </c>
      <c r="B1569" s="705">
        <v>5963</v>
      </c>
      <c r="C1569" s="127" t="s">
        <v>1052</v>
      </c>
      <c r="D1569" s="127" t="s">
        <v>7</v>
      </c>
      <c r="E1569" s="854">
        <v>1</v>
      </c>
      <c r="F1569" s="706">
        <v>2</v>
      </c>
      <c r="G1569" s="713">
        <v>3</v>
      </c>
      <c r="H1569" s="127" t="s">
        <v>823</v>
      </c>
      <c r="I1569" s="848" t="s">
        <v>847</v>
      </c>
      <c r="J1569" s="258"/>
    </row>
    <row r="1570" spans="1:10" ht="9.75" hidden="1" customHeight="1" x14ac:dyDescent="0.2">
      <c r="A1570" s="261" t="s">
        <v>1103</v>
      </c>
      <c r="B1570" s="705">
        <v>5963</v>
      </c>
      <c r="C1570" s="127" t="s">
        <v>1053</v>
      </c>
      <c r="D1570" s="127" t="s">
        <v>7</v>
      </c>
      <c r="E1570" s="854">
        <v>1</v>
      </c>
      <c r="F1570" s="706">
        <v>2</v>
      </c>
      <c r="G1570" s="713">
        <v>3</v>
      </c>
      <c r="H1570" s="127" t="s">
        <v>823</v>
      </c>
      <c r="I1570" s="848" t="s">
        <v>847</v>
      </c>
      <c r="J1570" s="258"/>
    </row>
    <row r="1571" spans="1:10" ht="9.75" hidden="1" customHeight="1" x14ac:dyDescent="0.2">
      <c r="A1571" s="261" t="s">
        <v>1104</v>
      </c>
      <c r="B1571" s="705">
        <v>5963</v>
      </c>
      <c r="C1571" s="127" t="s">
        <v>1054</v>
      </c>
      <c r="D1571" s="127" t="s">
        <v>7</v>
      </c>
      <c r="E1571" s="855">
        <v>3264.44</v>
      </c>
      <c r="F1571" s="706">
        <v>2</v>
      </c>
      <c r="G1571" s="713">
        <v>3</v>
      </c>
      <c r="H1571" s="127" t="s">
        <v>823</v>
      </c>
      <c r="I1571" s="848" t="s">
        <v>847</v>
      </c>
      <c r="J1571" s="258"/>
    </row>
    <row r="1572" spans="1:10" ht="9.75" hidden="1" customHeight="1" x14ac:dyDescent="0.2">
      <c r="A1572" s="261" t="s">
        <v>1105</v>
      </c>
      <c r="B1572" s="715">
        <v>7164</v>
      </c>
      <c r="C1572" s="127" t="s">
        <v>1055</v>
      </c>
      <c r="D1572" s="127" t="s">
        <v>12</v>
      </c>
      <c r="E1572" s="855">
        <v>1995</v>
      </c>
      <c r="F1572" s="706">
        <v>2</v>
      </c>
      <c r="G1572" s="853">
        <v>30</v>
      </c>
      <c r="H1572" s="127" t="s">
        <v>444</v>
      </c>
      <c r="I1572" s="848" t="s">
        <v>847</v>
      </c>
      <c r="J1572" s="258"/>
    </row>
    <row r="1573" spans="1:10" ht="9.75" hidden="1" customHeight="1" x14ac:dyDescent="0.2">
      <c r="A1573" s="261" t="s">
        <v>1183</v>
      </c>
      <c r="B1573" s="715">
        <v>7742</v>
      </c>
      <c r="C1573" s="127" t="s">
        <v>1056</v>
      </c>
      <c r="D1573" s="127" t="s">
        <v>90</v>
      </c>
      <c r="E1573" s="856">
        <v>286.572</v>
      </c>
      <c r="F1573" s="706">
        <v>2</v>
      </c>
      <c r="G1573" s="853">
        <v>13</v>
      </c>
      <c r="H1573" s="127" t="s">
        <v>466</v>
      </c>
      <c r="I1573" s="848" t="s">
        <v>847</v>
      </c>
      <c r="J1573" s="258"/>
    </row>
    <row r="1574" spans="1:10" ht="9.75" hidden="1" customHeight="1" x14ac:dyDescent="0.2">
      <c r="A1574" s="261" t="s">
        <v>1106</v>
      </c>
      <c r="B1574" s="705">
        <v>7748</v>
      </c>
      <c r="C1574" s="127" t="s">
        <v>387</v>
      </c>
      <c r="D1574" s="127" t="s">
        <v>7</v>
      </c>
      <c r="E1574" s="854">
        <v>1</v>
      </c>
      <c r="F1574" s="706">
        <v>2</v>
      </c>
      <c r="G1574" s="853">
        <v>97</v>
      </c>
      <c r="H1574" s="127" t="s">
        <v>838</v>
      </c>
      <c r="I1574" s="848" t="s">
        <v>847</v>
      </c>
      <c r="J1574" s="258"/>
    </row>
    <row r="1575" spans="1:10" ht="9.75" hidden="1" customHeight="1" x14ac:dyDescent="0.2">
      <c r="A1575" s="261" t="s">
        <v>1107</v>
      </c>
      <c r="B1575" s="705">
        <v>8121</v>
      </c>
      <c r="C1575" s="127" t="s">
        <v>1057</v>
      </c>
      <c r="D1575" s="127" t="s">
        <v>10</v>
      </c>
      <c r="E1575" s="852">
        <v>10.5</v>
      </c>
      <c r="F1575" s="706">
        <v>2</v>
      </c>
      <c r="G1575" s="853">
        <v>30</v>
      </c>
      <c r="H1575" s="127" t="s">
        <v>444</v>
      </c>
      <c r="I1575" s="848" t="s">
        <v>847</v>
      </c>
      <c r="J1575" s="258"/>
    </row>
    <row r="1576" spans="1:10" ht="9.75" hidden="1" customHeight="1" x14ac:dyDescent="0.2">
      <c r="A1576" s="261" t="s">
        <v>1702</v>
      </c>
      <c r="B1576" s="705">
        <v>8155</v>
      </c>
      <c r="C1576" s="127" t="s">
        <v>1590</v>
      </c>
      <c r="D1576" s="127" t="s">
        <v>8</v>
      </c>
      <c r="E1576" s="852">
        <v>15</v>
      </c>
      <c r="F1576" s="706">
        <v>2</v>
      </c>
      <c r="G1576" s="853">
        <v>50</v>
      </c>
      <c r="H1576" s="127" t="s">
        <v>1544</v>
      </c>
      <c r="I1576" s="848" t="s">
        <v>847</v>
      </c>
      <c r="J1576" s="258"/>
    </row>
    <row r="1577" spans="1:10" ht="9.75" hidden="1" customHeight="1" x14ac:dyDescent="0.2">
      <c r="A1577" s="261" t="s">
        <v>1116</v>
      </c>
      <c r="B1577" s="705">
        <v>8157</v>
      </c>
      <c r="C1577" s="127" t="s">
        <v>1058</v>
      </c>
      <c r="D1577" s="127" t="s">
        <v>8</v>
      </c>
      <c r="E1577" s="852">
        <v>16</v>
      </c>
      <c r="F1577" s="706">
        <v>2</v>
      </c>
      <c r="G1577" s="853">
        <v>51</v>
      </c>
      <c r="H1577" s="127" t="s">
        <v>828</v>
      </c>
      <c r="I1577" s="848" t="s">
        <v>847</v>
      </c>
      <c r="J1577" s="258"/>
    </row>
    <row r="1578" spans="1:10" ht="9.75" hidden="1" customHeight="1" x14ac:dyDescent="0.2">
      <c r="A1578" s="261" t="s">
        <v>1703</v>
      </c>
      <c r="B1578" s="705">
        <v>8158</v>
      </c>
      <c r="C1578" s="127" t="s">
        <v>1059</v>
      </c>
      <c r="D1578" s="127" t="s">
        <v>8</v>
      </c>
      <c r="E1578" s="852">
        <v>14</v>
      </c>
      <c r="F1578" s="706">
        <v>2</v>
      </c>
      <c r="G1578" s="853">
        <v>57</v>
      </c>
      <c r="H1578" s="127" t="s">
        <v>1547</v>
      </c>
      <c r="I1578" s="848" t="s">
        <v>847</v>
      </c>
      <c r="J1578" s="258"/>
    </row>
    <row r="1579" spans="1:10" ht="9.75" hidden="1" customHeight="1" x14ac:dyDescent="0.2">
      <c r="A1579" s="261" t="s">
        <v>1704</v>
      </c>
      <c r="B1579" s="705">
        <v>8159</v>
      </c>
      <c r="C1579" s="127" t="s">
        <v>194</v>
      </c>
      <c r="D1579" s="127" t="s">
        <v>8</v>
      </c>
      <c r="E1579" s="854">
        <v>5</v>
      </c>
      <c r="F1579" s="706">
        <v>2</v>
      </c>
      <c r="G1579" s="853">
        <v>52</v>
      </c>
      <c r="H1579" s="127" t="s">
        <v>1545</v>
      </c>
      <c r="I1579" s="848" t="s">
        <v>847</v>
      </c>
      <c r="J1579" s="258"/>
    </row>
    <row r="1580" spans="1:10" ht="9.75" hidden="1" customHeight="1" x14ac:dyDescent="0.2">
      <c r="A1580" s="261" t="s">
        <v>1108</v>
      </c>
      <c r="B1580" s="705">
        <v>8160</v>
      </c>
      <c r="C1580" s="127" t="s">
        <v>1060</v>
      </c>
      <c r="D1580" s="127" t="s">
        <v>8</v>
      </c>
      <c r="E1580" s="854">
        <v>1</v>
      </c>
      <c r="F1580" s="706">
        <v>2</v>
      </c>
      <c r="G1580" s="853">
        <v>53</v>
      </c>
      <c r="H1580" s="127" t="s">
        <v>443</v>
      </c>
      <c r="I1580" s="848" t="s">
        <v>847</v>
      </c>
      <c r="J1580" s="258"/>
    </row>
    <row r="1581" spans="1:10" ht="9.75" hidden="1" customHeight="1" x14ac:dyDescent="0.2">
      <c r="A1581" s="261" t="s">
        <v>1145</v>
      </c>
      <c r="B1581" s="705">
        <v>8162</v>
      </c>
      <c r="C1581" s="127" t="s">
        <v>1061</v>
      </c>
      <c r="D1581" s="127" t="s">
        <v>10</v>
      </c>
      <c r="E1581" s="854">
        <v>2</v>
      </c>
      <c r="F1581" s="706">
        <v>2</v>
      </c>
      <c r="G1581" s="853">
        <v>54</v>
      </c>
      <c r="H1581" s="127" t="s">
        <v>465</v>
      </c>
      <c r="I1581" s="848" t="s">
        <v>847</v>
      </c>
      <c r="J1581" s="258"/>
    </row>
    <row r="1582" spans="1:10" ht="9.75" hidden="1" customHeight="1" x14ac:dyDescent="0.2">
      <c r="A1582" s="261" t="s">
        <v>1274</v>
      </c>
      <c r="B1582" s="705">
        <v>8163</v>
      </c>
      <c r="C1582" s="127" t="s">
        <v>1062</v>
      </c>
      <c r="D1582" s="127" t="s">
        <v>8</v>
      </c>
      <c r="E1582" s="852">
        <v>42</v>
      </c>
      <c r="F1582" s="706">
        <v>2</v>
      </c>
      <c r="G1582" s="853">
        <v>55</v>
      </c>
      <c r="H1582" s="127" t="s">
        <v>488</v>
      </c>
      <c r="I1582" s="848" t="s">
        <v>847</v>
      </c>
      <c r="J1582" s="258"/>
    </row>
    <row r="1583" spans="1:10" ht="9.75" hidden="1" customHeight="1" x14ac:dyDescent="0.2">
      <c r="A1583" s="261" t="s">
        <v>1705</v>
      </c>
      <c r="B1583" s="705">
        <v>8163</v>
      </c>
      <c r="C1583" s="127" t="s">
        <v>1591</v>
      </c>
      <c r="D1583" s="127" t="s">
        <v>8</v>
      </c>
      <c r="E1583" s="854">
        <v>6</v>
      </c>
      <c r="F1583" s="706">
        <v>2</v>
      </c>
      <c r="G1583" s="853">
        <v>56</v>
      </c>
      <c r="H1583" s="127" t="s">
        <v>1546</v>
      </c>
      <c r="I1583" s="848" t="s">
        <v>847</v>
      </c>
      <c r="J1583" s="258"/>
    </row>
    <row r="1584" spans="1:10" ht="9.75" hidden="1" customHeight="1" x14ac:dyDescent="0.2">
      <c r="A1584" s="261" t="s">
        <v>1109</v>
      </c>
      <c r="B1584" s="705">
        <v>8164</v>
      </c>
      <c r="C1584" s="127" t="s">
        <v>1063</v>
      </c>
      <c r="D1584" s="127" t="s">
        <v>8</v>
      </c>
      <c r="E1584" s="854">
        <v>3</v>
      </c>
      <c r="F1584" s="706">
        <v>2</v>
      </c>
      <c r="G1584" s="853">
        <v>58</v>
      </c>
      <c r="H1584" s="127" t="s">
        <v>829</v>
      </c>
      <c r="I1584" s="848" t="s">
        <v>847</v>
      </c>
      <c r="J1584" s="258"/>
    </row>
    <row r="1585" spans="1:10" ht="9.75" hidden="1" customHeight="1" x14ac:dyDescent="0.2">
      <c r="A1585" s="261" t="s">
        <v>1110</v>
      </c>
      <c r="B1585" s="705">
        <v>8165</v>
      </c>
      <c r="C1585" s="127" t="s">
        <v>1064</v>
      </c>
      <c r="D1585" s="127" t="s">
        <v>8</v>
      </c>
      <c r="E1585" s="854">
        <v>2</v>
      </c>
      <c r="F1585" s="706">
        <v>2</v>
      </c>
      <c r="G1585" s="853">
        <v>59</v>
      </c>
      <c r="H1585" s="127" t="s">
        <v>830</v>
      </c>
      <c r="I1585" s="848" t="s">
        <v>847</v>
      </c>
      <c r="J1585" s="258"/>
    </row>
    <row r="1586" spans="1:10" ht="9.75" hidden="1" customHeight="1" x14ac:dyDescent="0.2">
      <c r="A1586" s="261" t="s">
        <v>1111</v>
      </c>
      <c r="B1586" s="705">
        <v>8167</v>
      </c>
      <c r="C1586" s="127" t="s">
        <v>1065</v>
      </c>
      <c r="D1586" s="127" t="s">
        <v>8</v>
      </c>
      <c r="E1586" s="852">
        <v>18</v>
      </c>
      <c r="F1586" s="706">
        <v>2</v>
      </c>
      <c r="G1586" s="853">
        <v>61</v>
      </c>
      <c r="H1586" s="127" t="s">
        <v>556</v>
      </c>
      <c r="I1586" s="848" t="s">
        <v>847</v>
      </c>
      <c r="J1586" s="258"/>
    </row>
    <row r="1587" spans="1:10" ht="9.75" hidden="1" customHeight="1" x14ac:dyDescent="0.2">
      <c r="A1587" s="261" t="s">
        <v>1312</v>
      </c>
      <c r="B1587" s="705">
        <v>8167</v>
      </c>
      <c r="C1587" s="127" t="s">
        <v>1066</v>
      </c>
      <c r="D1587" s="127" t="s">
        <v>8</v>
      </c>
      <c r="E1587" s="854">
        <v>3</v>
      </c>
      <c r="F1587" s="706">
        <v>2</v>
      </c>
      <c r="G1587" s="853">
        <v>62</v>
      </c>
      <c r="H1587" s="127" t="s">
        <v>381</v>
      </c>
      <c r="I1587" s="848" t="s">
        <v>847</v>
      </c>
      <c r="J1587" s="258"/>
    </row>
    <row r="1588" spans="1:10" ht="9.75" hidden="1" customHeight="1" x14ac:dyDescent="0.2">
      <c r="A1588" s="261" t="s">
        <v>1289</v>
      </c>
      <c r="B1588" s="705">
        <v>8168</v>
      </c>
      <c r="C1588" s="127" t="s">
        <v>1067</v>
      </c>
      <c r="D1588" s="127" t="s">
        <v>8</v>
      </c>
      <c r="E1588" s="854">
        <v>9</v>
      </c>
      <c r="F1588" s="706">
        <v>2</v>
      </c>
      <c r="G1588" s="853">
        <v>63</v>
      </c>
      <c r="H1588" s="127" t="s">
        <v>383</v>
      </c>
      <c r="I1588" s="848" t="s">
        <v>847</v>
      </c>
      <c r="J1588" s="258"/>
    </row>
    <row r="1589" spans="1:10" ht="9.75" hidden="1" customHeight="1" x14ac:dyDescent="0.2">
      <c r="A1589" s="261" t="s">
        <v>1275</v>
      </c>
      <c r="B1589" s="705">
        <v>8169</v>
      </c>
      <c r="C1589" s="127" t="s">
        <v>1068</v>
      </c>
      <c r="D1589" s="127" t="s">
        <v>8</v>
      </c>
      <c r="E1589" s="854">
        <v>7</v>
      </c>
      <c r="F1589" s="706">
        <v>2</v>
      </c>
      <c r="G1589" s="853">
        <v>64</v>
      </c>
      <c r="H1589" s="127" t="s">
        <v>174</v>
      </c>
      <c r="I1589" s="848" t="s">
        <v>847</v>
      </c>
      <c r="J1589" s="258"/>
    </row>
    <row r="1590" spans="1:10" ht="9.75" hidden="1" customHeight="1" x14ac:dyDescent="0.2">
      <c r="A1590" s="261" t="s">
        <v>1255</v>
      </c>
      <c r="B1590" s="705">
        <v>8170</v>
      </c>
      <c r="C1590" s="127" t="s">
        <v>1069</v>
      </c>
      <c r="D1590" s="127" t="s">
        <v>90</v>
      </c>
      <c r="E1590" s="855">
        <v>2800</v>
      </c>
      <c r="F1590" s="706">
        <v>2</v>
      </c>
      <c r="G1590" s="853">
        <v>65</v>
      </c>
      <c r="H1590" s="127" t="s">
        <v>476</v>
      </c>
      <c r="I1590" s="848" t="s">
        <v>847</v>
      </c>
      <c r="J1590" s="258"/>
    </row>
    <row r="1591" spans="1:10" ht="9.75" hidden="1" customHeight="1" x14ac:dyDescent="0.2">
      <c r="A1591" s="261" t="s">
        <v>1131</v>
      </c>
      <c r="B1591" s="705">
        <v>8171</v>
      </c>
      <c r="C1591" s="127" t="s">
        <v>1070</v>
      </c>
      <c r="D1591" s="127" t="s">
        <v>8</v>
      </c>
      <c r="E1591" s="854">
        <v>1</v>
      </c>
      <c r="F1591" s="706">
        <v>2</v>
      </c>
      <c r="G1591" s="853">
        <v>67</v>
      </c>
      <c r="H1591" s="127" t="s">
        <v>502</v>
      </c>
      <c r="I1591" s="848" t="s">
        <v>847</v>
      </c>
      <c r="J1591" s="258"/>
    </row>
    <row r="1592" spans="1:10" ht="9.75" hidden="1" customHeight="1" x14ac:dyDescent="0.2">
      <c r="A1592" s="261" t="s">
        <v>1706</v>
      </c>
      <c r="B1592" s="705">
        <v>9038</v>
      </c>
      <c r="C1592" s="127" t="s">
        <v>1592</v>
      </c>
      <c r="D1592" s="127" t="s">
        <v>7</v>
      </c>
      <c r="E1592" s="854">
        <v>1</v>
      </c>
      <c r="F1592" s="706">
        <v>3</v>
      </c>
      <c r="G1592" s="713">
        <v>8</v>
      </c>
      <c r="H1592" s="127" t="s">
        <v>1592</v>
      </c>
      <c r="I1592" s="848" t="s">
        <v>847</v>
      </c>
      <c r="J1592" s="258"/>
    </row>
    <row r="1593" spans="1:10" ht="9.75" hidden="1" customHeight="1" x14ac:dyDescent="0.2">
      <c r="A1593" s="261" t="s">
        <v>1117</v>
      </c>
      <c r="B1593" s="705">
        <v>6564</v>
      </c>
      <c r="C1593" s="127" t="s">
        <v>937</v>
      </c>
      <c r="D1593" s="127" t="s">
        <v>7</v>
      </c>
      <c r="E1593" s="854">
        <v>1</v>
      </c>
      <c r="F1593" s="706">
        <v>1</v>
      </c>
      <c r="G1593" s="714">
        <v>288</v>
      </c>
      <c r="H1593" s="127" t="s">
        <v>435</v>
      </c>
      <c r="I1593" s="848" t="s">
        <v>848</v>
      </c>
      <c r="J1593" s="258"/>
    </row>
    <row r="1594" spans="1:10" ht="9.75" hidden="1" customHeight="1" x14ac:dyDescent="0.2">
      <c r="A1594" s="261" t="s">
        <v>1707</v>
      </c>
      <c r="B1594" s="707">
        <v>937</v>
      </c>
      <c r="C1594" s="127" t="s">
        <v>1593</v>
      </c>
      <c r="D1594" s="127" t="s">
        <v>15</v>
      </c>
      <c r="E1594" s="856">
        <v>216.65600000000001</v>
      </c>
      <c r="F1594" s="706">
        <v>1</v>
      </c>
      <c r="G1594" s="853">
        <v>72</v>
      </c>
      <c r="H1594" s="127" t="s">
        <v>1394</v>
      </c>
      <c r="I1594" s="848" t="s">
        <v>1550</v>
      </c>
      <c r="J1594" s="258"/>
    </row>
    <row r="1595" spans="1:10" ht="9.75" hidden="1" customHeight="1" x14ac:dyDescent="0.2">
      <c r="A1595" s="261" t="s">
        <v>1708</v>
      </c>
      <c r="B1595" s="705">
        <v>1054</v>
      </c>
      <c r="C1595" s="127" t="s">
        <v>376</v>
      </c>
      <c r="D1595" s="127" t="s">
        <v>101</v>
      </c>
      <c r="E1595" s="852">
        <v>31.5136</v>
      </c>
      <c r="F1595" s="706">
        <v>1</v>
      </c>
      <c r="G1595" s="853">
        <v>72</v>
      </c>
      <c r="H1595" s="127" t="s">
        <v>1394</v>
      </c>
      <c r="I1595" s="848" t="s">
        <v>1550</v>
      </c>
      <c r="J1595" s="258"/>
    </row>
    <row r="1596" spans="1:10" ht="9.75" hidden="1" customHeight="1" x14ac:dyDescent="0.2">
      <c r="A1596" s="261" t="s">
        <v>1709</v>
      </c>
      <c r="B1596" s="705">
        <v>1206</v>
      </c>
      <c r="C1596" s="127" t="s">
        <v>1594</v>
      </c>
      <c r="D1596" s="127" t="s">
        <v>101</v>
      </c>
      <c r="E1596" s="855">
        <v>3168.9</v>
      </c>
      <c r="F1596" s="706">
        <v>1</v>
      </c>
      <c r="G1596" s="853">
        <v>73</v>
      </c>
      <c r="H1596" s="127" t="s">
        <v>771</v>
      </c>
      <c r="I1596" s="848" t="s">
        <v>1550</v>
      </c>
      <c r="J1596" s="258"/>
    </row>
    <row r="1597" spans="1:10" ht="9.75" hidden="1" customHeight="1" x14ac:dyDescent="0.2">
      <c r="A1597" s="261" t="s">
        <v>1710</v>
      </c>
      <c r="B1597" s="705">
        <v>1316</v>
      </c>
      <c r="C1597" s="127" t="s">
        <v>398</v>
      </c>
      <c r="D1597" s="127" t="s">
        <v>90</v>
      </c>
      <c r="E1597" s="852">
        <v>85.086699999999993</v>
      </c>
      <c r="F1597" s="706">
        <v>1</v>
      </c>
      <c r="G1597" s="853">
        <v>72</v>
      </c>
      <c r="H1597" s="127" t="s">
        <v>1394</v>
      </c>
      <c r="I1597" s="848" t="s">
        <v>1550</v>
      </c>
      <c r="J1597" s="258"/>
    </row>
    <row r="1598" spans="1:10" ht="9.75" hidden="1" customHeight="1" x14ac:dyDescent="0.2">
      <c r="A1598" s="261" t="s">
        <v>1120</v>
      </c>
      <c r="B1598" s="705">
        <v>5213</v>
      </c>
      <c r="C1598" s="127" t="s">
        <v>741</v>
      </c>
      <c r="D1598" s="127" t="s">
        <v>94</v>
      </c>
      <c r="E1598" s="856">
        <v>112.893</v>
      </c>
      <c r="F1598" s="706">
        <v>1</v>
      </c>
      <c r="G1598" s="853">
        <v>74</v>
      </c>
      <c r="H1598" s="127" t="s">
        <v>455</v>
      </c>
      <c r="I1598" s="848" t="s">
        <v>1550</v>
      </c>
      <c r="J1598" s="258"/>
    </row>
    <row r="1599" spans="1:10" ht="9.75" hidden="1" customHeight="1" x14ac:dyDescent="0.2">
      <c r="A1599" s="261" t="s">
        <v>1112</v>
      </c>
      <c r="B1599" s="705">
        <v>5961</v>
      </c>
      <c r="C1599" s="127" t="s">
        <v>742</v>
      </c>
      <c r="D1599" s="127" t="s">
        <v>101</v>
      </c>
      <c r="E1599" s="852">
        <v>90.54</v>
      </c>
      <c r="F1599" s="706">
        <v>1</v>
      </c>
      <c r="G1599" s="853">
        <v>73</v>
      </c>
      <c r="H1599" s="127" t="s">
        <v>771</v>
      </c>
      <c r="I1599" s="848" t="s">
        <v>1550</v>
      </c>
      <c r="J1599" s="258"/>
    </row>
    <row r="1600" spans="1:10" ht="9.75" hidden="1" customHeight="1" x14ac:dyDescent="0.2">
      <c r="A1600" s="261" t="s">
        <v>1711</v>
      </c>
      <c r="B1600" s="705">
        <v>6744</v>
      </c>
      <c r="C1600" s="127" t="s">
        <v>414</v>
      </c>
      <c r="D1600" s="127" t="s">
        <v>101</v>
      </c>
      <c r="E1600" s="852">
        <v>39.392000000000003</v>
      </c>
      <c r="F1600" s="706">
        <v>1</v>
      </c>
      <c r="G1600" s="853">
        <v>72</v>
      </c>
      <c r="H1600" s="127" t="s">
        <v>1394</v>
      </c>
      <c r="I1600" s="848" t="s">
        <v>1550</v>
      </c>
      <c r="J1600" s="258"/>
    </row>
    <row r="1601" spans="1:10" ht="9.75" hidden="1" customHeight="1" x14ac:dyDescent="0.2">
      <c r="A1601" s="261" t="s">
        <v>1712</v>
      </c>
      <c r="B1601" s="705">
        <v>4696</v>
      </c>
      <c r="C1601" s="127" t="s">
        <v>1041</v>
      </c>
      <c r="D1601" s="127" t="s">
        <v>8</v>
      </c>
      <c r="E1601" s="852">
        <v>11.428000000000001</v>
      </c>
      <c r="F1601" s="706">
        <v>1</v>
      </c>
      <c r="G1601" s="853">
        <v>59</v>
      </c>
      <c r="H1601" s="127" t="s">
        <v>446</v>
      </c>
      <c r="I1601" s="848" t="s">
        <v>1548</v>
      </c>
      <c r="J1601" s="258"/>
    </row>
    <row r="1602" spans="1:10" ht="9.75" hidden="1" customHeight="1" x14ac:dyDescent="0.2">
      <c r="A1602" s="261" t="s">
        <v>1713</v>
      </c>
      <c r="B1602" s="705">
        <v>5770</v>
      </c>
      <c r="C1602" s="127" t="s">
        <v>1595</v>
      </c>
      <c r="D1602" s="127" t="s">
        <v>8</v>
      </c>
      <c r="E1602" s="856">
        <v>505</v>
      </c>
      <c r="F1602" s="706">
        <v>1</v>
      </c>
      <c r="G1602" s="853">
        <v>17</v>
      </c>
      <c r="H1602" s="127" t="s">
        <v>447</v>
      </c>
      <c r="I1602" s="848" t="s">
        <v>1548</v>
      </c>
      <c r="J1602" s="258"/>
    </row>
    <row r="1603" spans="1:10" ht="9.75" hidden="1" customHeight="1" x14ac:dyDescent="0.2">
      <c r="A1603" s="261" t="s">
        <v>1714</v>
      </c>
      <c r="B1603" s="705">
        <v>5770</v>
      </c>
      <c r="C1603" s="127" t="s">
        <v>1596</v>
      </c>
      <c r="D1603" s="127" t="s">
        <v>8</v>
      </c>
      <c r="E1603" s="852">
        <v>20</v>
      </c>
      <c r="F1603" s="706">
        <v>1</v>
      </c>
      <c r="G1603" s="853">
        <v>17</v>
      </c>
      <c r="H1603" s="127" t="s">
        <v>447</v>
      </c>
      <c r="I1603" s="848" t="s">
        <v>1548</v>
      </c>
      <c r="J1603" s="258"/>
    </row>
    <row r="1604" spans="1:10" ht="9.75" hidden="1" customHeight="1" x14ac:dyDescent="0.2">
      <c r="A1604" s="261" t="s">
        <v>1715</v>
      </c>
      <c r="B1604" s="705">
        <v>8114</v>
      </c>
      <c r="C1604" s="127" t="s">
        <v>1597</v>
      </c>
      <c r="D1604" s="127" t="s">
        <v>101</v>
      </c>
      <c r="E1604" s="855">
        <v>1196.0999999999999</v>
      </c>
      <c r="F1604" s="706">
        <v>1</v>
      </c>
      <c r="G1604" s="853">
        <v>56</v>
      </c>
      <c r="H1604" s="127" t="s">
        <v>771</v>
      </c>
      <c r="I1604" s="848" t="s">
        <v>1548</v>
      </c>
      <c r="J1604" s="258"/>
    </row>
    <row r="1605" spans="1:10" ht="9.75" hidden="1" customHeight="1" x14ac:dyDescent="0.2">
      <c r="A1605" s="261" t="s">
        <v>1716</v>
      </c>
      <c r="B1605" s="705">
        <v>8115</v>
      </c>
      <c r="C1605" s="127" t="s">
        <v>1598</v>
      </c>
      <c r="D1605" s="127" t="s">
        <v>94</v>
      </c>
      <c r="E1605" s="852">
        <v>28.44</v>
      </c>
      <c r="F1605" s="706">
        <v>1</v>
      </c>
      <c r="G1605" s="853">
        <v>54</v>
      </c>
      <c r="H1605" s="127" t="s">
        <v>774</v>
      </c>
      <c r="I1605" s="848" t="s">
        <v>1548</v>
      </c>
      <c r="J1605" s="258"/>
    </row>
    <row r="1606" spans="1:10" ht="9.75" hidden="1" customHeight="1" x14ac:dyDescent="0.2">
      <c r="A1606" s="261" t="s">
        <v>1717</v>
      </c>
      <c r="B1606" s="705">
        <v>8115</v>
      </c>
      <c r="C1606" s="127" t="s">
        <v>1599</v>
      </c>
      <c r="D1606" s="127" t="s">
        <v>94</v>
      </c>
      <c r="E1606" s="852">
        <v>12.38</v>
      </c>
      <c r="F1606" s="706">
        <v>1</v>
      </c>
      <c r="G1606" s="853">
        <v>55</v>
      </c>
      <c r="H1606" s="127" t="s">
        <v>775</v>
      </c>
      <c r="I1606" s="848" t="s">
        <v>1548</v>
      </c>
      <c r="J1606" s="258"/>
    </row>
    <row r="1607" spans="1:10" ht="9.75" hidden="1" customHeight="1" x14ac:dyDescent="0.2">
      <c r="A1607" s="261" t="s">
        <v>1071</v>
      </c>
      <c r="B1607" s="713">
        <v>1</v>
      </c>
      <c r="C1607" s="127" t="s">
        <v>188</v>
      </c>
      <c r="D1607" s="127" t="s">
        <v>12</v>
      </c>
      <c r="E1607" s="852">
        <v>30.789000000000001</v>
      </c>
      <c r="F1607" s="706">
        <v>1</v>
      </c>
      <c r="G1607" s="853">
        <v>74</v>
      </c>
      <c r="H1607" s="127" t="s">
        <v>455</v>
      </c>
      <c r="I1607" s="848" t="s">
        <v>1550</v>
      </c>
      <c r="J1607" s="258"/>
    </row>
    <row r="1608" spans="1:10" ht="9.75" hidden="1" customHeight="1" x14ac:dyDescent="0.2">
      <c r="A1608" s="261" t="s">
        <v>1073</v>
      </c>
      <c r="B1608" s="706">
        <v>2</v>
      </c>
      <c r="C1608" s="127" t="s">
        <v>189</v>
      </c>
      <c r="D1608" s="127" t="s">
        <v>12</v>
      </c>
      <c r="E1608" s="852">
        <v>10.263</v>
      </c>
      <c r="F1608" s="706">
        <v>1</v>
      </c>
      <c r="G1608" s="853">
        <v>74</v>
      </c>
      <c r="H1608" s="127" t="s">
        <v>455</v>
      </c>
      <c r="I1608" s="848" t="s">
        <v>1550</v>
      </c>
      <c r="J1608" s="258"/>
    </row>
    <row r="1609" spans="1:10" ht="9.75" hidden="1" customHeight="1" x14ac:dyDescent="0.2">
      <c r="A1609" s="261" t="s">
        <v>1718</v>
      </c>
      <c r="B1609" s="707">
        <v>934</v>
      </c>
      <c r="C1609" s="127" t="s">
        <v>389</v>
      </c>
      <c r="D1609" s="127" t="s">
        <v>15</v>
      </c>
      <c r="E1609" s="856">
        <v>216.65600000000001</v>
      </c>
      <c r="F1609" s="706">
        <v>1</v>
      </c>
      <c r="G1609" s="853">
        <v>72</v>
      </c>
      <c r="H1609" s="127" t="s">
        <v>1394</v>
      </c>
      <c r="I1609" s="848" t="s">
        <v>1550</v>
      </c>
      <c r="J1609" s="258"/>
    </row>
    <row r="1610" spans="1:10" ht="9.75" hidden="1" customHeight="1" x14ac:dyDescent="0.2">
      <c r="A1610" s="261" t="s">
        <v>1719</v>
      </c>
      <c r="B1610" s="705">
        <v>1333</v>
      </c>
      <c r="C1610" s="127" t="s">
        <v>399</v>
      </c>
      <c r="D1610" s="127" t="s">
        <v>90</v>
      </c>
      <c r="E1610" s="852">
        <v>39.392000000000003</v>
      </c>
      <c r="F1610" s="706">
        <v>1</v>
      </c>
      <c r="G1610" s="853">
        <v>72</v>
      </c>
      <c r="H1610" s="127" t="s">
        <v>1394</v>
      </c>
      <c r="I1610" s="848" t="s">
        <v>1550</v>
      </c>
      <c r="J1610" s="258"/>
    </row>
    <row r="1611" spans="1:10" ht="9.75" hidden="1" customHeight="1" x14ac:dyDescent="0.2">
      <c r="A1611" s="261" t="s">
        <v>1720</v>
      </c>
      <c r="B1611" s="705">
        <v>1403</v>
      </c>
      <c r="C1611" s="127" t="s">
        <v>401</v>
      </c>
      <c r="D1611" s="127" t="s">
        <v>13</v>
      </c>
      <c r="E1611" s="854">
        <v>7.8784000000000001</v>
      </c>
      <c r="F1611" s="706">
        <v>1</v>
      </c>
      <c r="G1611" s="853">
        <v>72</v>
      </c>
      <c r="H1611" s="127" t="s">
        <v>1394</v>
      </c>
      <c r="I1611" s="848" t="s">
        <v>1550</v>
      </c>
      <c r="J1611" s="258"/>
    </row>
    <row r="1612" spans="1:10" ht="9.75" hidden="1" customHeight="1" x14ac:dyDescent="0.2">
      <c r="A1612" s="261" t="s">
        <v>1721</v>
      </c>
      <c r="B1612" s="705">
        <v>7742</v>
      </c>
      <c r="C1612" s="127" t="s">
        <v>1600</v>
      </c>
      <c r="D1612" s="127" t="s">
        <v>90</v>
      </c>
      <c r="E1612" s="856">
        <v>196.96</v>
      </c>
      <c r="F1612" s="706">
        <v>1</v>
      </c>
      <c r="G1612" s="853">
        <v>72</v>
      </c>
      <c r="H1612" s="127" t="s">
        <v>1394</v>
      </c>
      <c r="I1612" s="848" t="s">
        <v>1550</v>
      </c>
      <c r="J1612" s="258"/>
    </row>
    <row r="1613" spans="1:10" ht="9.75" hidden="1" customHeight="1" x14ac:dyDescent="0.2">
      <c r="A1613" s="261" t="s">
        <v>1722</v>
      </c>
      <c r="B1613" s="705">
        <v>5761</v>
      </c>
      <c r="C1613" s="127" t="s">
        <v>1601</v>
      </c>
      <c r="D1613" s="127" t="s">
        <v>7</v>
      </c>
      <c r="E1613" s="856">
        <v>440.8</v>
      </c>
      <c r="F1613" s="706">
        <v>1</v>
      </c>
      <c r="G1613" s="853">
        <v>67</v>
      </c>
      <c r="H1613" s="127" t="s">
        <v>446</v>
      </c>
      <c r="I1613" s="848" t="s">
        <v>1552</v>
      </c>
      <c r="J1613" s="258"/>
    </row>
    <row r="1614" spans="1:10" ht="9.75" hidden="1" customHeight="1" x14ac:dyDescent="0.2">
      <c r="A1614" s="261" t="s">
        <v>1723</v>
      </c>
      <c r="B1614" s="705">
        <v>6385</v>
      </c>
      <c r="C1614" s="127" t="s">
        <v>1602</v>
      </c>
      <c r="D1614" s="127" t="s">
        <v>7</v>
      </c>
      <c r="E1614" s="854">
        <v>1</v>
      </c>
      <c r="F1614" s="706">
        <v>1</v>
      </c>
      <c r="G1614" s="853">
        <v>61</v>
      </c>
      <c r="H1614" s="127" t="s">
        <v>452</v>
      </c>
      <c r="I1614" s="848" t="s">
        <v>1552</v>
      </c>
      <c r="J1614" s="258"/>
    </row>
    <row r="1615" spans="1:10" ht="9.75" hidden="1" customHeight="1" x14ac:dyDescent="0.2">
      <c r="A1615" s="261" t="s">
        <v>1724</v>
      </c>
      <c r="B1615" s="705">
        <v>7761</v>
      </c>
      <c r="C1615" s="127" t="s">
        <v>1603</v>
      </c>
      <c r="D1615" s="127" t="s">
        <v>15</v>
      </c>
      <c r="E1615" s="856">
        <v>644</v>
      </c>
      <c r="F1615" s="706">
        <v>1</v>
      </c>
      <c r="G1615" s="853">
        <v>62</v>
      </c>
      <c r="H1615" s="127" t="s">
        <v>1391</v>
      </c>
      <c r="I1615" s="848" t="s">
        <v>1552</v>
      </c>
      <c r="J1615" s="258"/>
    </row>
    <row r="1616" spans="1:10" ht="9.75" hidden="1" customHeight="1" x14ac:dyDescent="0.2">
      <c r="A1616" s="261" t="s">
        <v>1725</v>
      </c>
      <c r="B1616" s="705">
        <v>7761</v>
      </c>
      <c r="C1616" s="127" t="s">
        <v>1604</v>
      </c>
      <c r="D1616" s="127" t="s">
        <v>15</v>
      </c>
      <c r="E1616" s="856">
        <v>345</v>
      </c>
      <c r="F1616" s="706">
        <v>1</v>
      </c>
      <c r="G1616" s="853">
        <v>63</v>
      </c>
      <c r="H1616" s="127" t="s">
        <v>1392</v>
      </c>
      <c r="I1616" s="848" t="s">
        <v>1552</v>
      </c>
      <c r="J1616" s="258"/>
    </row>
    <row r="1617" spans="1:10" ht="9.75" hidden="1" customHeight="1" x14ac:dyDescent="0.2">
      <c r="A1617" s="261" t="s">
        <v>1130</v>
      </c>
      <c r="B1617" s="705">
        <v>8114</v>
      </c>
      <c r="C1617" s="127" t="s">
        <v>845</v>
      </c>
      <c r="D1617" s="127" t="s">
        <v>101</v>
      </c>
      <c r="E1617" s="855">
        <v>4588.1000000000004</v>
      </c>
      <c r="F1617" s="706">
        <v>1</v>
      </c>
      <c r="G1617" s="853">
        <v>64</v>
      </c>
      <c r="H1617" s="127" t="s">
        <v>771</v>
      </c>
      <c r="I1617" s="848" t="s">
        <v>1552</v>
      </c>
      <c r="J1617" s="258"/>
    </row>
    <row r="1618" spans="1:10" ht="9.75" hidden="1" customHeight="1" x14ac:dyDescent="0.2">
      <c r="A1618" s="261" t="s">
        <v>1726</v>
      </c>
      <c r="B1618" s="705">
        <v>1140</v>
      </c>
      <c r="C1618" s="127" t="s">
        <v>1605</v>
      </c>
      <c r="D1618" s="127" t="s">
        <v>8</v>
      </c>
      <c r="E1618" s="854">
        <v>5</v>
      </c>
      <c r="F1618" s="706">
        <v>1</v>
      </c>
      <c r="G1618" s="853">
        <v>24</v>
      </c>
      <c r="H1618" s="127" t="s">
        <v>442</v>
      </c>
      <c r="I1618" s="848" t="s">
        <v>848</v>
      </c>
      <c r="J1618" s="258"/>
    </row>
    <row r="1619" spans="1:10" ht="9.75" hidden="1" customHeight="1" x14ac:dyDescent="0.2">
      <c r="A1619" s="261" t="s">
        <v>1077</v>
      </c>
      <c r="B1619" s="705">
        <v>1090</v>
      </c>
      <c r="C1619" s="127" t="s">
        <v>394</v>
      </c>
      <c r="D1619" s="127" t="s">
        <v>7</v>
      </c>
      <c r="E1619" s="854">
        <v>1</v>
      </c>
      <c r="F1619" s="706">
        <v>1</v>
      </c>
      <c r="G1619" s="853">
        <v>23</v>
      </c>
      <c r="H1619" s="127" t="s">
        <v>426</v>
      </c>
      <c r="I1619" s="848" t="s">
        <v>848</v>
      </c>
      <c r="J1619" s="258"/>
    </row>
    <row r="1620" spans="1:10" ht="9.75" hidden="1" customHeight="1" x14ac:dyDescent="0.2">
      <c r="A1620" s="261" t="s">
        <v>1126</v>
      </c>
      <c r="B1620" s="705">
        <v>1484</v>
      </c>
      <c r="C1620" s="127" t="s">
        <v>863</v>
      </c>
      <c r="D1620" s="127" t="s">
        <v>7</v>
      </c>
      <c r="E1620" s="855">
        <v>3264.4349999999999</v>
      </c>
      <c r="F1620" s="706">
        <v>1</v>
      </c>
      <c r="G1620" s="714">
        <v>288</v>
      </c>
      <c r="H1620" s="127" t="s">
        <v>435</v>
      </c>
      <c r="I1620" s="848" t="s">
        <v>848</v>
      </c>
      <c r="J1620" s="258"/>
    </row>
    <row r="1621" spans="1:10" ht="19.350000000000001" hidden="1" customHeight="1" x14ac:dyDescent="0.2">
      <c r="A1621" s="261" t="s">
        <v>1091</v>
      </c>
      <c r="B1621" s="705">
        <v>1507</v>
      </c>
      <c r="C1621" s="127" t="s">
        <v>402</v>
      </c>
      <c r="D1621" s="127" t="s">
        <v>7</v>
      </c>
      <c r="E1621" s="854">
        <v>1</v>
      </c>
      <c r="F1621" s="706">
        <v>1</v>
      </c>
      <c r="G1621" s="853">
        <v>22</v>
      </c>
      <c r="H1621" s="127" t="s">
        <v>436</v>
      </c>
      <c r="I1621" s="848" t="s">
        <v>848</v>
      </c>
      <c r="J1621" s="258"/>
    </row>
    <row r="1622" spans="1:10" ht="9.75" hidden="1" customHeight="1" x14ac:dyDescent="0.2">
      <c r="A1622" s="261" t="s">
        <v>1727</v>
      </c>
      <c r="B1622" s="705">
        <v>6327</v>
      </c>
      <c r="C1622" s="127" t="s">
        <v>1606</v>
      </c>
      <c r="D1622" s="127" t="s">
        <v>8</v>
      </c>
      <c r="E1622" s="854">
        <v>5</v>
      </c>
      <c r="F1622" s="706">
        <v>1</v>
      </c>
      <c r="G1622" s="853">
        <v>24</v>
      </c>
      <c r="H1622" s="127" t="s">
        <v>442</v>
      </c>
      <c r="I1622" s="848" t="s">
        <v>848</v>
      </c>
      <c r="J1622" s="258"/>
    </row>
    <row r="1623" spans="1:10" ht="9.75" hidden="1" customHeight="1" x14ac:dyDescent="0.2">
      <c r="A1623" s="261" t="s">
        <v>1709</v>
      </c>
      <c r="B1623" s="705">
        <v>1206</v>
      </c>
      <c r="C1623" s="127" t="s">
        <v>1594</v>
      </c>
      <c r="D1623" s="127" t="s">
        <v>101</v>
      </c>
      <c r="E1623" s="855">
        <v>1255.905</v>
      </c>
      <c r="F1623" s="706">
        <v>1</v>
      </c>
      <c r="G1623" s="853">
        <v>56</v>
      </c>
      <c r="H1623" s="127" t="s">
        <v>771</v>
      </c>
      <c r="I1623" s="848" t="s">
        <v>1548</v>
      </c>
      <c r="J1623" s="258"/>
    </row>
    <row r="1624" spans="1:10" ht="9.75" hidden="1" customHeight="1" x14ac:dyDescent="0.2">
      <c r="A1624" s="261" t="s">
        <v>1728</v>
      </c>
      <c r="B1624" s="705">
        <v>5039</v>
      </c>
      <c r="C1624" s="127" t="s">
        <v>1607</v>
      </c>
      <c r="D1624" s="127" t="s">
        <v>94</v>
      </c>
      <c r="E1624" s="852">
        <v>53.052999999999997</v>
      </c>
      <c r="F1624" s="706">
        <v>1</v>
      </c>
      <c r="G1624" s="853">
        <v>57</v>
      </c>
      <c r="H1624" s="127" t="s">
        <v>1390</v>
      </c>
      <c r="I1624" s="848" t="s">
        <v>1548</v>
      </c>
      <c r="J1624" s="258"/>
    </row>
    <row r="1625" spans="1:10" ht="9.75" hidden="1" customHeight="1" x14ac:dyDescent="0.2">
      <c r="A1625" s="261" t="s">
        <v>1729</v>
      </c>
      <c r="B1625" s="705">
        <v>5213</v>
      </c>
      <c r="C1625" s="127" t="s">
        <v>741</v>
      </c>
      <c r="D1625" s="127" t="s">
        <v>94</v>
      </c>
      <c r="E1625" s="852">
        <v>53.052999999999997</v>
      </c>
      <c r="F1625" s="706">
        <v>1</v>
      </c>
      <c r="G1625" s="853">
        <v>57</v>
      </c>
      <c r="H1625" s="127" t="s">
        <v>1390</v>
      </c>
      <c r="I1625" s="848" t="s">
        <v>1548</v>
      </c>
      <c r="J1625" s="258"/>
    </row>
    <row r="1626" spans="1:10" ht="9.75" hidden="1" customHeight="1" x14ac:dyDescent="0.2">
      <c r="A1626" s="261" t="s">
        <v>1112</v>
      </c>
      <c r="B1626" s="705">
        <v>5961</v>
      </c>
      <c r="C1626" s="127" t="s">
        <v>742</v>
      </c>
      <c r="D1626" s="127" t="s">
        <v>101</v>
      </c>
      <c r="E1626" s="852">
        <v>35.883000000000003</v>
      </c>
      <c r="F1626" s="706">
        <v>1</v>
      </c>
      <c r="G1626" s="853">
        <v>56</v>
      </c>
      <c r="H1626" s="127" t="s">
        <v>771</v>
      </c>
      <c r="I1626" s="848" t="s">
        <v>1548</v>
      </c>
      <c r="J1626" s="258"/>
    </row>
    <row r="1627" spans="1:10" ht="10.9" hidden="1" customHeight="1" x14ac:dyDescent="0.2">
      <c r="A1627" s="261" t="s">
        <v>1709</v>
      </c>
      <c r="B1627" s="705">
        <v>1206</v>
      </c>
      <c r="C1627" s="127" t="s">
        <v>1594</v>
      </c>
      <c r="D1627" s="127" t="s">
        <v>101</v>
      </c>
      <c r="E1627" s="855">
        <v>4817.5050000000001</v>
      </c>
      <c r="F1627" s="706">
        <v>1</v>
      </c>
      <c r="G1627" s="853">
        <v>64</v>
      </c>
      <c r="H1627" s="127" t="s">
        <v>771</v>
      </c>
      <c r="I1627" s="848" t="s">
        <v>1552</v>
      </c>
      <c r="J1627" s="258"/>
    </row>
    <row r="1628" spans="1:10" ht="9.75" hidden="1" customHeight="1" x14ac:dyDescent="0.2">
      <c r="A1628" s="261" t="s">
        <v>1730</v>
      </c>
      <c r="B1628" s="705">
        <v>5039</v>
      </c>
      <c r="C1628" s="127" t="s">
        <v>1607</v>
      </c>
      <c r="D1628" s="127" t="s">
        <v>94</v>
      </c>
      <c r="E1628" s="856">
        <v>409.31799999999998</v>
      </c>
      <c r="F1628" s="706">
        <v>1</v>
      </c>
      <c r="G1628" s="853">
        <v>65</v>
      </c>
      <c r="H1628" s="127" t="s">
        <v>1393</v>
      </c>
      <c r="I1628" s="848" t="s">
        <v>1552</v>
      </c>
      <c r="J1628" s="258"/>
    </row>
    <row r="1629" spans="1:10" ht="9.75" hidden="1" customHeight="1" x14ac:dyDescent="0.2">
      <c r="A1629" s="261" t="s">
        <v>1731</v>
      </c>
      <c r="B1629" s="705">
        <v>5213</v>
      </c>
      <c r="C1629" s="127" t="s">
        <v>741</v>
      </c>
      <c r="D1629" s="127" t="s">
        <v>94</v>
      </c>
      <c r="E1629" s="856">
        <v>409.31799999999998</v>
      </c>
      <c r="F1629" s="706">
        <v>1</v>
      </c>
      <c r="G1629" s="853">
        <v>65</v>
      </c>
      <c r="H1629" s="127" t="s">
        <v>1393</v>
      </c>
      <c r="I1629" s="848" t="s">
        <v>1552</v>
      </c>
      <c r="J1629" s="258"/>
    </row>
    <row r="1630" spans="1:10" ht="9.75" hidden="1" customHeight="1" x14ac:dyDescent="0.2">
      <c r="A1630" s="261" t="s">
        <v>1112</v>
      </c>
      <c r="B1630" s="705">
        <v>5961</v>
      </c>
      <c r="C1630" s="127" t="s">
        <v>742</v>
      </c>
      <c r="D1630" s="127" t="s">
        <v>101</v>
      </c>
      <c r="E1630" s="856">
        <v>137.643</v>
      </c>
      <c r="F1630" s="706">
        <v>1</v>
      </c>
      <c r="G1630" s="853">
        <v>64</v>
      </c>
      <c r="H1630" s="127" t="s">
        <v>771</v>
      </c>
      <c r="I1630" s="848" t="s">
        <v>1552</v>
      </c>
      <c r="J1630" s="258"/>
    </row>
    <row r="1631" spans="1:10" ht="9.75" hidden="1" customHeight="1" x14ac:dyDescent="0.2">
      <c r="A1631" s="261" t="s">
        <v>1732</v>
      </c>
      <c r="B1631" s="713">
        <v>1</v>
      </c>
      <c r="C1631" s="127" t="s">
        <v>188</v>
      </c>
      <c r="D1631" s="127" t="s">
        <v>12</v>
      </c>
      <c r="E1631" s="852">
        <v>61.215000000000003</v>
      </c>
      <c r="F1631" s="706">
        <v>1</v>
      </c>
      <c r="G1631" s="853">
        <v>57</v>
      </c>
      <c r="H1631" s="127" t="s">
        <v>1390</v>
      </c>
      <c r="I1631" s="848" t="s">
        <v>1548</v>
      </c>
      <c r="J1631" s="258"/>
    </row>
    <row r="1632" spans="1:10" ht="9.75" hidden="1" customHeight="1" x14ac:dyDescent="0.2">
      <c r="A1632" s="261" t="s">
        <v>1113</v>
      </c>
      <c r="B1632" s="705">
        <v>5210</v>
      </c>
      <c r="C1632" s="127" t="s">
        <v>408</v>
      </c>
      <c r="D1632" s="127" t="s">
        <v>12</v>
      </c>
      <c r="E1632" s="852">
        <v>34.4</v>
      </c>
      <c r="F1632" s="706">
        <v>1</v>
      </c>
      <c r="G1632" s="853">
        <v>68</v>
      </c>
      <c r="H1632" s="127" t="s">
        <v>408</v>
      </c>
      <c r="I1632" s="848" t="s">
        <v>1552</v>
      </c>
      <c r="J1632" s="258"/>
    </row>
    <row r="1633" spans="1:10" ht="9.75" hidden="1" customHeight="1" x14ac:dyDescent="0.2">
      <c r="A1633" s="261" t="s">
        <v>1733</v>
      </c>
      <c r="B1633" s="713">
        <v>1</v>
      </c>
      <c r="C1633" s="127" t="s">
        <v>188</v>
      </c>
      <c r="D1633" s="127" t="s">
        <v>12</v>
      </c>
      <c r="E1633" s="856">
        <v>472.29</v>
      </c>
      <c r="F1633" s="706">
        <v>1</v>
      </c>
      <c r="G1633" s="853">
        <v>65</v>
      </c>
      <c r="H1633" s="127" t="s">
        <v>1393</v>
      </c>
      <c r="I1633" s="848" t="s">
        <v>1552</v>
      </c>
      <c r="J1633" s="258"/>
    </row>
    <row r="1634" spans="1:10" ht="9.75" hidden="1" customHeight="1" x14ac:dyDescent="0.2">
      <c r="A1634" s="261" t="s">
        <v>1712</v>
      </c>
      <c r="B1634" s="705">
        <v>4696</v>
      </c>
      <c r="C1634" s="127" t="s">
        <v>1041</v>
      </c>
      <c r="D1634" s="127" t="s">
        <v>8</v>
      </c>
      <c r="E1634" s="852">
        <v>27.277999999999999</v>
      </c>
      <c r="F1634" s="706">
        <v>1</v>
      </c>
      <c r="G1634" s="853">
        <v>52</v>
      </c>
      <c r="H1634" s="127" t="s">
        <v>446</v>
      </c>
      <c r="I1634" s="848" t="s">
        <v>1551</v>
      </c>
      <c r="J1634" s="258"/>
    </row>
    <row r="1635" spans="1:10" ht="9.75" hidden="1" customHeight="1" x14ac:dyDescent="0.2">
      <c r="A1635" s="261" t="s">
        <v>1128</v>
      </c>
      <c r="B1635" s="705">
        <v>6142</v>
      </c>
      <c r="C1635" s="127" t="s">
        <v>412</v>
      </c>
      <c r="D1635" s="127" t="s">
        <v>8</v>
      </c>
      <c r="E1635" s="855">
        <v>1923.4079999999999</v>
      </c>
      <c r="F1635" s="706">
        <v>1</v>
      </c>
      <c r="G1635" s="853">
        <v>49</v>
      </c>
      <c r="H1635" s="127" t="s">
        <v>771</v>
      </c>
      <c r="I1635" s="848" t="s">
        <v>1551</v>
      </c>
      <c r="J1635" s="258"/>
    </row>
    <row r="1636" spans="1:10" ht="9.75" hidden="1" customHeight="1" x14ac:dyDescent="0.2">
      <c r="A1636" s="261" t="s">
        <v>1734</v>
      </c>
      <c r="B1636" s="705">
        <v>7751</v>
      </c>
      <c r="C1636" s="127" t="s">
        <v>1608</v>
      </c>
      <c r="D1636" s="127" t="s">
        <v>94</v>
      </c>
      <c r="E1636" s="856">
        <v>112.64</v>
      </c>
      <c r="F1636" s="706">
        <v>1</v>
      </c>
      <c r="G1636" s="853">
        <v>50</v>
      </c>
      <c r="H1636" s="127" t="s">
        <v>1389</v>
      </c>
      <c r="I1636" s="848" t="s">
        <v>1551</v>
      </c>
      <c r="J1636" s="258"/>
    </row>
    <row r="1637" spans="1:10" ht="9.75" hidden="1" customHeight="1" x14ac:dyDescent="0.2">
      <c r="A1637" s="261" t="s">
        <v>1715</v>
      </c>
      <c r="B1637" s="705">
        <v>8114</v>
      </c>
      <c r="C1637" s="127" t="s">
        <v>1597</v>
      </c>
      <c r="D1637" s="127" t="s">
        <v>101</v>
      </c>
      <c r="E1637" s="855">
        <v>7220</v>
      </c>
      <c r="F1637" s="706">
        <v>1</v>
      </c>
      <c r="G1637" s="853">
        <v>49</v>
      </c>
      <c r="H1637" s="127" t="s">
        <v>771</v>
      </c>
      <c r="I1637" s="848" t="s">
        <v>1551</v>
      </c>
      <c r="J1637" s="258"/>
    </row>
    <row r="1638" spans="1:10" ht="9.75" hidden="1" customHeight="1" x14ac:dyDescent="0.2">
      <c r="A1638" s="261" t="s">
        <v>1735</v>
      </c>
      <c r="B1638" s="705">
        <v>8115</v>
      </c>
      <c r="C1638" s="127" t="s">
        <v>1609</v>
      </c>
      <c r="D1638" s="127" t="s">
        <v>94</v>
      </c>
      <c r="E1638" s="856">
        <v>187.78</v>
      </c>
      <c r="F1638" s="706">
        <v>1</v>
      </c>
      <c r="G1638" s="853">
        <v>45</v>
      </c>
      <c r="H1638" s="127" t="s">
        <v>440</v>
      </c>
      <c r="I1638" s="848" t="s">
        <v>1551</v>
      </c>
      <c r="J1638" s="258"/>
    </row>
    <row r="1639" spans="1:10" ht="9.75" hidden="1" customHeight="1" x14ac:dyDescent="0.2">
      <c r="A1639" s="261" t="s">
        <v>1736</v>
      </c>
      <c r="B1639" s="705">
        <v>1001</v>
      </c>
      <c r="C1639" s="127" t="s">
        <v>1610</v>
      </c>
      <c r="D1639" s="127" t="s">
        <v>101</v>
      </c>
      <c r="E1639" s="855">
        <v>1608.5304000000001</v>
      </c>
      <c r="F1639" s="706">
        <v>1</v>
      </c>
      <c r="G1639" s="853">
        <v>47</v>
      </c>
      <c r="H1639" s="127" t="s">
        <v>423</v>
      </c>
      <c r="I1639" s="848" t="s">
        <v>1551</v>
      </c>
      <c r="J1639" s="258"/>
    </row>
    <row r="1640" spans="1:10" ht="9.75" hidden="1" customHeight="1" x14ac:dyDescent="0.2">
      <c r="A1640" s="261" t="s">
        <v>1737</v>
      </c>
      <c r="B1640" s="707">
        <v>937</v>
      </c>
      <c r="C1640" s="127" t="s">
        <v>1593</v>
      </c>
      <c r="D1640" s="127" t="s">
        <v>15</v>
      </c>
      <c r="E1640" s="856">
        <v>417.74700000000001</v>
      </c>
      <c r="F1640" s="706">
        <v>1</v>
      </c>
      <c r="G1640" s="853">
        <v>48</v>
      </c>
      <c r="H1640" s="127" t="s">
        <v>454</v>
      </c>
      <c r="I1640" s="848" t="s">
        <v>1551</v>
      </c>
      <c r="J1640" s="258"/>
    </row>
    <row r="1641" spans="1:10" ht="9.75" hidden="1" customHeight="1" x14ac:dyDescent="0.2">
      <c r="A1641" s="261" t="s">
        <v>1738</v>
      </c>
      <c r="B1641" s="705">
        <v>1004</v>
      </c>
      <c r="C1641" s="127" t="s">
        <v>1611</v>
      </c>
      <c r="D1641" s="127" t="s">
        <v>94</v>
      </c>
      <c r="E1641" s="854">
        <v>5.5797999999999996</v>
      </c>
      <c r="F1641" s="706">
        <v>1</v>
      </c>
      <c r="G1641" s="853">
        <v>47</v>
      </c>
      <c r="H1641" s="127" t="s">
        <v>423</v>
      </c>
      <c r="I1641" s="848" t="s">
        <v>1551</v>
      </c>
      <c r="J1641" s="258"/>
    </row>
    <row r="1642" spans="1:10" ht="9.75" hidden="1" customHeight="1" x14ac:dyDescent="0.2">
      <c r="A1642" s="261" t="s">
        <v>1118</v>
      </c>
      <c r="B1642" s="705">
        <v>1054</v>
      </c>
      <c r="C1642" s="127" t="s">
        <v>376</v>
      </c>
      <c r="D1642" s="127" t="s">
        <v>101</v>
      </c>
      <c r="E1642" s="852">
        <v>60.763199999999998</v>
      </c>
      <c r="F1642" s="706">
        <v>1</v>
      </c>
      <c r="G1642" s="853">
        <v>48</v>
      </c>
      <c r="H1642" s="127" t="s">
        <v>454</v>
      </c>
      <c r="I1642" s="848" t="s">
        <v>1551</v>
      </c>
      <c r="J1642" s="258"/>
    </row>
    <row r="1643" spans="1:10" ht="9.75" hidden="1" customHeight="1" x14ac:dyDescent="0.2">
      <c r="A1643" s="261" t="s">
        <v>1709</v>
      </c>
      <c r="B1643" s="705">
        <v>1206</v>
      </c>
      <c r="C1643" s="127" t="s">
        <v>1594</v>
      </c>
      <c r="D1643" s="127" t="s">
        <v>101</v>
      </c>
      <c r="E1643" s="855">
        <v>7581</v>
      </c>
      <c r="F1643" s="706">
        <v>1</v>
      </c>
      <c r="G1643" s="853">
        <v>49</v>
      </c>
      <c r="H1643" s="127" t="s">
        <v>771</v>
      </c>
      <c r="I1643" s="848" t="s">
        <v>1551</v>
      </c>
      <c r="J1643" s="258"/>
    </row>
    <row r="1644" spans="1:10" ht="9.75" hidden="1" customHeight="1" x14ac:dyDescent="0.2">
      <c r="A1644" s="261" t="s">
        <v>1119</v>
      </c>
      <c r="B1644" s="705">
        <v>1316</v>
      </c>
      <c r="C1644" s="127" t="s">
        <v>398</v>
      </c>
      <c r="D1644" s="127" t="s">
        <v>90</v>
      </c>
      <c r="E1644" s="856">
        <v>164.06059999999999</v>
      </c>
      <c r="F1644" s="706">
        <v>1</v>
      </c>
      <c r="G1644" s="853">
        <v>48</v>
      </c>
      <c r="H1644" s="127" t="s">
        <v>454</v>
      </c>
      <c r="I1644" s="848" t="s">
        <v>1551</v>
      </c>
      <c r="J1644" s="258"/>
    </row>
    <row r="1645" spans="1:10" ht="9.75" hidden="1" customHeight="1" x14ac:dyDescent="0.2">
      <c r="A1645" s="261" t="s">
        <v>1739</v>
      </c>
      <c r="B1645" s="705">
        <v>1367</v>
      </c>
      <c r="C1645" s="127" t="s">
        <v>843</v>
      </c>
      <c r="D1645" s="127" t="s">
        <v>1612</v>
      </c>
      <c r="E1645" s="854">
        <v>6.2072000000000003</v>
      </c>
      <c r="F1645" s="706">
        <v>1</v>
      </c>
      <c r="G1645" s="853">
        <v>47</v>
      </c>
      <c r="H1645" s="127" t="s">
        <v>423</v>
      </c>
      <c r="I1645" s="848" t="s">
        <v>1551</v>
      </c>
      <c r="J1645" s="258"/>
    </row>
    <row r="1646" spans="1:10" ht="9.75" hidden="1" customHeight="1" x14ac:dyDescent="0.2">
      <c r="A1646" s="261" t="s">
        <v>1740</v>
      </c>
      <c r="B1646" s="705">
        <v>5213</v>
      </c>
      <c r="C1646" s="127" t="s">
        <v>741</v>
      </c>
      <c r="D1646" s="127" t="s">
        <v>94</v>
      </c>
      <c r="E1646" s="856">
        <v>112.64</v>
      </c>
      <c r="F1646" s="706">
        <v>1</v>
      </c>
      <c r="G1646" s="853">
        <v>50</v>
      </c>
      <c r="H1646" s="127" t="s">
        <v>1389</v>
      </c>
      <c r="I1646" s="848" t="s">
        <v>1551</v>
      </c>
      <c r="J1646" s="258"/>
    </row>
    <row r="1647" spans="1:10" ht="9.75" hidden="1" customHeight="1" x14ac:dyDescent="0.2">
      <c r="A1647" s="261" t="s">
        <v>1112</v>
      </c>
      <c r="B1647" s="705">
        <v>5961</v>
      </c>
      <c r="C1647" s="127" t="s">
        <v>742</v>
      </c>
      <c r="D1647" s="127" t="s">
        <v>101</v>
      </c>
      <c r="E1647" s="856">
        <v>243.67500000000001</v>
      </c>
      <c r="F1647" s="706">
        <v>1</v>
      </c>
      <c r="G1647" s="853">
        <v>49</v>
      </c>
      <c r="H1647" s="127" t="s">
        <v>771</v>
      </c>
      <c r="I1647" s="848" t="s">
        <v>1551</v>
      </c>
      <c r="J1647" s="258"/>
    </row>
    <row r="1648" spans="1:10" ht="9.75" hidden="1" customHeight="1" x14ac:dyDescent="0.2">
      <c r="A1648" s="261" t="s">
        <v>1121</v>
      </c>
      <c r="B1648" s="705">
        <v>6744</v>
      </c>
      <c r="C1648" s="127" t="s">
        <v>414</v>
      </c>
      <c r="D1648" s="127" t="s">
        <v>101</v>
      </c>
      <c r="E1648" s="852">
        <v>75.953999999999994</v>
      </c>
      <c r="F1648" s="706">
        <v>1</v>
      </c>
      <c r="G1648" s="853">
        <v>48</v>
      </c>
      <c r="H1648" s="127" t="s">
        <v>454</v>
      </c>
      <c r="I1648" s="848" t="s">
        <v>1551</v>
      </c>
      <c r="J1648" s="258"/>
    </row>
    <row r="1649" spans="1:10" ht="9.75" hidden="1" customHeight="1" x14ac:dyDescent="0.2">
      <c r="A1649" s="261" t="s">
        <v>1115</v>
      </c>
      <c r="B1649" s="713">
        <v>1</v>
      </c>
      <c r="C1649" s="127" t="s">
        <v>188</v>
      </c>
      <c r="D1649" s="127" t="s">
        <v>12</v>
      </c>
      <c r="E1649" s="852">
        <v>54.13</v>
      </c>
      <c r="F1649" s="706">
        <v>1</v>
      </c>
      <c r="G1649" s="853">
        <v>46</v>
      </c>
      <c r="H1649" s="127" t="s">
        <v>456</v>
      </c>
      <c r="I1649" s="848" t="s">
        <v>1551</v>
      </c>
      <c r="J1649" s="258"/>
    </row>
    <row r="1650" spans="1:10" ht="9.75" hidden="1" customHeight="1" x14ac:dyDescent="0.2">
      <c r="A1650" s="261" t="s">
        <v>1122</v>
      </c>
      <c r="B1650" s="713">
        <v>2</v>
      </c>
      <c r="C1650" s="127" t="s">
        <v>189</v>
      </c>
      <c r="D1650" s="127" t="s">
        <v>12</v>
      </c>
      <c r="E1650" s="854">
        <v>7.7759999999999998</v>
      </c>
      <c r="F1650" s="706">
        <v>1</v>
      </c>
      <c r="G1650" s="853">
        <v>47</v>
      </c>
      <c r="H1650" s="127" t="s">
        <v>423</v>
      </c>
      <c r="I1650" s="848" t="s">
        <v>1551</v>
      </c>
      <c r="J1650" s="258"/>
    </row>
    <row r="1651" spans="1:10" ht="9.75" hidden="1" customHeight="1" x14ac:dyDescent="0.2">
      <c r="A1651" s="261" t="s">
        <v>1123</v>
      </c>
      <c r="B1651" s="707">
        <v>934</v>
      </c>
      <c r="C1651" s="127" t="s">
        <v>389</v>
      </c>
      <c r="D1651" s="127" t="s">
        <v>15</v>
      </c>
      <c r="E1651" s="856">
        <v>417.74700000000001</v>
      </c>
      <c r="F1651" s="706">
        <v>1</v>
      </c>
      <c r="G1651" s="853">
        <v>48</v>
      </c>
      <c r="H1651" s="127" t="s">
        <v>454</v>
      </c>
      <c r="I1651" s="848" t="s">
        <v>1551</v>
      </c>
      <c r="J1651" s="258"/>
    </row>
    <row r="1652" spans="1:10" ht="9.75" hidden="1" customHeight="1" x14ac:dyDescent="0.2">
      <c r="A1652" s="261" t="s">
        <v>1124</v>
      </c>
      <c r="B1652" s="705">
        <v>1333</v>
      </c>
      <c r="C1652" s="127" t="s">
        <v>399</v>
      </c>
      <c r="D1652" s="127" t="s">
        <v>90</v>
      </c>
      <c r="E1652" s="852">
        <v>75.953999999999994</v>
      </c>
      <c r="F1652" s="706">
        <v>1</v>
      </c>
      <c r="G1652" s="853">
        <v>48</v>
      </c>
      <c r="H1652" s="127" t="s">
        <v>454</v>
      </c>
      <c r="I1652" s="848" t="s">
        <v>1551</v>
      </c>
      <c r="J1652" s="258"/>
    </row>
    <row r="1653" spans="1:10" ht="9.75" hidden="1" customHeight="1" x14ac:dyDescent="0.2">
      <c r="A1653" s="261" t="s">
        <v>1125</v>
      </c>
      <c r="B1653" s="705">
        <v>1403</v>
      </c>
      <c r="C1653" s="127" t="s">
        <v>401</v>
      </c>
      <c r="D1653" s="127" t="s">
        <v>13</v>
      </c>
      <c r="E1653" s="852">
        <v>15.190799999999999</v>
      </c>
      <c r="F1653" s="706">
        <v>1</v>
      </c>
      <c r="G1653" s="853">
        <v>48</v>
      </c>
      <c r="H1653" s="127" t="s">
        <v>454</v>
      </c>
      <c r="I1653" s="848" t="s">
        <v>1551</v>
      </c>
      <c r="J1653" s="258"/>
    </row>
    <row r="1654" spans="1:10" ht="9.75" hidden="1" customHeight="1" x14ac:dyDescent="0.2">
      <c r="A1654" s="261" t="s">
        <v>1741</v>
      </c>
      <c r="B1654" s="705">
        <v>7742</v>
      </c>
      <c r="C1654" s="127" t="s">
        <v>1600</v>
      </c>
      <c r="D1654" s="127" t="s">
        <v>90</v>
      </c>
      <c r="E1654" s="856">
        <v>379.77</v>
      </c>
      <c r="F1654" s="706">
        <v>1</v>
      </c>
      <c r="G1654" s="853">
        <v>48</v>
      </c>
      <c r="H1654" s="127" t="s">
        <v>454</v>
      </c>
      <c r="I1654" s="848" t="s">
        <v>1551</v>
      </c>
      <c r="J1654" s="258"/>
    </row>
    <row r="1655" spans="1:10" ht="9.75" hidden="1" customHeight="1" x14ac:dyDescent="0.2">
      <c r="A1655" s="261" t="s">
        <v>1128</v>
      </c>
      <c r="B1655" s="705">
        <v>6142</v>
      </c>
      <c r="C1655" s="127" t="s">
        <v>412</v>
      </c>
      <c r="D1655" s="127" t="s">
        <v>8</v>
      </c>
      <c r="E1655" s="857">
        <v>18658.1446</v>
      </c>
      <c r="F1655" s="706">
        <v>1</v>
      </c>
      <c r="G1655" s="853">
        <v>79</v>
      </c>
      <c r="H1655" s="127" t="s">
        <v>771</v>
      </c>
      <c r="I1655" s="848" t="s">
        <v>849</v>
      </c>
      <c r="J1655" s="258"/>
    </row>
    <row r="1656" spans="1:10" ht="9.75" hidden="1" customHeight="1" x14ac:dyDescent="0.2">
      <c r="A1656" s="261" t="s">
        <v>1742</v>
      </c>
      <c r="B1656" s="705">
        <v>7236</v>
      </c>
      <c r="C1656" s="127" t="s">
        <v>419</v>
      </c>
      <c r="D1656" s="127" t="s">
        <v>7</v>
      </c>
      <c r="E1656" s="855">
        <v>3264.44</v>
      </c>
      <c r="F1656" s="706">
        <v>1</v>
      </c>
      <c r="G1656" s="713">
        <v>6</v>
      </c>
      <c r="H1656" s="127" t="s">
        <v>1374</v>
      </c>
      <c r="I1656" s="848" t="s">
        <v>849</v>
      </c>
      <c r="J1656" s="258"/>
    </row>
    <row r="1657" spans="1:10" ht="9.75" hidden="1" customHeight="1" x14ac:dyDescent="0.2">
      <c r="A1657" s="261" t="s">
        <v>1743</v>
      </c>
      <c r="B1657" s="705">
        <v>7751</v>
      </c>
      <c r="C1657" s="127" t="s">
        <v>1608</v>
      </c>
      <c r="D1657" s="127" t="s">
        <v>94</v>
      </c>
      <c r="E1657" s="856">
        <v>640.61800000000005</v>
      </c>
      <c r="F1657" s="706">
        <v>1</v>
      </c>
      <c r="G1657" s="853">
        <v>80</v>
      </c>
      <c r="H1657" s="127" t="s">
        <v>1395</v>
      </c>
      <c r="I1657" s="848" t="s">
        <v>849</v>
      </c>
      <c r="J1657" s="258"/>
    </row>
    <row r="1658" spans="1:10" ht="9.75" hidden="1" customHeight="1" x14ac:dyDescent="0.2">
      <c r="A1658" s="261" t="s">
        <v>1715</v>
      </c>
      <c r="B1658" s="705">
        <v>8114</v>
      </c>
      <c r="C1658" s="127" t="s">
        <v>1597</v>
      </c>
      <c r="D1658" s="127" t="s">
        <v>101</v>
      </c>
      <c r="E1658" s="857">
        <v>70674.789999999994</v>
      </c>
      <c r="F1658" s="706">
        <v>1</v>
      </c>
      <c r="G1658" s="853">
        <v>79</v>
      </c>
      <c r="H1658" s="127" t="s">
        <v>771</v>
      </c>
      <c r="I1658" s="848" t="s">
        <v>849</v>
      </c>
      <c r="J1658" s="258"/>
    </row>
    <row r="1659" spans="1:10" ht="9.75" hidden="1" customHeight="1" x14ac:dyDescent="0.2">
      <c r="A1659" s="261" t="s">
        <v>1744</v>
      </c>
      <c r="B1659" s="705">
        <v>8599</v>
      </c>
      <c r="C1659" s="127" t="s">
        <v>1376</v>
      </c>
      <c r="D1659" s="127" t="s">
        <v>7</v>
      </c>
      <c r="E1659" s="854">
        <v>1</v>
      </c>
      <c r="F1659" s="706">
        <v>1</v>
      </c>
      <c r="G1659" s="713">
        <v>9</v>
      </c>
      <c r="H1659" s="127" t="s">
        <v>1376</v>
      </c>
      <c r="I1659" s="848" t="s">
        <v>849</v>
      </c>
      <c r="J1659" s="258"/>
    </row>
    <row r="1660" spans="1:10" ht="9.75" hidden="1" customHeight="1" x14ac:dyDescent="0.2">
      <c r="A1660" s="261" t="s">
        <v>1745</v>
      </c>
      <c r="B1660" s="705">
        <v>9125</v>
      </c>
      <c r="C1660" s="127" t="s">
        <v>1613</v>
      </c>
      <c r="D1660" s="127" t="s">
        <v>94</v>
      </c>
      <c r="E1660" s="856">
        <v>223.19</v>
      </c>
      <c r="F1660" s="706">
        <v>1</v>
      </c>
      <c r="G1660" s="853">
        <v>81</v>
      </c>
      <c r="H1660" s="127" t="s">
        <v>1396</v>
      </c>
      <c r="I1660" s="848" t="s">
        <v>849</v>
      </c>
      <c r="J1660" s="258"/>
    </row>
    <row r="1661" spans="1:10" ht="9.75" hidden="1" customHeight="1" x14ac:dyDescent="0.2">
      <c r="A1661" s="261" t="s">
        <v>1709</v>
      </c>
      <c r="B1661" s="705">
        <v>1206</v>
      </c>
      <c r="C1661" s="127" t="s">
        <v>1594</v>
      </c>
      <c r="D1661" s="127" t="s">
        <v>101</v>
      </c>
      <c r="E1661" s="857">
        <v>74208.529500000004</v>
      </c>
      <c r="F1661" s="706">
        <v>1</v>
      </c>
      <c r="G1661" s="853">
        <v>79</v>
      </c>
      <c r="H1661" s="127" t="s">
        <v>771</v>
      </c>
      <c r="I1661" s="848" t="s">
        <v>849</v>
      </c>
      <c r="J1661" s="258"/>
    </row>
    <row r="1662" spans="1:10" ht="9.75" hidden="1" customHeight="1" x14ac:dyDescent="0.2">
      <c r="A1662" s="261" t="s">
        <v>1746</v>
      </c>
      <c r="B1662" s="715">
        <v>5213</v>
      </c>
      <c r="C1662" s="127" t="s">
        <v>741</v>
      </c>
      <c r="D1662" s="127" t="s">
        <v>94</v>
      </c>
      <c r="E1662" s="856">
        <v>640.61800000000005</v>
      </c>
      <c r="F1662" s="706">
        <v>1</v>
      </c>
      <c r="G1662" s="853">
        <v>80</v>
      </c>
      <c r="H1662" s="127" t="s">
        <v>1395</v>
      </c>
      <c r="I1662" s="848" t="s">
        <v>849</v>
      </c>
      <c r="J1662" s="258"/>
    </row>
    <row r="1663" spans="1:10" ht="9.75" hidden="1" customHeight="1" x14ac:dyDescent="0.2">
      <c r="A1663" s="261" t="s">
        <v>1112</v>
      </c>
      <c r="B1663" s="705">
        <v>5961</v>
      </c>
      <c r="C1663" s="127" t="s">
        <v>742</v>
      </c>
      <c r="D1663" s="127" t="s">
        <v>101</v>
      </c>
      <c r="E1663" s="855">
        <v>2385.2741999999998</v>
      </c>
      <c r="F1663" s="706">
        <v>1</v>
      </c>
      <c r="G1663" s="853">
        <v>79</v>
      </c>
      <c r="H1663" s="127" t="s">
        <v>771</v>
      </c>
      <c r="I1663" s="848" t="s">
        <v>849</v>
      </c>
      <c r="J1663" s="258"/>
    </row>
    <row r="1664" spans="1:10" ht="9.75" hidden="1" customHeight="1" x14ac:dyDescent="0.2">
      <c r="A1664" s="261" t="s">
        <v>1262</v>
      </c>
      <c r="B1664" s="705">
        <v>1113</v>
      </c>
      <c r="C1664" s="127" t="s">
        <v>395</v>
      </c>
      <c r="D1664" s="127" t="s">
        <v>7</v>
      </c>
      <c r="E1664" s="855">
        <v>3264.44</v>
      </c>
      <c r="F1664" s="706">
        <v>1</v>
      </c>
      <c r="G1664" s="713">
        <v>7</v>
      </c>
      <c r="H1664" s="127" t="s">
        <v>481</v>
      </c>
      <c r="I1664" s="848" t="s">
        <v>849</v>
      </c>
      <c r="J1664" s="258"/>
    </row>
    <row r="1665" spans="1:10" ht="9.75" hidden="1" customHeight="1" x14ac:dyDescent="0.2">
      <c r="A1665" s="261" t="s">
        <v>1747</v>
      </c>
      <c r="B1665" s="705">
        <v>1115</v>
      </c>
      <c r="C1665" s="127" t="s">
        <v>842</v>
      </c>
      <c r="D1665" s="127" t="s">
        <v>7</v>
      </c>
      <c r="E1665" s="854">
        <v>1</v>
      </c>
      <c r="F1665" s="706">
        <v>1</v>
      </c>
      <c r="G1665" s="713">
        <v>8</v>
      </c>
      <c r="H1665" s="127" t="s">
        <v>1375</v>
      </c>
      <c r="I1665" s="848" t="s">
        <v>849</v>
      </c>
      <c r="J1665" s="258"/>
    </row>
    <row r="1666" spans="1:10" ht="9.75" hidden="1" customHeight="1" x14ac:dyDescent="0.2">
      <c r="A1666" s="261" t="s">
        <v>1136</v>
      </c>
      <c r="B1666" s="705">
        <v>1120</v>
      </c>
      <c r="C1666" s="127" t="s">
        <v>396</v>
      </c>
      <c r="D1666" s="127" t="s">
        <v>7</v>
      </c>
      <c r="E1666" s="855">
        <v>3264.44</v>
      </c>
      <c r="F1666" s="706">
        <v>1</v>
      </c>
      <c r="G1666" s="853">
        <v>10</v>
      </c>
      <c r="H1666" s="127" t="s">
        <v>765</v>
      </c>
      <c r="I1666" s="848" t="s">
        <v>849</v>
      </c>
      <c r="J1666" s="258"/>
    </row>
    <row r="1667" spans="1:10" ht="9.75" hidden="1" customHeight="1" x14ac:dyDescent="0.2">
      <c r="A1667" s="261" t="s">
        <v>1748</v>
      </c>
      <c r="B1667" s="705">
        <v>7742</v>
      </c>
      <c r="C1667" s="127" t="s">
        <v>1614</v>
      </c>
      <c r="D1667" s="127" t="s">
        <v>90</v>
      </c>
      <c r="E1667" s="855">
        <v>6994.33</v>
      </c>
      <c r="F1667" s="706">
        <v>1</v>
      </c>
      <c r="G1667" s="853">
        <v>78</v>
      </c>
      <c r="H1667" s="127" t="s">
        <v>460</v>
      </c>
      <c r="I1667" s="848" t="s">
        <v>849</v>
      </c>
      <c r="J1667" s="258"/>
    </row>
    <row r="1668" spans="1:10" ht="9.75" hidden="1" customHeight="1" x14ac:dyDescent="0.2">
      <c r="A1668" s="261" t="s">
        <v>1749</v>
      </c>
      <c r="B1668" s="705">
        <v>7742</v>
      </c>
      <c r="C1668" s="127" t="s">
        <v>1615</v>
      </c>
      <c r="D1668" s="127" t="s">
        <v>90</v>
      </c>
      <c r="E1668" s="855">
        <v>2656.74</v>
      </c>
      <c r="F1668" s="706">
        <v>1</v>
      </c>
      <c r="G1668" s="853">
        <v>82</v>
      </c>
      <c r="H1668" s="127" t="s">
        <v>459</v>
      </c>
      <c r="I1668" s="848" t="s">
        <v>849</v>
      </c>
      <c r="J1668" s="258"/>
    </row>
    <row r="1669" spans="1:10" ht="9.75" customHeight="1" x14ac:dyDescent="0.2">
      <c r="A1669" s="261" t="s">
        <v>1750</v>
      </c>
      <c r="B1669" s="705">
        <v>6517</v>
      </c>
      <c r="C1669" s="127" t="s">
        <v>1616</v>
      </c>
      <c r="D1669" s="127" t="s">
        <v>8</v>
      </c>
      <c r="E1669" s="857">
        <v>14856.75</v>
      </c>
      <c r="F1669" s="706">
        <v>1</v>
      </c>
      <c r="G1669" s="853">
        <v>87</v>
      </c>
      <c r="H1669" s="127" t="s">
        <v>779</v>
      </c>
      <c r="I1669" s="848" t="s">
        <v>1553</v>
      </c>
      <c r="J1669" s="258"/>
    </row>
    <row r="1670" spans="1:10" ht="9.75" customHeight="1" x14ac:dyDescent="0.2">
      <c r="A1670" s="261" t="s">
        <v>1751</v>
      </c>
      <c r="B1670" s="705">
        <v>8114</v>
      </c>
      <c r="C1670" s="127" t="s">
        <v>1597</v>
      </c>
      <c r="D1670" s="127" t="s">
        <v>101</v>
      </c>
      <c r="E1670" s="855">
        <v>1449</v>
      </c>
      <c r="F1670" s="706">
        <v>1</v>
      </c>
      <c r="G1670" s="853">
        <v>94</v>
      </c>
      <c r="H1670" s="127" t="s">
        <v>471</v>
      </c>
      <c r="I1670" s="848" t="s">
        <v>1553</v>
      </c>
      <c r="J1670" s="258"/>
    </row>
    <row r="1671" spans="1:10" ht="9.75" customHeight="1" x14ac:dyDescent="0.2">
      <c r="A1671" s="261" t="s">
        <v>1752</v>
      </c>
      <c r="B1671" s="715">
        <v>1001</v>
      </c>
      <c r="C1671" s="127" t="s">
        <v>1610</v>
      </c>
      <c r="D1671" s="127" t="s">
        <v>101</v>
      </c>
      <c r="E1671" s="857">
        <v>16727.727599999998</v>
      </c>
      <c r="F1671" s="706">
        <v>1</v>
      </c>
      <c r="G1671" s="853">
        <v>86</v>
      </c>
      <c r="H1671" s="127" t="s">
        <v>778</v>
      </c>
      <c r="I1671" s="848" t="s">
        <v>1553</v>
      </c>
      <c r="J1671" s="258"/>
    </row>
    <row r="1672" spans="1:10" ht="9.75" customHeight="1" x14ac:dyDescent="0.2">
      <c r="A1672" s="261" t="s">
        <v>1753</v>
      </c>
      <c r="B1672" s="705">
        <v>7761</v>
      </c>
      <c r="C1672" s="127" t="s">
        <v>1617</v>
      </c>
      <c r="D1672" s="127" t="s">
        <v>15</v>
      </c>
      <c r="E1672" s="855">
        <v>1831.1</v>
      </c>
      <c r="F1672" s="706">
        <v>1</v>
      </c>
      <c r="G1672" s="853">
        <v>93</v>
      </c>
      <c r="H1672" s="127" t="s">
        <v>1397</v>
      </c>
      <c r="I1672" s="848" t="s">
        <v>1549</v>
      </c>
      <c r="J1672" s="258"/>
    </row>
    <row r="1673" spans="1:10" ht="9.75" customHeight="1" x14ac:dyDescent="0.2">
      <c r="A1673" s="261" t="s">
        <v>1169</v>
      </c>
      <c r="B1673" s="705">
        <v>1002</v>
      </c>
      <c r="C1673" s="127" t="s">
        <v>390</v>
      </c>
      <c r="D1673" s="127" t="s">
        <v>391</v>
      </c>
      <c r="E1673" s="856">
        <v>419.91410000000002</v>
      </c>
      <c r="F1673" s="706">
        <v>1</v>
      </c>
      <c r="G1673" s="853">
        <v>86</v>
      </c>
      <c r="H1673" s="127" t="s">
        <v>778</v>
      </c>
      <c r="I1673" s="848" t="s">
        <v>1553</v>
      </c>
      <c r="J1673" s="258"/>
    </row>
    <row r="1674" spans="1:10" ht="9.75" customHeight="1" x14ac:dyDescent="0.2">
      <c r="A1674" s="261" t="s">
        <v>1754</v>
      </c>
      <c r="B1674" s="705">
        <v>1004</v>
      </c>
      <c r="C1674" s="127" t="s">
        <v>1611</v>
      </c>
      <c r="D1674" s="127" t="s">
        <v>94</v>
      </c>
      <c r="E1674" s="854">
        <v>8.2447999999999997</v>
      </c>
      <c r="F1674" s="706">
        <v>1</v>
      </c>
      <c r="G1674" s="853">
        <v>94</v>
      </c>
      <c r="H1674" s="127" t="s">
        <v>471</v>
      </c>
      <c r="I1674" s="848" t="s">
        <v>1553</v>
      </c>
      <c r="J1674" s="258"/>
    </row>
    <row r="1675" spans="1:10" ht="9.75" customHeight="1" x14ac:dyDescent="0.2">
      <c r="A1675" s="261" t="s">
        <v>1156</v>
      </c>
      <c r="B1675" s="705">
        <v>1054</v>
      </c>
      <c r="C1675" s="127" t="s">
        <v>376</v>
      </c>
      <c r="D1675" s="127" t="s">
        <v>101</v>
      </c>
      <c r="E1675" s="852">
        <v>30.863700000000001</v>
      </c>
      <c r="F1675" s="706">
        <v>1</v>
      </c>
      <c r="G1675" s="853">
        <v>94</v>
      </c>
      <c r="H1675" s="127" t="s">
        <v>471</v>
      </c>
      <c r="I1675" s="848" t="s">
        <v>1553</v>
      </c>
      <c r="J1675" s="258"/>
    </row>
    <row r="1676" spans="1:10" ht="9.75" customHeight="1" x14ac:dyDescent="0.2">
      <c r="A1676" s="261" t="s">
        <v>1755</v>
      </c>
      <c r="B1676" s="705">
        <v>1206</v>
      </c>
      <c r="C1676" s="127" t="s">
        <v>1594</v>
      </c>
      <c r="D1676" s="127" t="s">
        <v>101</v>
      </c>
      <c r="E1676" s="855">
        <v>1449</v>
      </c>
      <c r="F1676" s="706">
        <v>1</v>
      </c>
      <c r="G1676" s="853">
        <v>94</v>
      </c>
      <c r="H1676" s="127" t="s">
        <v>471</v>
      </c>
      <c r="I1676" s="848" t="s">
        <v>1553</v>
      </c>
      <c r="J1676" s="258"/>
    </row>
    <row r="1677" spans="1:10" ht="9.75" customHeight="1" x14ac:dyDescent="0.2">
      <c r="A1677" s="261" t="s">
        <v>1158</v>
      </c>
      <c r="B1677" s="705">
        <v>1219</v>
      </c>
      <c r="C1677" s="127" t="s">
        <v>858</v>
      </c>
      <c r="D1677" s="127" t="s">
        <v>101</v>
      </c>
      <c r="E1677" s="852">
        <v>17.388000000000002</v>
      </c>
      <c r="F1677" s="706">
        <v>1</v>
      </c>
      <c r="G1677" s="853">
        <v>94</v>
      </c>
      <c r="H1677" s="127" t="s">
        <v>471</v>
      </c>
      <c r="I1677" s="848" t="s">
        <v>1553</v>
      </c>
      <c r="J1677" s="258"/>
    </row>
    <row r="1678" spans="1:10" ht="9.75" customHeight="1" x14ac:dyDescent="0.2">
      <c r="A1678" s="261" t="s">
        <v>1756</v>
      </c>
      <c r="B1678" s="715">
        <v>1367</v>
      </c>
      <c r="C1678" s="127" t="s">
        <v>843</v>
      </c>
      <c r="D1678" s="127" t="s">
        <v>1612</v>
      </c>
      <c r="E1678" s="852">
        <v>83.707499999999996</v>
      </c>
      <c r="F1678" s="706">
        <v>1</v>
      </c>
      <c r="G1678" s="853">
        <v>86</v>
      </c>
      <c r="H1678" s="127" t="s">
        <v>778</v>
      </c>
      <c r="I1678" s="848" t="s">
        <v>1553</v>
      </c>
      <c r="J1678" s="258"/>
    </row>
    <row r="1679" spans="1:10" ht="9.75" customHeight="1" x14ac:dyDescent="0.2">
      <c r="A1679" s="261" t="s">
        <v>1171</v>
      </c>
      <c r="B1679" s="705">
        <v>1571</v>
      </c>
      <c r="C1679" s="127" t="s">
        <v>403</v>
      </c>
      <c r="D1679" s="127" t="s">
        <v>8</v>
      </c>
      <c r="E1679" s="857">
        <v>64368.36</v>
      </c>
      <c r="F1679" s="706">
        <v>1</v>
      </c>
      <c r="G1679" s="853">
        <v>86</v>
      </c>
      <c r="H1679" s="127" t="s">
        <v>778</v>
      </c>
      <c r="I1679" s="848" t="s">
        <v>1553</v>
      </c>
      <c r="J1679" s="258"/>
    </row>
    <row r="1680" spans="1:10" ht="9.75" customHeight="1" x14ac:dyDescent="0.2">
      <c r="A1680" s="261" t="s">
        <v>1175</v>
      </c>
      <c r="B1680" s="706">
        <v>1</v>
      </c>
      <c r="C1680" s="127" t="s">
        <v>188</v>
      </c>
      <c r="D1680" s="127" t="s">
        <v>12</v>
      </c>
      <c r="E1680" s="852">
        <v>57.96</v>
      </c>
      <c r="F1680" s="706">
        <v>1</v>
      </c>
      <c r="G1680" s="853">
        <v>94</v>
      </c>
      <c r="H1680" s="127" t="s">
        <v>471</v>
      </c>
      <c r="I1680" s="848" t="s">
        <v>1553</v>
      </c>
      <c r="J1680" s="258"/>
    </row>
    <row r="1681" spans="1:10" ht="9.75" customHeight="1" x14ac:dyDescent="0.2">
      <c r="A1681" s="261" t="s">
        <v>1178</v>
      </c>
      <c r="B1681" s="706">
        <v>2</v>
      </c>
      <c r="C1681" s="127" t="s">
        <v>189</v>
      </c>
      <c r="D1681" s="127" t="s">
        <v>12</v>
      </c>
      <c r="E1681" s="852">
        <v>28.98</v>
      </c>
      <c r="F1681" s="706">
        <v>1</v>
      </c>
      <c r="G1681" s="853">
        <v>94</v>
      </c>
      <c r="H1681" s="127" t="s">
        <v>471</v>
      </c>
      <c r="I1681" s="848" t="s">
        <v>1553</v>
      </c>
      <c r="J1681" s="258"/>
    </row>
    <row r="1682" spans="1:10" ht="9.75" customHeight="1" x14ac:dyDescent="0.2">
      <c r="A1682" s="261" t="s">
        <v>1179</v>
      </c>
      <c r="B1682" s="705">
        <v>1285</v>
      </c>
      <c r="C1682" s="127" t="s">
        <v>378</v>
      </c>
      <c r="D1682" s="127" t="s">
        <v>15</v>
      </c>
      <c r="E1682" s="856">
        <v>236.18700000000001</v>
      </c>
      <c r="F1682" s="706">
        <v>1</v>
      </c>
      <c r="G1682" s="853">
        <v>94</v>
      </c>
      <c r="H1682" s="127" t="s">
        <v>471</v>
      </c>
      <c r="I1682" s="848" t="s">
        <v>1553</v>
      </c>
      <c r="J1682" s="258"/>
    </row>
    <row r="1683" spans="1:10" ht="9.75" customHeight="1" x14ac:dyDescent="0.2">
      <c r="A1683" s="261" t="s">
        <v>1757</v>
      </c>
      <c r="B1683" s="705">
        <v>7742</v>
      </c>
      <c r="C1683" s="127" t="s">
        <v>1618</v>
      </c>
      <c r="D1683" s="127" t="s">
        <v>90</v>
      </c>
      <c r="E1683" s="855">
        <v>3805.9308000000001</v>
      </c>
      <c r="F1683" s="706">
        <v>1</v>
      </c>
      <c r="G1683" s="853">
        <v>88</v>
      </c>
      <c r="H1683" s="127" t="s">
        <v>469</v>
      </c>
      <c r="I1683" s="848" t="s">
        <v>1553</v>
      </c>
      <c r="J1683" s="258"/>
    </row>
    <row r="1684" spans="1:10" ht="9.75" customHeight="1" x14ac:dyDescent="0.2">
      <c r="A1684" s="261" t="s">
        <v>1758</v>
      </c>
      <c r="B1684" s="705">
        <v>7742</v>
      </c>
      <c r="C1684" s="127" t="s">
        <v>1619</v>
      </c>
      <c r="D1684" s="127" t="s">
        <v>90</v>
      </c>
      <c r="E1684" s="856">
        <v>892.74919999999997</v>
      </c>
      <c r="F1684" s="706">
        <v>1</v>
      </c>
      <c r="G1684" s="853">
        <v>88</v>
      </c>
      <c r="H1684" s="127" t="s">
        <v>469</v>
      </c>
      <c r="I1684" s="848" t="s">
        <v>1553</v>
      </c>
      <c r="J1684" s="258"/>
    </row>
    <row r="1685" spans="1:10" ht="9.75" customHeight="1" x14ac:dyDescent="0.2">
      <c r="A1685" s="261" t="s">
        <v>1759</v>
      </c>
      <c r="B1685" s="705">
        <v>1001</v>
      </c>
      <c r="C1685" s="127" t="s">
        <v>1610</v>
      </c>
      <c r="D1685" s="127" t="s">
        <v>101</v>
      </c>
      <c r="E1685" s="856">
        <v>242.47219999999999</v>
      </c>
      <c r="F1685" s="706">
        <v>1</v>
      </c>
      <c r="G1685" s="853">
        <v>85</v>
      </c>
      <c r="H1685" s="127" t="s">
        <v>777</v>
      </c>
      <c r="I1685" s="848" t="s">
        <v>1549</v>
      </c>
      <c r="J1685" s="258"/>
    </row>
    <row r="1686" spans="1:10" ht="9.75" customHeight="1" x14ac:dyDescent="0.2">
      <c r="A1686" s="261" t="s">
        <v>1760</v>
      </c>
      <c r="B1686" s="714">
        <v>937</v>
      </c>
      <c r="C1686" s="127" t="s">
        <v>1593</v>
      </c>
      <c r="D1686" s="127" t="s">
        <v>15</v>
      </c>
      <c r="E1686" s="856">
        <v>234</v>
      </c>
      <c r="F1686" s="706">
        <v>1</v>
      </c>
      <c r="G1686" s="853">
        <v>28</v>
      </c>
      <c r="H1686" s="127" t="s">
        <v>1383</v>
      </c>
      <c r="I1686" s="848" t="s">
        <v>1549</v>
      </c>
      <c r="J1686" s="258"/>
    </row>
    <row r="1687" spans="1:10" ht="9.75" customHeight="1" x14ac:dyDescent="0.2">
      <c r="A1687" s="261" t="s">
        <v>1761</v>
      </c>
      <c r="B1687" s="714">
        <v>964</v>
      </c>
      <c r="C1687" s="127" t="s">
        <v>740</v>
      </c>
      <c r="D1687" s="127" t="s">
        <v>13</v>
      </c>
      <c r="E1687" s="854">
        <v>4.8</v>
      </c>
      <c r="F1687" s="706">
        <v>1</v>
      </c>
      <c r="G1687" s="853">
        <v>28</v>
      </c>
      <c r="H1687" s="127" t="s">
        <v>1383</v>
      </c>
      <c r="I1687" s="848" t="s">
        <v>1549</v>
      </c>
      <c r="J1687" s="258"/>
    </row>
    <row r="1688" spans="1:10" ht="9.75" customHeight="1" x14ac:dyDescent="0.2">
      <c r="A1688" s="261" t="s">
        <v>1139</v>
      </c>
      <c r="B1688" s="705">
        <v>1060</v>
      </c>
      <c r="C1688" s="127" t="s">
        <v>392</v>
      </c>
      <c r="D1688" s="127" t="s">
        <v>101</v>
      </c>
      <c r="E1688" s="852">
        <v>30</v>
      </c>
      <c r="F1688" s="706">
        <v>1</v>
      </c>
      <c r="G1688" s="853">
        <v>34</v>
      </c>
      <c r="H1688" s="127" t="s">
        <v>424</v>
      </c>
      <c r="I1688" s="848" t="s">
        <v>1549</v>
      </c>
      <c r="J1688" s="258"/>
    </row>
    <row r="1689" spans="1:10" ht="9.75" customHeight="1" x14ac:dyDescent="0.2">
      <c r="A1689" s="261" t="s">
        <v>1140</v>
      </c>
      <c r="B1689" s="705">
        <v>1065</v>
      </c>
      <c r="C1689" s="127" t="s">
        <v>393</v>
      </c>
      <c r="D1689" s="127" t="s">
        <v>8</v>
      </c>
      <c r="E1689" s="852">
        <v>25</v>
      </c>
      <c r="F1689" s="706">
        <v>1</v>
      </c>
      <c r="G1689" s="853">
        <v>34</v>
      </c>
      <c r="H1689" s="127" t="s">
        <v>424</v>
      </c>
      <c r="I1689" s="848" t="s">
        <v>1549</v>
      </c>
      <c r="J1689" s="258"/>
    </row>
    <row r="1690" spans="1:10" ht="9.75" customHeight="1" x14ac:dyDescent="0.2">
      <c r="A1690" s="261" t="s">
        <v>1762</v>
      </c>
      <c r="B1690" s="715">
        <v>1314</v>
      </c>
      <c r="C1690" s="127" t="s">
        <v>379</v>
      </c>
      <c r="D1690" s="127" t="s">
        <v>15</v>
      </c>
      <c r="E1690" s="856">
        <v>144</v>
      </c>
      <c r="F1690" s="706">
        <v>1</v>
      </c>
      <c r="G1690" s="853">
        <v>28</v>
      </c>
      <c r="H1690" s="127" t="s">
        <v>1383</v>
      </c>
      <c r="I1690" s="848" t="s">
        <v>1549</v>
      </c>
      <c r="J1690" s="258"/>
    </row>
    <row r="1691" spans="1:10" ht="9.75" customHeight="1" x14ac:dyDescent="0.2">
      <c r="A1691" s="261" t="s">
        <v>1204</v>
      </c>
      <c r="B1691" s="705">
        <v>1367</v>
      </c>
      <c r="C1691" s="127" t="s">
        <v>843</v>
      </c>
      <c r="D1691" s="127" t="s">
        <v>1612</v>
      </c>
      <c r="E1691" s="854">
        <v>1.2174</v>
      </c>
      <c r="F1691" s="706">
        <v>1</v>
      </c>
      <c r="G1691" s="853">
        <v>85</v>
      </c>
      <c r="H1691" s="127" t="s">
        <v>777</v>
      </c>
      <c r="I1691" s="848" t="s">
        <v>1549</v>
      </c>
      <c r="J1691" s="258"/>
    </row>
    <row r="1692" spans="1:10" ht="19.350000000000001" customHeight="1" x14ac:dyDescent="0.2">
      <c r="A1692" s="261" t="s">
        <v>1141</v>
      </c>
      <c r="B1692" s="705">
        <v>2077</v>
      </c>
      <c r="C1692" s="127" t="s">
        <v>405</v>
      </c>
      <c r="D1692" s="127" t="s">
        <v>8</v>
      </c>
      <c r="E1692" s="854">
        <v>5</v>
      </c>
      <c r="F1692" s="706">
        <v>1</v>
      </c>
      <c r="G1692" s="853">
        <v>34</v>
      </c>
      <c r="H1692" s="127" t="s">
        <v>424</v>
      </c>
      <c r="I1692" s="848" t="s">
        <v>1549</v>
      </c>
      <c r="J1692" s="258"/>
    </row>
    <row r="1693" spans="1:10" ht="9.75" customHeight="1" x14ac:dyDescent="0.2">
      <c r="A1693" s="261" t="s">
        <v>1763</v>
      </c>
      <c r="B1693" s="715">
        <v>4693</v>
      </c>
      <c r="C1693" s="127" t="s">
        <v>380</v>
      </c>
      <c r="D1693" s="127" t="s">
        <v>101</v>
      </c>
      <c r="E1693" s="854">
        <v>2.4</v>
      </c>
      <c r="F1693" s="706">
        <v>1</v>
      </c>
      <c r="G1693" s="853">
        <v>28</v>
      </c>
      <c r="H1693" s="127" t="s">
        <v>1383</v>
      </c>
      <c r="I1693" s="848" t="s">
        <v>1549</v>
      </c>
      <c r="J1693" s="258"/>
    </row>
    <row r="1694" spans="1:10" ht="9.75" customHeight="1" x14ac:dyDescent="0.2">
      <c r="A1694" s="261" t="s">
        <v>1209</v>
      </c>
      <c r="B1694" s="705">
        <v>4774</v>
      </c>
      <c r="C1694" s="127" t="s">
        <v>406</v>
      </c>
      <c r="D1694" s="127" t="s">
        <v>8</v>
      </c>
      <c r="E1694" s="855">
        <v>1450.8</v>
      </c>
      <c r="F1694" s="706">
        <v>1</v>
      </c>
      <c r="G1694" s="853">
        <v>85</v>
      </c>
      <c r="H1694" s="127" t="s">
        <v>777</v>
      </c>
      <c r="I1694" s="848" t="s">
        <v>1549</v>
      </c>
      <c r="J1694" s="258"/>
    </row>
    <row r="1695" spans="1:10" ht="9.75" customHeight="1" x14ac:dyDescent="0.2">
      <c r="A1695" s="261" t="s">
        <v>1212</v>
      </c>
      <c r="B1695" s="705">
        <v>5232</v>
      </c>
      <c r="C1695" s="127" t="s">
        <v>887</v>
      </c>
      <c r="D1695" s="127" t="s">
        <v>94</v>
      </c>
      <c r="E1695" s="854">
        <v>5.33</v>
      </c>
      <c r="F1695" s="706">
        <v>1</v>
      </c>
      <c r="G1695" s="853">
        <v>92</v>
      </c>
      <c r="H1695" s="127" t="s">
        <v>109</v>
      </c>
      <c r="I1695" s="848" t="s">
        <v>1549</v>
      </c>
      <c r="J1695" s="258"/>
    </row>
    <row r="1696" spans="1:10" ht="9.75" customHeight="1" x14ac:dyDescent="0.2">
      <c r="A1696" s="261" t="s">
        <v>1764</v>
      </c>
      <c r="B1696" s="715">
        <v>6017</v>
      </c>
      <c r="C1696" s="127" t="s">
        <v>1620</v>
      </c>
      <c r="D1696" s="127" t="s">
        <v>90</v>
      </c>
      <c r="E1696" s="856">
        <v>100.8</v>
      </c>
      <c r="F1696" s="706">
        <v>1</v>
      </c>
      <c r="G1696" s="853">
        <v>31</v>
      </c>
      <c r="H1696" s="127" t="s">
        <v>1385</v>
      </c>
      <c r="I1696" s="848" t="s">
        <v>1549</v>
      </c>
      <c r="J1696" s="258"/>
    </row>
    <row r="1697" spans="1:10" ht="9.75" customHeight="1" x14ac:dyDescent="0.2">
      <c r="A1697" s="261" t="s">
        <v>1765</v>
      </c>
      <c r="B1697" s="715">
        <v>6995</v>
      </c>
      <c r="C1697" s="127" t="s">
        <v>415</v>
      </c>
      <c r="D1697" s="127" t="s">
        <v>8</v>
      </c>
      <c r="E1697" s="856">
        <v>100.2</v>
      </c>
      <c r="F1697" s="706">
        <v>1</v>
      </c>
      <c r="G1697" s="853">
        <v>28</v>
      </c>
      <c r="H1697" s="127" t="s">
        <v>1383</v>
      </c>
      <c r="I1697" s="848" t="s">
        <v>1549</v>
      </c>
      <c r="J1697" s="258"/>
    </row>
    <row r="1698" spans="1:10" ht="9.75" customHeight="1" x14ac:dyDescent="0.2">
      <c r="A1698" s="261" t="s">
        <v>1766</v>
      </c>
      <c r="B1698" s="715">
        <v>7049</v>
      </c>
      <c r="C1698" s="127" t="s">
        <v>416</v>
      </c>
      <c r="D1698" s="127" t="s">
        <v>13</v>
      </c>
      <c r="E1698" s="852">
        <v>19.2</v>
      </c>
      <c r="F1698" s="706">
        <v>1</v>
      </c>
      <c r="G1698" s="853">
        <v>28</v>
      </c>
      <c r="H1698" s="127" t="s">
        <v>1383</v>
      </c>
      <c r="I1698" s="848" t="s">
        <v>1549</v>
      </c>
      <c r="J1698" s="258"/>
    </row>
    <row r="1699" spans="1:10" ht="9.75" customHeight="1" x14ac:dyDescent="0.2">
      <c r="A1699" s="261" t="s">
        <v>1767</v>
      </c>
      <c r="B1699" s="705">
        <v>7276</v>
      </c>
      <c r="C1699" s="127" t="s">
        <v>950</v>
      </c>
      <c r="D1699" s="127" t="s">
        <v>8</v>
      </c>
      <c r="E1699" s="854">
        <v>2</v>
      </c>
      <c r="F1699" s="706">
        <v>1</v>
      </c>
      <c r="G1699" s="853">
        <v>34</v>
      </c>
      <c r="H1699" s="127" t="s">
        <v>424</v>
      </c>
      <c r="I1699" s="848" t="s">
        <v>1549</v>
      </c>
      <c r="J1699" s="258"/>
    </row>
    <row r="1700" spans="1:10" ht="10.9" customHeight="1" x14ac:dyDescent="0.2">
      <c r="A1700" s="261" t="s">
        <v>1768</v>
      </c>
      <c r="B1700" s="715">
        <v>5212</v>
      </c>
      <c r="C1700" s="127" t="s">
        <v>1621</v>
      </c>
      <c r="D1700" s="127" t="s">
        <v>90</v>
      </c>
      <c r="E1700" s="856">
        <v>118.8</v>
      </c>
      <c r="F1700" s="706">
        <v>1</v>
      </c>
      <c r="G1700" s="853">
        <v>28</v>
      </c>
      <c r="H1700" s="127" t="s">
        <v>1383</v>
      </c>
      <c r="I1700" s="848" t="s">
        <v>1549</v>
      </c>
      <c r="J1700" s="258"/>
    </row>
    <row r="1701" spans="1:10" ht="9.75" customHeight="1" x14ac:dyDescent="0.2">
      <c r="A1701" s="261" t="s">
        <v>1769</v>
      </c>
      <c r="B1701" s="713">
        <v>1</v>
      </c>
      <c r="C1701" s="127" t="s">
        <v>188</v>
      </c>
      <c r="D1701" s="127" t="s">
        <v>12</v>
      </c>
      <c r="E1701" s="854">
        <v>6</v>
      </c>
      <c r="F1701" s="706">
        <v>1</v>
      </c>
      <c r="G1701" s="853">
        <v>28</v>
      </c>
      <c r="H1701" s="127" t="s">
        <v>1383</v>
      </c>
      <c r="I1701" s="848" t="s">
        <v>1549</v>
      </c>
      <c r="J1701" s="258"/>
    </row>
    <row r="1702" spans="1:10" ht="9.75" customHeight="1" x14ac:dyDescent="0.2">
      <c r="A1702" s="261" t="s">
        <v>1143</v>
      </c>
      <c r="B1702" s="707">
        <v>651</v>
      </c>
      <c r="C1702" s="127" t="s">
        <v>388</v>
      </c>
      <c r="D1702" s="127" t="s">
        <v>8</v>
      </c>
      <c r="E1702" s="854">
        <v>5</v>
      </c>
      <c r="F1702" s="706">
        <v>1</v>
      </c>
      <c r="G1702" s="853">
        <v>34</v>
      </c>
      <c r="H1702" s="127" t="s">
        <v>424</v>
      </c>
      <c r="I1702" s="848" t="s">
        <v>1549</v>
      </c>
      <c r="J1702" s="258"/>
    </row>
    <row r="1703" spans="1:10" ht="9.75" customHeight="1" x14ac:dyDescent="0.2">
      <c r="A1703" s="261" t="s">
        <v>1770</v>
      </c>
      <c r="B1703" s="715">
        <v>1285</v>
      </c>
      <c r="C1703" s="127" t="s">
        <v>378</v>
      </c>
      <c r="D1703" s="127" t="s">
        <v>15</v>
      </c>
      <c r="E1703" s="856">
        <v>100.8</v>
      </c>
      <c r="F1703" s="706">
        <v>1</v>
      </c>
      <c r="G1703" s="853">
        <v>31</v>
      </c>
      <c r="H1703" s="127" t="s">
        <v>1385</v>
      </c>
      <c r="I1703" s="848" t="s">
        <v>1549</v>
      </c>
      <c r="J1703" s="258"/>
    </row>
    <row r="1704" spans="1:10" ht="9.75" customHeight="1" x14ac:dyDescent="0.2">
      <c r="A1704" s="261" t="s">
        <v>1144</v>
      </c>
      <c r="B1704" s="705">
        <v>1346</v>
      </c>
      <c r="C1704" s="127" t="s">
        <v>400</v>
      </c>
      <c r="D1704" s="127" t="s">
        <v>8</v>
      </c>
      <c r="E1704" s="852">
        <v>45</v>
      </c>
      <c r="F1704" s="706">
        <v>1</v>
      </c>
      <c r="G1704" s="853">
        <v>34</v>
      </c>
      <c r="H1704" s="127" t="s">
        <v>424</v>
      </c>
      <c r="I1704" s="848" t="s">
        <v>1549</v>
      </c>
      <c r="J1704" s="258"/>
    </row>
    <row r="1705" spans="1:10" ht="9.75" customHeight="1" x14ac:dyDescent="0.2">
      <c r="A1705" s="261" t="s">
        <v>1771</v>
      </c>
      <c r="B1705" s="705">
        <v>2083</v>
      </c>
      <c r="C1705" s="127" t="s">
        <v>878</v>
      </c>
      <c r="D1705" s="127" t="s">
        <v>8</v>
      </c>
      <c r="E1705" s="854">
        <v>2</v>
      </c>
      <c r="F1705" s="706">
        <v>1</v>
      </c>
      <c r="G1705" s="853">
        <v>34</v>
      </c>
      <c r="H1705" s="127" t="s">
        <v>424</v>
      </c>
      <c r="I1705" s="848" t="s">
        <v>1549</v>
      </c>
      <c r="J1705" s="258"/>
    </row>
    <row r="1706" spans="1:10" ht="9.75" customHeight="1" x14ac:dyDescent="0.2">
      <c r="A1706" s="261" t="s">
        <v>1772</v>
      </c>
      <c r="B1706" s="715">
        <v>7742</v>
      </c>
      <c r="C1706" s="127" t="s">
        <v>844</v>
      </c>
      <c r="D1706" s="127" t="s">
        <v>90</v>
      </c>
      <c r="E1706" s="856">
        <v>108</v>
      </c>
      <c r="F1706" s="706">
        <v>1</v>
      </c>
      <c r="G1706" s="853">
        <v>28</v>
      </c>
      <c r="H1706" s="127" t="s">
        <v>1383</v>
      </c>
      <c r="I1706" s="848" t="s">
        <v>1549</v>
      </c>
      <c r="J1706" s="258"/>
    </row>
    <row r="1707" spans="1:10" ht="9.75" hidden="1" customHeight="1" x14ac:dyDescent="0.2">
      <c r="A1707" s="261" t="s">
        <v>1773</v>
      </c>
      <c r="B1707" s="715">
        <v>6399</v>
      </c>
      <c r="C1707" s="127" t="s">
        <v>929</v>
      </c>
      <c r="D1707" s="127" t="s">
        <v>90</v>
      </c>
      <c r="E1707" s="856">
        <v>802.41</v>
      </c>
      <c r="F1707" s="706">
        <v>1</v>
      </c>
      <c r="G1707" s="714">
        <v>130</v>
      </c>
      <c r="H1707" s="127" t="s">
        <v>1417</v>
      </c>
      <c r="I1707" s="848" t="s">
        <v>1557</v>
      </c>
      <c r="J1707" s="258"/>
    </row>
    <row r="1708" spans="1:10" ht="9.75" hidden="1" customHeight="1" x14ac:dyDescent="0.2">
      <c r="A1708" s="261" t="s">
        <v>1774</v>
      </c>
      <c r="B1708" s="705">
        <v>6417</v>
      </c>
      <c r="C1708" s="127" t="s">
        <v>932</v>
      </c>
      <c r="D1708" s="127" t="s">
        <v>90</v>
      </c>
      <c r="E1708" s="856">
        <v>114.95399999999999</v>
      </c>
      <c r="F1708" s="706">
        <v>1</v>
      </c>
      <c r="G1708" s="714">
        <v>196</v>
      </c>
      <c r="H1708" s="127" t="s">
        <v>1463</v>
      </c>
      <c r="I1708" s="848" t="s">
        <v>1557</v>
      </c>
      <c r="J1708" s="258"/>
    </row>
    <row r="1709" spans="1:10" ht="9.75" hidden="1" customHeight="1" x14ac:dyDescent="0.2">
      <c r="A1709" s="261" t="s">
        <v>1775</v>
      </c>
      <c r="B1709" s="715">
        <v>8290</v>
      </c>
      <c r="C1709" s="127" t="s">
        <v>1622</v>
      </c>
      <c r="D1709" s="127" t="s">
        <v>90</v>
      </c>
      <c r="E1709" s="856">
        <v>694.24300000000005</v>
      </c>
      <c r="F1709" s="706">
        <v>1</v>
      </c>
      <c r="G1709" s="714">
        <v>237</v>
      </c>
      <c r="H1709" s="127" t="s">
        <v>1483</v>
      </c>
      <c r="I1709" s="848" t="s">
        <v>1557</v>
      </c>
      <c r="J1709" s="258"/>
    </row>
    <row r="1710" spans="1:10" ht="10.9" hidden="1" customHeight="1" x14ac:dyDescent="0.2">
      <c r="A1710" s="261" t="s">
        <v>1776</v>
      </c>
      <c r="B1710" s="705">
        <v>8389</v>
      </c>
      <c r="C1710" s="127" t="s">
        <v>1623</v>
      </c>
      <c r="D1710" s="127" t="s">
        <v>8</v>
      </c>
      <c r="E1710" s="854">
        <v>2</v>
      </c>
      <c r="F1710" s="706">
        <v>1</v>
      </c>
      <c r="G1710" s="714">
        <v>271</v>
      </c>
      <c r="H1710" s="127" t="s">
        <v>1499</v>
      </c>
      <c r="I1710" s="848" t="s">
        <v>1557</v>
      </c>
      <c r="J1710" s="258"/>
    </row>
    <row r="1711" spans="1:10" ht="9.75" hidden="1" customHeight="1" x14ac:dyDescent="0.2">
      <c r="A1711" s="261" t="s">
        <v>1311</v>
      </c>
      <c r="B1711" s="705">
        <v>1554</v>
      </c>
      <c r="C1711" s="127" t="s">
        <v>865</v>
      </c>
      <c r="D1711" s="127" t="s">
        <v>90</v>
      </c>
      <c r="E1711" s="856">
        <v>126.24</v>
      </c>
      <c r="F1711" s="706">
        <v>1</v>
      </c>
      <c r="G1711" s="714">
        <v>356</v>
      </c>
      <c r="H1711" s="127" t="s">
        <v>509</v>
      </c>
      <c r="I1711" s="848" t="s">
        <v>1557</v>
      </c>
      <c r="J1711" s="258"/>
    </row>
    <row r="1712" spans="1:10" ht="9.75" hidden="1" customHeight="1" x14ac:dyDescent="0.2">
      <c r="A1712" s="261" t="s">
        <v>1313</v>
      </c>
      <c r="B1712" s="705">
        <v>1560</v>
      </c>
      <c r="C1712" s="127" t="s">
        <v>866</v>
      </c>
      <c r="D1712" s="127" t="s">
        <v>8</v>
      </c>
      <c r="E1712" s="854">
        <v>3</v>
      </c>
      <c r="F1712" s="706">
        <v>1</v>
      </c>
      <c r="G1712" s="714">
        <v>261</v>
      </c>
      <c r="H1712" s="127" t="s">
        <v>788</v>
      </c>
      <c r="I1712" s="848" t="s">
        <v>1557</v>
      </c>
      <c r="J1712" s="258"/>
    </row>
    <row r="1713" spans="1:10" ht="9.75" hidden="1" customHeight="1" x14ac:dyDescent="0.2">
      <c r="A1713" s="261" t="s">
        <v>1777</v>
      </c>
      <c r="B1713" s="715">
        <v>1912</v>
      </c>
      <c r="C1713" s="127" t="s">
        <v>1624</v>
      </c>
      <c r="D1713" s="127" t="s">
        <v>90</v>
      </c>
      <c r="E1713" s="852">
        <v>22.297000000000001</v>
      </c>
      <c r="F1713" s="706">
        <v>1</v>
      </c>
      <c r="G1713" s="714">
        <v>169</v>
      </c>
      <c r="H1713" s="127" t="s">
        <v>1444</v>
      </c>
      <c r="I1713" s="848" t="s">
        <v>1557</v>
      </c>
      <c r="J1713" s="258"/>
    </row>
    <row r="1714" spans="1:10" ht="9.75" hidden="1" customHeight="1" x14ac:dyDescent="0.2">
      <c r="A1714" s="261" t="s">
        <v>1778</v>
      </c>
      <c r="B1714" s="715">
        <v>1912</v>
      </c>
      <c r="C1714" s="127" t="s">
        <v>1625</v>
      </c>
      <c r="D1714" s="127" t="s">
        <v>90</v>
      </c>
      <c r="E1714" s="856">
        <v>108.31699999999999</v>
      </c>
      <c r="F1714" s="706">
        <v>1</v>
      </c>
      <c r="G1714" s="714">
        <v>252</v>
      </c>
      <c r="H1714" s="127" t="s">
        <v>1490</v>
      </c>
      <c r="I1714" s="848" t="s">
        <v>1557</v>
      </c>
      <c r="J1714" s="258"/>
    </row>
    <row r="1715" spans="1:10" ht="9.75" hidden="1" customHeight="1" x14ac:dyDescent="0.2">
      <c r="A1715" s="261" t="s">
        <v>1093</v>
      </c>
      <c r="B1715" s="705">
        <v>4696</v>
      </c>
      <c r="C1715" s="127" t="s">
        <v>1041</v>
      </c>
      <c r="D1715" s="127" t="s">
        <v>8</v>
      </c>
      <c r="E1715" s="852">
        <v>62</v>
      </c>
      <c r="F1715" s="706">
        <v>1</v>
      </c>
      <c r="G1715" s="714">
        <v>374</v>
      </c>
      <c r="H1715" s="127" t="s">
        <v>422</v>
      </c>
      <c r="I1715" s="848" t="s">
        <v>1557</v>
      </c>
      <c r="J1715" s="258"/>
    </row>
    <row r="1716" spans="1:10" ht="9.75" hidden="1" customHeight="1" x14ac:dyDescent="0.2">
      <c r="A1716" s="261" t="s">
        <v>1779</v>
      </c>
      <c r="B1716" s="715">
        <v>5365</v>
      </c>
      <c r="C1716" s="127" t="s">
        <v>894</v>
      </c>
      <c r="D1716" s="127" t="s">
        <v>8</v>
      </c>
      <c r="E1716" s="855">
        <v>2292.6</v>
      </c>
      <c r="F1716" s="706">
        <v>1</v>
      </c>
      <c r="G1716" s="714">
        <v>130</v>
      </c>
      <c r="H1716" s="127" t="s">
        <v>1417</v>
      </c>
      <c r="I1716" s="848" t="s">
        <v>1557</v>
      </c>
      <c r="J1716" s="258"/>
    </row>
    <row r="1717" spans="1:10" ht="9.75" hidden="1" customHeight="1" x14ac:dyDescent="0.2">
      <c r="A1717" s="261" t="s">
        <v>1300</v>
      </c>
      <c r="B1717" s="715">
        <v>5593</v>
      </c>
      <c r="C1717" s="127" t="s">
        <v>912</v>
      </c>
      <c r="D1717" s="127" t="s">
        <v>15</v>
      </c>
      <c r="E1717" s="852">
        <v>51.33</v>
      </c>
      <c r="F1717" s="706">
        <v>1</v>
      </c>
      <c r="G1717" s="714">
        <v>152</v>
      </c>
      <c r="H1717" s="127" t="s">
        <v>782</v>
      </c>
      <c r="I1717" s="848" t="s">
        <v>1557</v>
      </c>
      <c r="J1717" s="258"/>
    </row>
    <row r="1718" spans="1:10" ht="9.75" hidden="1" customHeight="1" x14ac:dyDescent="0.2">
      <c r="A1718" s="261" t="s">
        <v>1780</v>
      </c>
      <c r="B1718" s="715">
        <v>5595</v>
      </c>
      <c r="C1718" s="127" t="s">
        <v>913</v>
      </c>
      <c r="D1718" s="127" t="s">
        <v>15</v>
      </c>
      <c r="E1718" s="856">
        <v>119.9</v>
      </c>
      <c r="F1718" s="706">
        <v>1</v>
      </c>
      <c r="G1718" s="714">
        <v>205</v>
      </c>
      <c r="H1718" s="127" t="s">
        <v>1472</v>
      </c>
      <c r="I1718" s="848" t="s">
        <v>1557</v>
      </c>
      <c r="J1718" s="258"/>
    </row>
    <row r="1719" spans="1:10" ht="9.75" hidden="1" customHeight="1" x14ac:dyDescent="0.2">
      <c r="A1719" s="261" t="s">
        <v>1781</v>
      </c>
      <c r="B1719" s="715">
        <v>5597</v>
      </c>
      <c r="C1719" s="127" t="s">
        <v>914</v>
      </c>
      <c r="D1719" s="127" t="s">
        <v>8</v>
      </c>
      <c r="E1719" s="852">
        <v>29</v>
      </c>
      <c r="F1719" s="706">
        <v>1</v>
      </c>
      <c r="G1719" s="714">
        <v>315</v>
      </c>
      <c r="H1719" s="127" t="s">
        <v>1514</v>
      </c>
      <c r="I1719" s="848" t="s">
        <v>1557</v>
      </c>
      <c r="J1719" s="258"/>
    </row>
    <row r="1720" spans="1:10" ht="9.75" hidden="1" customHeight="1" x14ac:dyDescent="0.2">
      <c r="A1720" s="261" t="s">
        <v>1322</v>
      </c>
      <c r="B1720" s="705">
        <v>5601</v>
      </c>
      <c r="C1720" s="127" t="s">
        <v>915</v>
      </c>
      <c r="D1720" s="127" t="s">
        <v>8</v>
      </c>
      <c r="E1720" s="854">
        <v>3</v>
      </c>
      <c r="F1720" s="706">
        <v>1</v>
      </c>
      <c r="G1720" s="714">
        <v>360</v>
      </c>
      <c r="H1720" s="127" t="s">
        <v>151</v>
      </c>
      <c r="I1720" s="848" t="s">
        <v>1557</v>
      </c>
      <c r="J1720" s="258"/>
    </row>
    <row r="1721" spans="1:10" ht="9.75" hidden="1" customHeight="1" x14ac:dyDescent="0.2">
      <c r="A1721" s="261" t="s">
        <v>1782</v>
      </c>
      <c r="B1721" s="705">
        <v>5923</v>
      </c>
      <c r="C1721" s="127" t="s">
        <v>920</v>
      </c>
      <c r="D1721" s="127" t="s">
        <v>94</v>
      </c>
      <c r="E1721" s="852">
        <v>54.000999999999998</v>
      </c>
      <c r="F1721" s="706">
        <v>1</v>
      </c>
      <c r="G1721" s="714">
        <v>127</v>
      </c>
      <c r="H1721" s="127" t="s">
        <v>1413</v>
      </c>
      <c r="I1721" s="848" t="s">
        <v>1557</v>
      </c>
      <c r="J1721" s="258"/>
    </row>
    <row r="1722" spans="1:10" ht="9.75" hidden="1" customHeight="1" x14ac:dyDescent="0.2">
      <c r="A1722" s="261" t="s">
        <v>1127</v>
      </c>
      <c r="B1722" s="705">
        <v>5996</v>
      </c>
      <c r="C1722" s="127" t="s">
        <v>921</v>
      </c>
      <c r="D1722" s="127" t="s">
        <v>90</v>
      </c>
      <c r="E1722" s="855">
        <v>3264.4349999999999</v>
      </c>
      <c r="F1722" s="706">
        <v>1</v>
      </c>
      <c r="G1722" s="714">
        <v>280</v>
      </c>
      <c r="H1722" s="127" t="s">
        <v>457</v>
      </c>
      <c r="I1722" s="848" t="s">
        <v>1557</v>
      </c>
      <c r="J1722" s="258"/>
    </row>
    <row r="1723" spans="1:10" ht="9.75" hidden="1" customHeight="1" x14ac:dyDescent="0.2">
      <c r="A1723" s="261" t="s">
        <v>1263</v>
      </c>
      <c r="B1723" s="705">
        <v>6173</v>
      </c>
      <c r="C1723" s="127" t="s">
        <v>927</v>
      </c>
      <c r="D1723" s="127" t="s">
        <v>90</v>
      </c>
      <c r="E1723" s="855">
        <v>3264.4349999999999</v>
      </c>
      <c r="F1723" s="706">
        <v>1</v>
      </c>
      <c r="G1723" s="714">
        <v>284</v>
      </c>
      <c r="H1723" s="127" t="s">
        <v>468</v>
      </c>
      <c r="I1723" s="848" t="s">
        <v>1557</v>
      </c>
      <c r="J1723" s="258"/>
    </row>
    <row r="1724" spans="1:10" ht="9.75" hidden="1" customHeight="1" x14ac:dyDescent="0.2">
      <c r="A1724" s="261" t="s">
        <v>1783</v>
      </c>
      <c r="B1724" s="705">
        <v>6174</v>
      </c>
      <c r="C1724" s="127" t="s">
        <v>1626</v>
      </c>
      <c r="D1724" s="127" t="s">
        <v>8</v>
      </c>
      <c r="E1724" s="854">
        <v>1</v>
      </c>
      <c r="F1724" s="706">
        <v>1</v>
      </c>
      <c r="G1724" s="714">
        <v>291</v>
      </c>
      <c r="H1724" s="127" t="s">
        <v>1503</v>
      </c>
      <c r="I1724" s="848" t="s">
        <v>1557</v>
      </c>
      <c r="J1724" s="258"/>
    </row>
    <row r="1725" spans="1:10" ht="9.75" hidden="1" customHeight="1" x14ac:dyDescent="0.2">
      <c r="A1725" s="261" t="s">
        <v>1784</v>
      </c>
      <c r="B1725" s="715">
        <v>6403</v>
      </c>
      <c r="C1725" s="127" t="s">
        <v>930</v>
      </c>
      <c r="D1725" s="127" t="s">
        <v>8</v>
      </c>
      <c r="E1725" s="857">
        <v>10971.31</v>
      </c>
      <c r="F1725" s="706">
        <v>1</v>
      </c>
      <c r="G1725" s="714">
        <v>190</v>
      </c>
      <c r="H1725" s="127" t="s">
        <v>1457</v>
      </c>
      <c r="I1725" s="848" t="s">
        <v>1557</v>
      </c>
      <c r="J1725" s="258"/>
    </row>
    <row r="1726" spans="1:10" ht="9.75" hidden="1" customHeight="1" x14ac:dyDescent="0.2">
      <c r="A1726" s="261" t="s">
        <v>1785</v>
      </c>
      <c r="B1726" s="705">
        <v>6425</v>
      </c>
      <c r="C1726" s="127" t="s">
        <v>1627</v>
      </c>
      <c r="D1726" s="127" t="s">
        <v>8</v>
      </c>
      <c r="E1726" s="852">
        <v>11</v>
      </c>
      <c r="F1726" s="706">
        <v>1</v>
      </c>
      <c r="G1726" s="714">
        <v>277</v>
      </c>
      <c r="H1726" s="127" t="s">
        <v>1501</v>
      </c>
      <c r="I1726" s="848" t="s">
        <v>1557</v>
      </c>
      <c r="J1726" s="258"/>
    </row>
    <row r="1727" spans="1:10" ht="9.75" hidden="1" customHeight="1" x14ac:dyDescent="0.2">
      <c r="A1727" s="261" t="s">
        <v>1129</v>
      </c>
      <c r="B1727" s="705">
        <v>6427</v>
      </c>
      <c r="C1727" s="127" t="s">
        <v>933</v>
      </c>
      <c r="D1727" s="127" t="s">
        <v>10</v>
      </c>
      <c r="E1727" s="852">
        <v>28</v>
      </c>
      <c r="F1727" s="706">
        <v>1</v>
      </c>
      <c r="G1727" s="714">
        <v>280</v>
      </c>
      <c r="H1727" s="127" t="s">
        <v>457</v>
      </c>
      <c r="I1727" s="848" t="s">
        <v>1557</v>
      </c>
      <c r="J1727" s="258"/>
    </row>
    <row r="1728" spans="1:10" ht="9.75" hidden="1" customHeight="1" x14ac:dyDescent="0.2">
      <c r="A1728" s="261" t="s">
        <v>1248</v>
      </c>
      <c r="B1728" s="705">
        <v>6427</v>
      </c>
      <c r="C1728" s="127" t="s">
        <v>934</v>
      </c>
      <c r="D1728" s="127" t="s">
        <v>10</v>
      </c>
      <c r="E1728" s="852">
        <v>25</v>
      </c>
      <c r="F1728" s="706">
        <v>1</v>
      </c>
      <c r="G1728" s="714">
        <v>281</v>
      </c>
      <c r="H1728" s="127" t="s">
        <v>470</v>
      </c>
      <c r="I1728" s="848" t="s">
        <v>1557</v>
      </c>
      <c r="J1728" s="258"/>
    </row>
    <row r="1729" spans="1:10" ht="9.75" hidden="1" customHeight="1" x14ac:dyDescent="0.2">
      <c r="A1729" s="261" t="s">
        <v>1256</v>
      </c>
      <c r="B1729" s="705">
        <v>6490</v>
      </c>
      <c r="C1729" s="127" t="s">
        <v>413</v>
      </c>
      <c r="D1729" s="127" t="s">
        <v>8</v>
      </c>
      <c r="E1729" s="852">
        <v>22</v>
      </c>
      <c r="F1729" s="706">
        <v>1</v>
      </c>
      <c r="G1729" s="714">
        <v>289</v>
      </c>
      <c r="H1729" s="127" t="s">
        <v>413</v>
      </c>
      <c r="I1729" s="848" t="s">
        <v>1557</v>
      </c>
      <c r="J1729" s="258"/>
    </row>
    <row r="1730" spans="1:10" ht="10.9" hidden="1" customHeight="1" x14ac:dyDescent="0.2">
      <c r="A1730" s="261" t="s">
        <v>1288</v>
      </c>
      <c r="B1730" s="715">
        <v>7089</v>
      </c>
      <c r="C1730" s="127" t="s">
        <v>944</v>
      </c>
      <c r="D1730" s="127" t="s">
        <v>90</v>
      </c>
      <c r="E1730" s="854">
        <v>5.7119999999999997</v>
      </c>
      <c r="F1730" s="706">
        <v>1</v>
      </c>
      <c r="G1730" s="714">
        <v>150</v>
      </c>
      <c r="H1730" s="127" t="s">
        <v>783</v>
      </c>
      <c r="I1730" s="848" t="s">
        <v>1557</v>
      </c>
      <c r="J1730" s="258"/>
    </row>
    <row r="1731" spans="1:10" ht="9.75" hidden="1" customHeight="1" x14ac:dyDescent="0.2">
      <c r="A1731" s="261" t="s">
        <v>1786</v>
      </c>
      <c r="B1731" s="715">
        <v>7089</v>
      </c>
      <c r="C1731" s="127" t="s">
        <v>945</v>
      </c>
      <c r="D1731" s="127" t="s">
        <v>90</v>
      </c>
      <c r="E1731" s="852">
        <v>10.978</v>
      </c>
      <c r="F1731" s="706">
        <v>1</v>
      </c>
      <c r="G1731" s="714">
        <v>151</v>
      </c>
      <c r="H1731" s="127" t="s">
        <v>1437</v>
      </c>
      <c r="I1731" s="848" t="s">
        <v>1557</v>
      </c>
      <c r="J1731" s="258"/>
    </row>
    <row r="1732" spans="1:10" ht="9.75" hidden="1" customHeight="1" x14ac:dyDescent="0.2">
      <c r="A1732" s="261" t="s">
        <v>1787</v>
      </c>
      <c r="B1732" s="705">
        <v>7092</v>
      </c>
      <c r="C1732" s="127" t="s">
        <v>1628</v>
      </c>
      <c r="D1732" s="127" t="s">
        <v>90</v>
      </c>
      <c r="E1732" s="855">
        <v>3235</v>
      </c>
      <c r="F1732" s="706">
        <v>1</v>
      </c>
      <c r="G1732" s="714">
        <v>117</v>
      </c>
      <c r="H1732" s="127" t="s">
        <v>1411</v>
      </c>
      <c r="I1732" s="848" t="s">
        <v>1557</v>
      </c>
      <c r="J1732" s="258"/>
    </row>
    <row r="1733" spans="1:10" ht="9.75" hidden="1" customHeight="1" x14ac:dyDescent="0.2">
      <c r="A1733" s="261" t="s">
        <v>1788</v>
      </c>
      <c r="B1733" s="705">
        <v>7184</v>
      </c>
      <c r="C1733" s="127" t="s">
        <v>1629</v>
      </c>
      <c r="D1733" s="127" t="s">
        <v>7</v>
      </c>
      <c r="E1733" s="854">
        <v>1</v>
      </c>
      <c r="F1733" s="706">
        <v>1</v>
      </c>
      <c r="G1733" s="714">
        <v>256</v>
      </c>
      <c r="H1733" s="127" t="s">
        <v>1491</v>
      </c>
      <c r="I1733" s="848" t="s">
        <v>1557</v>
      </c>
      <c r="J1733" s="258"/>
    </row>
    <row r="1734" spans="1:10" s="120" customFormat="1" ht="9.75" hidden="1" customHeight="1" x14ac:dyDescent="0.2">
      <c r="A1734" s="261" t="s">
        <v>1789</v>
      </c>
      <c r="B1734" s="705">
        <v>7187</v>
      </c>
      <c r="C1734" s="127" t="s">
        <v>1630</v>
      </c>
      <c r="D1734" s="127" t="s">
        <v>7</v>
      </c>
      <c r="E1734" s="854">
        <v>1</v>
      </c>
      <c r="F1734" s="706">
        <v>1</v>
      </c>
      <c r="G1734" s="714">
        <v>293</v>
      </c>
      <c r="H1734" s="127" t="s">
        <v>1505</v>
      </c>
      <c r="I1734" s="848" t="s">
        <v>1557</v>
      </c>
      <c r="J1734" s="258"/>
    </row>
    <row r="1735" spans="1:10" ht="9.75" hidden="1" customHeight="1" x14ac:dyDescent="0.2">
      <c r="A1735" s="261" t="s">
        <v>1790</v>
      </c>
      <c r="B1735" s="705">
        <v>7230</v>
      </c>
      <c r="C1735" s="127" t="s">
        <v>947</v>
      </c>
      <c r="D1735" s="127" t="s">
        <v>7</v>
      </c>
      <c r="E1735" s="854">
        <v>1</v>
      </c>
      <c r="F1735" s="706">
        <v>1</v>
      </c>
      <c r="G1735" s="714">
        <v>364</v>
      </c>
      <c r="H1735" s="127" t="s">
        <v>1536</v>
      </c>
      <c r="I1735" s="848" t="s">
        <v>1557</v>
      </c>
      <c r="J1735" s="258"/>
    </row>
    <row r="1736" spans="1:10" ht="9.75" hidden="1" customHeight="1" x14ac:dyDescent="0.2">
      <c r="A1736" s="261" t="s">
        <v>1338</v>
      </c>
      <c r="B1736" s="705">
        <v>7231</v>
      </c>
      <c r="C1736" s="127" t="s">
        <v>948</v>
      </c>
      <c r="D1736" s="127" t="s">
        <v>7</v>
      </c>
      <c r="E1736" s="854">
        <v>1</v>
      </c>
      <c r="F1736" s="706">
        <v>1</v>
      </c>
      <c r="G1736" s="714">
        <v>290</v>
      </c>
      <c r="H1736" s="127" t="s">
        <v>791</v>
      </c>
      <c r="I1736" s="848" t="s">
        <v>1557</v>
      </c>
      <c r="J1736" s="258"/>
    </row>
    <row r="1737" spans="1:10" ht="9.75" hidden="1" customHeight="1" x14ac:dyDescent="0.2">
      <c r="A1737" s="261" t="s">
        <v>1315</v>
      </c>
      <c r="B1737" s="705">
        <v>7261</v>
      </c>
      <c r="C1737" s="127" t="s">
        <v>949</v>
      </c>
      <c r="D1737" s="127" t="s">
        <v>8</v>
      </c>
      <c r="E1737" s="854">
        <v>2</v>
      </c>
      <c r="F1737" s="706">
        <v>1</v>
      </c>
      <c r="G1737" s="714">
        <v>324</v>
      </c>
      <c r="H1737" s="127" t="s">
        <v>507</v>
      </c>
      <c r="I1737" s="848" t="s">
        <v>1557</v>
      </c>
      <c r="J1737" s="258"/>
    </row>
    <row r="1738" spans="1:10" ht="19.350000000000001" hidden="1" customHeight="1" x14ac:dyDescent="0.2">
      <c r="A1738" s="261" t="s">
        <v>1791</v>
      </c>
      <c r="B1738" s="705">
        <v>7262</v>
      </c>
      <c r="C1738" s="127" t="s">
        <v>1537</v>
      </c>
      <c r="D1738" s="127" t="s">
        <v>7</v>
      </c>
      <c r="E1738" s="854">
        <v>1</v>
      </c>
      <c r="F1738" s="706">
        <v>1</v>
      </c>
      <c r="G1738" s="714">
        <v>367</v>
      </c>
      <c r="H1738" s="127" t="s">
        <v>1537</v>
      </c>
      <c r="I1738" s="848" t="s">
        <v>1557</v>
      </c>
      <c r="J1738" s="258"/>
    </row>
    <row r="1739" spans="1:10" ht="9.75" hidden="1" customHeight="1" x14ac:dyDescent="0.2">
      <c r="A1739" s="261" t="s">
        <v>1307</v>
      </c>
      <c r="B1739" s="705">
        <v>7302</v>
      </c>
      <c r="C1739" s="127" t="s">
        <v>420</v>
      </c>
      <c r="D1739" s="127" t="s">
        <v>7</v>
      </c>
      <c r="E1739" s="854">
        <v>1</v>
      </c>
      <c r="F1739" s="706">
        <v>1</v>
      </c>
      <c r="G1739" s="714">
        <v>357</v>
      </c>
      <c r="H1739" s="127" t="s">
        <v>420</v>
      </c>
      <c r="I1739" s="848" t="s">
        <v>1557</v>
      </c>
      <c r="J1739" s="258"/>
    </row>
    <row r="1740" spans="1:10" ht="9.75" hidden="1" customHeight="1" x14ac:dyDescent="0.2">
      <c r="A1740" s="261" t="s">
        <v>1792</v>
      </c>
      <c r="B1740" s="715">
        <v>7304</v>
      </c>
      <c r="C1740" s="127" t="s">
        <v>952</v>
      </c>
      <c r="D1740" s="127" t="s">
        <v>193</v>
      </c>
      <c r="E1740" s="854">
        <v>0.95599999999999996</v>
      </c>
      <c r="F1740" s="706">
        <v>1</v>
      </c>
      <c r="G1740" s="714">
        <v>172</v>
      </c>
      <c r="H1740" s="127" t="s">
        <v>1447</v>
      </c>
      <c r="I1740" s="848" t="s">
        <v>1557</v>
      </c>
      <c r="J1740" s="258"/>
    </row>
    <row r="1741" spans="1:10" ht="9.75" hidden="1" customHeight="1" x14ac:dyDescent="0.2">
      <c r="A1741" s="261" t="s">
        <v>1793</v>
      </c>
      <c r="B1741" s="705">
        <v>7374</v>
      </c>
      <c r="C1741" s="127" t="s">
        <v>1631</v>
      </c>
      <c r="D1741" s="127" t="s">
        <v>90</v>
      </c>
      <c r="E1741" s="854">
        <v>1</v>
      </c>
      <c r="F1741" s="706">
        <v>1</v>
      </c>
      <c r="G1741" s="714">
        <v>368</v>
      </c>
      <c r="H1741" s="127" t="s">
        <v>1538</v>
      </c>
      <c r="I1741" s="848" t="s">
        <v>1557</v>
      </c>
      <c r="J1741" s="258"/>
    </row>
    <row r="1742" spans="1:10" ht="9.75" hidden="1" customHeight="1" x14ac:dyDescent="0.2">
      <c r="A1742" s="261" t="s">
        <v>1249</v>
      </c>
      <c r="B1742" s="705">
        <v>7745</v>
      </c>
      <c r="C1742" s="127" t="s">
        <v>976</v>
      </c>
      <c r="D1742" s="127" t="s">
        <v>8</v>
      </c>
      <c r="E1742" s="852">
        <v>22</v>
      </c>
      <c r="F1742" s="706">
        <v>1</v>
      </c>
      <c r="G1742" s="714">
        <v>283</v>
      </c>
      <c r="H1742" s="127" t="s">
        <v>789</v>
      </c>
      <c r="I1742" s="848" t="s">
        <v>1557</v>
      </c>
      <c r="J1742" s="258"/>
    </row>
    <row r="1743" spans="1:10" ht="9.75" hidden="1" customHeight="1" x14ac:dyDescent="0.2">
      <c r="A1743" s="261" t="s">
        <v>1794</v>
      </c>
      <c r="B1743" s="705">
        <v>7745</v>
      </c>
      <c r="C1743" s="127" t="s">
        <v>977</v>
      </c>
      <c r="D1743" s="127" t="s">
        <v>8</v>
      </c>
      <c r="E1743" s="852">
        <v>14</v>
      </c>
      <c r="F1743" s="706">
        <v>1</v>
      </c>
      <c r="G1743" s="714">
        <v>262</v>
      </c>
      <c r="H1743" s="127" t="s">
        <v>1492</v>
      </c>
      <c r="I1743" s="848" t="s">
        <v>1557</v>
      </c>
      <c r="J1743" s="258"/>
    </row>
    <row r="1744" spans="1:10" ht="9.75" hidden="1" customHeight="1" x14ac:dyDescent="0.2">
      <c r="A1744" s="261" t="s">
        <v>1795</v>
      </c>
      <c r="B1744" s="715">
        <v>7745</v>
      </c>
      <c r="C1744" s="127" t="s">
        <v>978</v>
      </c>
      <c r="D1744" s="127" t="s">
        <v>8</v>
      </c>
      <c r="E1744" s="852">
        <v>26</v>
      </c>
      <c r="F1744" s="706">
        <v>1</v>
      </c>
      <c r="G1744" s="714">
        <v>268</v>
      </c>
      <c r="H1744" s="127" t="s">
        <v>1496</v>
      </c>
      <c r="I1744" s="848" t="s">
        <v>1557</v>
      </c>
      <c r="J1744" s="258"/>
    </row>
    <row r="1745" spans="1:10" ht="9.75" hidden="1" customHeight="1" x14ac:dyDescent="0.2">
      <c r="A1745" s="261" t="s">
        <v>1796</v>
      </c>
      <c r="B1745" s="715">
        <v>7745</v>
      </c>
      <c r="C1745" s="127" t="s">
        <v>979</v>
      </c>
      <c r="D1745" s="127" t="s">
        <v>8</v>
      </c>
      <c r="E1745" s="854">
        <v>2</v>
      </c>
      <c r="F1745" s="706">
        <v>1</v>
      </c>
      <c r="G1745" s="714">
        <v>271</v>
      </c>
      <c r="H1745" s="127" t="s">
        <v>1499</v>
      </c>
      <c r="I1745" s="848" t="s">
        <v>1557</v>
      </c>
      <c r="J1745" s="258"/>
    </row>
    <row r="1746" spans="1:10" ht="9.75" hidden="1" customHeight="1" x14ac:dyDescent="0.2">
      <c r="A1746" s="261" t="s">
        <v>1277</v>
      </c>
      <c r="B1746" s="705">
        <v>7745</v>
      </c>
      <c r="C1746" s="127" t="s">
        <v>980</v>
      </c>
      <c r="D1746" s="127" t="s">
        <v>8</v>
      </c>
      <c r="E1746" s="856">
        <v>147</v>
      </c>
      <c r="F1746" s="706">
        <v>1</v>
      </c>
      <c r="G1746" s="714">
        <v>299</v>
      </c>
      <c r="H1746" s="127" t="s">
        <v>417</v>
      </c>
      <c r="I1746" s="848" t="s">
        <v>1557</v>
      </c>
      <c r="J1746" s="258"/>
    </row>
    <row r="1747" spans="1:10" ht="9.75" hidden="1" customHeight="1" x14ac:dyDescent="0.2">
      <c r="A1747" s="261" t="s">
        <v>1797</v>
      </c>
      <c r="B1747" s="705">
        <v>7749</v>
      </c>
      <c r="C1747" s="127" t="s">
        <v>1632</v>
      </c>
      <c r="D1747" s="127" t="s">
        <v>8</v>
      </c>
      <c r="E1747" s="852">
        <v>11.75</v>
      </c>
      <c r="F1747" s="706">
        <v>1</v>
      </c>
      <c r="G1747" s="714">
        <v>370</v>
      </c>
      <c r="H1747" s="127" t="s">
        <v>1539</v>
      </c>
      <c r="I1747" s="848" t="s">
        <v>1557</v>
      </c>
      <c r="J1747" s="258"/>
    </row>
    <row r="1748" spans="1:10" ht="9.75" hidden="1" customHeight="1" x14ac:dyDescent="0.2">
      <c r="A1748" s="261" t="s">
        <v>1798</v>
      </c>
      <c r="B1748" s="705">
        <v>7761</v>
      </c>
      <c r="C1748" s="127" t="s">
        <v>1633</v>
      </c>
      <c r="D1748" s="127" t="s">
        <v>15</v>
      </c>
      <c r="E1748" s="856">
        <v>216.2</v>
      </c>
      <c r="F1748" s="706">
        <v>1</v>
      </c>
      <c r="G1748" s="714">
        <v>219</v>
      </c>
      <c r="H1748" s="127" t="s">
        <v>1477</v>
      </c>
      <c r="I1748" s="848" t="s">
        <v>1557</v>
      </c>
      <c r="J1748" s="258"/>
    </row>
    <row r="1749" spans="1:10" s="389" customFormat="1" ht="9.75" hidden="1" customHeight="1" x14ac:dyDescent="0.2">
      <c r="A1749" s="261" t="s">
        <v>1799</v>
      </c>
      <c r="B1749" s="705">
        <v>7761</v>
      </c>
      <c r="C1749" s="127" t="s">
        <v>993</v>
      </c>
      <c r="D1749" s="127" t="s">
        <v>15</v>
      </c>
      <c r="E1749" s="856">
        <v>796.26</v>
      </c>
      <c r="F1749" s="706">
        <v>1</v>
      </c>
      <c r="G1749" s="714">
        <v>142</v>
      </c>
      <c r="H1749" s="127" t="s">
        <v>1431</v>
      </c>
      <c r="I1749" s="848" t="s">
        <v>1557</v>
      </c>
      <c r="J1749" s="691"/>
    </row>
    <row r="1750" spans="1:10" s="389" customFormat="1" ht="9.75" hidden="1" customHeight="1" x14ac:dyDescent="0.2">
      <c r="A1750" s="261" t="s">
        <v>1800</v>
      </c>
      <c r="B1750" s="705">
        <v>7761</v>
      </c>
      <c r="C1750" s="127" t="s">
        <v>994</v>
      </c>
      <c r="D1750" s="127" t="s">
        <v>15</v>
      </c>
      <c r="E1750" s="856">
        <v>172.76</v>
      </c>
      <c r="F1750" s="706">
        <v>1</v>
      </c>
      <c r="G1750" s="714">
        <v>156</v>
      </c>
      <c r="H1750" s="127" t="s">
        <v>1439</v>
      </c>
      <c r="I1750" s="848" t="s">
        <v>1557</v>
      </c>
      <c r="J1750" s="691"/>
    </row>
    <row r="1751" spans="1:10" s="389" customFormat="1" ht="9.75" hidden="1" customHeight="1" x14ac:dyDescent="0.2">
      <c r="A1751" s="261" t="s">
        <v>1801</v>
      </c>
      <c r="B1751" s="715">
        <v>7761</v>
      </c>
      <c r="C1751" s="127" t="s">
        <v>995</v>
      </c>
      <c r="D1751" s="127" t="s">
        <v>15</v>
      </c>
      <c r="E1751" s="856">
        <v>165.55</v>
      </c>
      <c r="F1751" s="706">
        <v>1</v>
      </c>
      <c r="G1751" s="714">
        <v>160</v>
      </c>
      <c r="H1751" s="127" t="s">
        <v>1442</v>
      </c>
      <c r="I1751" s="848" t="s">
        <v>1557</v>
      </c>
      <c r="J1751" s="691"/>
    </row>
    <row r="1752" spans="1:10" s="389" customFormat="1" ht="9.75" hidden="1" customHeight="1" x14ac:dyDescent="0.2">
      <c r="A1752" s="261" t="s">
        <v>1278</v>
      </c>
      <c r="B1752" s="715">
        <v>7761</v>
      </c>
      <c r="C1752" s="127" t="s">
        <v>996</v>
      </c>
      <c r="D1752" s="127" t="s">
        <v>15</v>
      </c>
      <c r="E1752" s="856">
        <v>454.59</v>
      </c>
      <c r="F1752" s="706">
        <v>1</v>
      </c>
      <c r="G1752" s="714">
        <v>162</v>
      </c>
      <c r="H1752" s="127" t="s">
        <v>485</v>
      </c>
      <c r="I1752" s="848" t="s">
        <v>1557</v>
      </c>
      <c r="J1752" s="691"/>
    </row>
    <row r="1753" spans="1:10" s="389" customFormat="1" ht="9.75" hidden="1" customHeight="1" x14ac:dyDescent="0.2">
      <c r="A1753" s="261" t="s">
        <v>1802</v>
      </c>
      <c r="B1753" s="715">
        <v>7761</v>
      </c>
      <c r="C1753" s="127" t="s">
        <v>983</v>
      </c>
      <c r="D1753" s="127" t="s">
        <v>15</v>
      </c>
      <c r="E1753" s="856">
        <v>191.4</v>
      </c>
      <c r="F1753" s="706">
        <v>1</v>
      </c>
      <c r="G1753" s="714">
        <v>181</v>
      </c>
      <c r="H1753" s="127" t="s">
        <v>1452</v>
      </c>
      <c r="I1753" s="848" t="s">
        <v>1557</v>
      </c>
      <c r="J1753" s="691"/>
    </row>
    <row r="1754" spans="1:10" s="389" customFormat="1" ht="9.75" hidden="1" customHeight="1" x14ac:dyDescent="0.2">
      <c r="A1754" s="261" t="s">
        <v>1803</v>
      </c>
      <c r="B1754" s="705">
        <v>7761</v>
      </c>
      <c r="C1754" s="127" t="s">
        <v>984</v>
      </c>
      <c r="D1754" s="127" t="s">
        <v>15</v>
      </c>
      <c r="E1754" s="856">
        <v>273.7</v>
      </c>
      <c r="F1754" s="706">
        <v>1</v>
      </c>
      <c r="G1754" s="714">
        <v>196</v>
      </c>
      <c r="H1754" s="127" t="s">
        <v>1463</v>
      </c>
      <c r="I1754" s="848" t="s">
        <v>1557</v>
      </c>
      <c r="J1754" s="691"/>
    </row>
    <row r="1755" spans="1:10" s="389" customFormat="1" ht="9.75" hidden="1" customHeight="1" x14ac:dyDescent="0.2">
      <c r="A1755" s="261" t="s">
        <v>1804</v>
      </c>
      <c r="B1755" s="705">
        <v>7761</v>
      </c>
      <c r="C1755" s="127" t="s">
        <v>1634</v>
      </c>
      <c r="D1755" s="127" t="s">
        <v>15</v>
      </c>
      <c r="E1755" s="852">
        <v>93.95</v>
      </c>
      <c r="F1755" s="706">
        <v>1</v>
      </c>
      <c r="G1755" s="714">
        <v>251</v>
      </c>
      <c r="H1755" s="127" t="s">
        <v>1489</v>
      </c>
      <c r="I1755" s="848" t="s">
        <v>1557</v>
      </c>
      <c r="J1755" s="691"/>
    </row>
    <row r="1756" spans="1:10" s="389" customFormat="1" ht="9.75" hidden="1" customHeight="1" x14ac:dyDescent="0.2">
      <c r="A1756" s="261" t="s">
        <v>1805</v>
      </c>
      <c r="B1756" s="715">
        <v>7761</v>
      </c>
      <c r="C1756" s="127" t="s">
        <v>985</v>
      </c>
      <c r="D1756" s="127" t="s">
        <v>15</v>
      </c>
      <c r="E1756" s="856">
        <v>119.9</v>
      </c>
      <c r="F1756" s="706">
        <v>1</v>
      </c>
      <c r="G1756" s="714">
        <v>205</v>
      </c>
      <c r="H1756" s="127" t="s">
        <v>1472</v>
      </c>
      <c r="I1756" s="848" t="s">
        <v>1557</v>
      </c>
      <c r="J1756" s="691"/>
    </row>
    <row r="1757" spans="1:10" s="389" customFormat="1" ht="9.75" hidden="1" customHeight="1" x14ac:dyDescent="0.2">
      <c r="A1757" s="261" t="s">
        <v>1279</v>
      </c>
      <c r="B1757" s="705">
        <v>7761</v>
      </c>
      <c r="C1757" s="127" t="s">
        <v>986</v>
      </c>
      <c r="D1757" s="127" t="s">
        <v>15</v>
      </c>
      <c r="E1757" s="855">
        <v>2861.7</v>
      </c>
      <c r="F1757" s="706">
        <v>1</v>
      </c>
      <c r="G1757" s="714">
        <v>216</v>
      </c>
      <c r="H1757" s="127" t="s">
        <v>489</v>
      </c>
      <c r="I1757" s="848" t="s">
        <v>1557</v>
      </c>
      <c r="J1757" s="691"/>
    </row>
    <row r="1758" spans="1:10" s="389" customFormat="1" ht="9.75" hidden="1" customHeight="1" x14ac:dyDescent="0.2">
      <c r="A1758" s="261" t="s">
        <v>1806</v>
      </c>
      <c r="B1758" s="715">
        <v>7761</v>
      </c>
      <c r="C1758" s="127" t="s">
        <v>987</v>
      </c>
      <c r="D1758" s="127" t="s">
        <v>15</v>
      </c>
      <c r="E1758" s="852">
        <v>97.16</v>
      </c>
      <c r="F1758" s="706">
        <v>1</v>
      </c>
      <c r="G1758" s="714">
        <v>227</v>
      </c>
      <c r="H1758" s="127" t="s">
        <v>1479</v>
      </c>
      <c r="I1758" s="848" t="s">
        <v>1557</v>
      </c>
      <c r="J1758" s="691"/>
    </row>
    <row r="1759" spans="1:10" s="389" customFormat="1" ht="9.75" hidden="1" customHeight="1" x14ac:dyDescent="0.2">
      <c r="A1759" s="261" t="s">
        <v>1807</v>
      </c>
      <c r="B1759" s="705">
        <v>7761</v>
      </c>
      <c r="C1759" s="127" t="s">
        <v>988</v>
      </c>
      <c r="D1759" s="127" t="s">
        <v>15</v>
      </c>
      <c r="E1759" s="856">
        <v>532.99</v>
      </c>
      <c r="F1759" s="706">
        <v>1</v>
      </c>
      <c r="G1759" s="714">
        <v>242</v>
      </c>
      <c r="H1759" s="127" t="s">
        <v>1487</v>
      </c>
      <c r="I1759" s="848" t="s">
        <v>1557</v>
      </c>
      <c r="J1759" s="691"/>
    </row>
    <row r="1760" spans="1:10" s="389" customFormat="1" ht="9.75" hidden="1" customHeight="1" x14ac:dyDescent="0.2">
      <c r="A1760" s="261" t="s">
        <v>1808</v>
      </c>
      <c r="B1760" s="705">
        <v>7761</v>
      </c>
      <c r="C1760" s="127" t="s">
        <v>989</v>
      </c>
      <c r="D1760" s="127" t="s">
        <v>15</v>
      </c>
      <c r="E1760" s="852">
        <v>18.36</v>
      </c>
      <c r="F1760" s="706">
        <v>1</v>
      </c>
      <c r="G1760" s="714">
        <v>346</v>
      </c>
      <c r="H1760" s="127" t="s">
        <v>1528</v>
      </c>
      <c r="I1760" s="848" t="s">
        <v>1557</v>
      </c>
      <c r="J1760" s="691"/>
    </row>
    <row r="1761" spans="1:10" s="389" customFormat="1" ht="9.75" hidden="1" customHeight="1" x14ac:dyDescent="0.2">
      <c r="A1761" s="261" t="s">
        <v>1257</v>
      </c>
      <c r="B1761" s="705">
        <v>7761</v>
      </c>
      <c r="C1761" s="127" t="s">
        <v>990</v>
      </c>
      <c r="D1761" s="127" t="s">
        <v>15</v>
      </c>
      <c r="E1761" s="856">
        <v>218.7</v>
      </c>
      <c r="F1761" s="706">
        <v>1</v>
      </c>
      <c r="G1761" s="714">
        <v>353</v>
      </c>
      <c r="H1761" s="127" t="s">
        <v>494</v>
      </c>
      <c r="I1761" s="848" t="s">
        <v>1557</v>
      </c>
      <c r="J1761" s="691"/>
    </row>
    <row r="1762" spans="1:10" s="389" customFormat="1" ht="9.75" hidden="1" customHeight="1" x14ac:dyDescent="0.2">
      <c r="A1762" s="261" t="s">
        <v>1258</v>
      </c>
      <c r="B1762" s="705">
        <v>7761</v>
      </c>
      <c r="C1762" s="127" t="s">
        <v>991</v>
      </c>
      <c r="D1762" s="127" t="s">
        <v>15</v>
      </c>
      <c r="E1762" s="856">
        <v>473.7</v>
      </c>
      <c r="F1762" s="706">
        <v>1</v>
      </c>
      <c r="G1762" s="714">
        <v>353</v>
      </c>
      <c r="H1762" s="127" t="s">
        <v>494</v>
      </c>
      <c r="I1762" s="848" t="s">
        <v>1557</v>
      </c>
      <c r="J1762" s="691"/>
    </row>
    <row r="1763" spans="1:10" s="389" customFormat="1" ht="9.75" hidden="1" customHeight="1" x14ac:dyDescent="0.2">
      <c r="A1763" s="261" t="s">
        <v>1259</v>
      </c>
      <c r="B1763" s="705">
        <v>7761</v>
      </c>
      <c r="C1763" s="127" t="s">
        <v>992</v>
      </c>
      <c r="D1763" s="127" t="s">
        <v>15</v>
      </c>
      <c r="E1763" s="856">
        <v>280.14999999999998</v>
      </c>
      <c r="F1763" s="706">
        <v>1</v>
      </c>
      <c r="G1763" s="714">
        <v>353</v>
      </c>
      <c r="H1763" s="127" t="s">
        <v>494</v>
      </c>
      <c r="I1763" s="848" t="s">
        <v>1557</v>
      </c>
      <c r="J1763" s="691"/>
    </row>
    <row r="1764" spans="1:10" s="389" customFormat="1" ht="9.75" hidden="1" customHeight="1" x14ac:dyDescent="0.2">
      <c r="A1764" s="261" t="s">
        <v>1809</v>
      </c>
      <c r="B1764" s="705">
        <v>7761</v>
      </c>
      <c r="C1764" s="127" t="s">
        <v>1635</v>
      </c>
      <c r="D1764" s="127" t="s">
        <v>15</v>
      </c>
      <c r="E1764" s="856">
        <v>378.58</v>
      </c>
      <c r="F1764" s="706">
        <v>1</v>
      </c>
      <c r="G1764" s="714">
        <v>353</v>
      </c>
      <c r="H1764" s="127" t="s">
        <v>494</v>
      </c>
      <c r="I1764" s="848" t="s">
        <v>1557</v>
      </c>
      <c r="J1764" s="691"/>
    </row>
    <row r="1765" spans="1:10" s="389" customFormat="1" ht="9.75" hidden="1" customHeight="1" x14ac:dyDescent="0.2">
      <c r="A1765" s="261" t="s">
        <v>1810</v>
      </c>
      <c r="B1765" s="705">
        <v>7761</v>
      </c>
      <c r="C1765" s="127" t="s">
        <v>1636</v>
      </c>
      <c r="D1765" s="127" t="s">
        <v>15</v>
      </c>
      <c r="E1765" s="854">
        <v>4.78</v>
      </c>
      <c r="F1765" s="706">
        <v>1</v>
      </c>
      <c r="G1765" s="714">
        <v>172</v>
      </c>
      <c r="H1765" s="127" t="s">
        <v>1447</v>
      </c>
      <c r="I1765" s="848" t="s">
        <v>1557</v>
      </c>
      <c r="J1765" s="691"/>
    </row>
    <row r="1766" spans="1:10" s="389" customFormat="1" ht="9.75" hidden="1" customHeight="1" x14ac:dyDescent="0.2">
      <c r="A1766" s="261" t="s">
        <v>1811</v>
      </c>
      <c r="B1766" s="715">
        <v>8107</v>
      </c>
      <c r="C1766" s="127" t="s">
        <v>1013</v>
      </c>
      <c r="D1766" s="127" t="s">
        <v>90</v>
      </c>
      <c r="E1766" s="852">
        <v>29.975000000000001</v>
      </c>
      <c r="F1766" s="706">
        <v>1</v>
      </c>
      <c r="G1766" s="714">
        <v>205</v>
      </c>
      <c r="H1766" s="127" t="s">
        <v>1472</v>
      </c>
      <c r="I1766" s="848" t="s">
        <v>1557</v>
      </c>
      <c r="J1766" s="691"/>
    </row>
    <row r="1767" spans="1:10" s="389" customFormat="1" ht="9.75" hidden="1" customHeight="1" x14ac:dyDescent="0.2">
      <c r="A1767" s="261" t="s">
        <v>1812</v>
      </c>
      <c r="B1767" s="705">
        <v>8109</v>
      </c>
      <c r="C1767" s="127" t="s">
        <v>1637</v>
      </c>
      <c r="D1767" s="127" t="s">
        <v>8</v>
      </c>
      <c r="E1767" s="852">
        <v>14</v>
      </c>
      <c r="F1767" s="706">
        <v>1</v>
      </c>
      <c r="G1767" s="714">
        <v>262</v>
      </c>
      <c r="H1767" s="127" t="s">
        <v>1492</v>
      </c>
      <c r="I1767" s="848" t="s">
        <v>1557</v>
      </c>
      <c r="J1767" s="691"/>
    </row>
    <row r="1768" spans="1:10" s="389" customFormat="1" ht="9.75" hidden="1" customHeight="1" x14ac:dyDescent="0.2">
      <c r="A1768" s="261" t="s">
        <v>1273</v>
      </c>
      <c r="B1768" s="705">
        <v>8110</v>
      </c>
      <c r="C1768" s="127" t="s">
        <v>820</v>
      </c>
      <c r="D1768" s="127" t="s">
        <v>8</v>
      </c>
      <c r="E1768" s="854">
        <v>5</v>
      </c>
      <c r="F1768" s="706">
        <v>1</v>
      </c>
      <c r="G1768" s="714">
        <v>366</v>
      </c>
      <c r="H1768" s="127" t="s">
        <v>820</v>
      </c>
      <c r="I1768" s="848" t="s">
        <v>1557</v>
      </c>
      <c r="J1768" s="691"/>
    </row>
    <row r="1769" spans="1:10" s="389" customFormat="1" ht="9.75" hidden="1" customHeight="1" x14ac:dyDescent="0.2">
      <c r="A1769" s="261" t="s">
        <v>1316</v>
      </c>
      <c r="B1769" s="705">
        <v>8116</v>
      </c>
      <c r="C1769" s="127" t="s">
        <v>1014</v>
      </c>
      <c r="D1769" s="127" t="s">
        <v>8</v>
      </c>
      <c r="E1769" s="854">
        <v>1</v>
      </c>
      <c r="F1769" s="706">
        <v>1</v>
      </c>
      <c r="G1769" s="714">
        <v>304</v>
      </c>
      <c r="H1769" s="127" t="s">
        <v>796</v>
      </c>
      <c r="I1769" s="848" t="s">
        <v>1557</v>
      </c>
      <c r="J1769" s="691"/>
    </row>
    <row r="1770" spans="1:10" s="389" customFormat="1" ht="9.75" hidden="1" customHeight="1" x14ac:dyDescent="0.2">
      <c r="A1770" s="261" t="s">
        <v>1813</v>
      </c>
      <c r="B1770" s="705">
        <v>8288</v>
      </c>
      <c r="C1770" s="127" t="s">
        <v>1019</v>
      </c>
      <c r="D1770" s="127" t="s">
        <v>90</v>
      </c>
      <c r="E1770" s="852">
        <v>29.8</v>
      </c>
      <c r="F1770" s="706">
        <v>1</v>
      </c>
      <c r="G1770" s="714">
        <v>264</v>
      </c>
      <c r="H1770" s="127" t="s">
        <v>1494</v>
      </c>
      <c r="I1770" s="848" t="s">
        <v>1557</v>
      </c>
      <c r="J1770" s="691"/>
    </row>
    <row r="1771" spans="1:10" s="389" customFormat="1" ht="9.75" hidden="1" customHeight="1" x14ac:dyDescent="0.2">
      <c r="A1771" s="261" t="s">
        <v>1814</v>
      </c>
      <c r="B1771" s="715">
        <v>8427</v>
      </c>
      <c r="C1771" s="127" t="s">
        <v>1638</v>
      </c>
      <c r="D1771" s="127" t="s">
        <v>90</v>
      </c>
      <c r="E1771" s="852">
        <v>15.645</v>
      </c>
      <c r="F1771" s="706">
        <v>1</v>
      </c>
      <c r="G1771" s="714">
        <v>134</v>
      </c>
      <c r="H1771" s="127" t="s">
        <v>1423</v>
      </c>
      <c r="I1771" s="848" t="s">
        <v>1557</v>
      </c>
      <c r="J1771" s="691"/>
    </row>
    <row r="1772" spans="1:10" s="389" customFormat="1" ht="10.9" hidden="1" customHeight="1" x14ac:dyDescent="0.2">
      <c r="A1772" s="261" t="s">
        <v>1815</v>
      </c>
      <c r="B1772" s="715">
        <v>8428</v>
      </c>
      <c r="C1772" s="127" t="s">
        <v>1639</v>
      </c>
      <c r="D1772" s="127" t="s">
        <v>90</v>
      </c>
      <c r="E1772" s="852">
        <v>18.774000000000001</v>
      </c>
      <c r="F1772" s="706">
        <v>1</v>
      </c>
      <c r="G1772" s="714">
        <v>133</v>
      </c>
      <c r="H1772" s="127" t="s">
        <v>1422</v>
      </c>
      <c r="I1772" s="848" t="s">
        <v>1557</v>
      </c>
      <c r="J1772" s="691"/>
    </row>
    <row r="1773" spans="1:10" s="389" customFormat="1" ht="9.75" hidden="1" customHeight="1" x14ac:dyDescent="0.2">
      <c r="A1773" s="261" t="s">
        <v>1816</v>
      </c>
      <c r="B1773" s="705">
        <v>8431</v>
      </c>
      <c r="C1773" s="127" t="s">
        <v>1640</v>
      </c>
      <c r="D1773" s="127" t="s">
        <v>101</v>
      </c>
      <c r="E1773" s="856">
        <v>989.60260000000005</v>
      </c>
      <c r="F1773" s="706">
        <v>1</v>
      </c>
      <c r="G1773" s="714">
        <v>340</v>
      </c>
      <c r="H1773" s="127" t="s">
        <v>1523</v>
      </c>
      <c r="I1773" s="848" t="s">
        <v>1557</v>
      </c>
      <c r="J1773" s="691"/>
    </row>
    <row r="1774" spans="1:10" s="389" customFormat="1" ht="9.75" hidden="1" customHeight="1" x14ac:dyDescent="0.2">
      <c r="A1774" s="261" t="s">
        <v>1817</v>
      </c>
      <c r="B1774" s="705">
        <v>8432</v>
      </c>
      <c r="C1774" s="127" t="s">
        <v>1641</v>
      </c>
      <c r="D1774" s="127" t="s">
        <v>13</v>
      </c>
      <c r="E1774" s="852">
        <v>15.3186</v>
      </c>
      <c r="F1774" s="706">
        <v>1</v>
      </c>
      <c r="G1774" s="714">
        <v>328</v>
      </c>
      <c r="H1774" s="127" t="s">
        <v>1519</v>
      </c>
      <c r="I1774" s="848" t="s">
        <v>1557</v>
      </c>
      <c r="J1774" s="691"/>
    </row>
    <row r="1775" spans="1:10" s="389" customFormat="1" ht="9.75" hidden="1" customHeight="1" x14ac:dyDescent="0.2">
      <c r="A1775" s="261" t="s">
        <v>1818</v>
      </c>
      <c r="B1775" s="715">
        <v>8435</v>
      </c>
      <c r="C1775" s="127" t="s">
        <v>1642</v>
      </c>
      <c r="D1775" s="127" t="s">
        <v>101</v>
      </c>
      <c r="E1775" s="852">
        <v>10.2485</v>
      </c>
      <c r="F1775" s="706">
        <v>1</v>
      </c>
      <c r="G1775" s="714">
        <v>170</v>
      </c>
      <c r="H1775" s="127" t="s">
        <v>1445</v>
      </c>
      <c r="I1775" s="848" t="s">
        <v>1557</v>
      </c>
      <c r="J1775" s="691"/>
    </row>
    <row r="1776" spans="1:10" s="389" customFormat="1" ht="9.75" hidden="1" customHeight="1" x14ac:dyDescent="0.2">
      <c r="A1776" s="261" t="s">
        <v>1819</v>
      </c>
      <c r="B1776" s="705">
        <v>8437</v>
      </c>
      <c r="C1776" s="127" t="s">
        <v>1643</v>
      </c>
      <c r="D1776" s="127" t="s">
        <v>90</v>
      </c>
      <c r="E1776" s="852">
        <v>36.435000000000002</v>
      </c>
      <c r="F1776" s="706">
        <v>1</v>
      </c>
      <c r="G1776" s="714">
        <v>297</v>
      </c>
      <c r="H1776" s="127" t="s">
        <v>1507</v>
      </c>
      <c r="I1776" s="848" t="s">
        <v>1557</v>
      </c>
      <c r="J1776" s="691"/>
    </row>
    <row r="1777" spans="1:10" s="389" customFormat="1" ht="9.75" hidden="1" customHeight="1" x14ac:dyDescent="0.2">
      <c r="A1777" s="261" t="s">
        <v>1820</v>
      </c>
      <c r="B1777" s="715">
        <v>8437</v>
      </c>
      <c r="C1777" s="127" t="s">
        <v>1644</v>
      </c>
      <c r="D1777" s="127" t="s">
        <v>90</v>
      </c>
      <c r="E1777" s="852">
        <v>71.504999999999995</v>
      </c>
      <c r="F1777" s="706">
        <v>1</v>
      </c>
      <c r="G1777" s="714">
        <v>296</v>
      </c>
      <c r="H1777" s="127" t="s">
        <v>491</v>
      </c>
      <c r="I1777" s="848" t="s">
        <v>1557</v>
      </c>
      <c r="J1777" s="691"/>
    </row>
    <row r="1778" spans="1:10" s="389" customFormat="1" ht="9.75" hidden="1" customHeight="1" x14ac:dyDescent="0.2">
      <c r="A1778" s="261" t="s">
        <v>1821</v>
      </c>
      <c r="B1778" s="705">
        <v>8584</v>
      </c>
      <c r="C1778" s="127" t="s">
        <v>1645</v>
      </c>
      <c r="D1778" s="127" t="s">
        <v>8</v>
      </c>
      <c r="E1778" s="852">
        <v>66</v>
      </c>
      <c r="F1778" s="706">
        <v>1</v>
      </c>
      <c r="G1778" s="853">
        <v>99</v>
      </c>
      <c r="H1778" s="127" t="s">
        <v>1404</v>
      </c>
      <c r="I1778" s="848" t="s">
        <v>1557</v>
      </c>
      <c r="J1778" s="691"/>
    </row>
    <row r="1779" spans="1:10" s="389" customFormat="1" ht="9.75" hidden="1" customHeight="1" x14ac:dyDescent="0.2">
      <c r="A1779" s="261" t="s">
        <v>1822</v>
      </c>
      <c r="B1779" s="705">
        <v>8596</v>
      </c>
      <c r="C1779" s="127" t="s">
        <v>1646</v>
      </c>
      <c r="D1779" s="127" t="s">
        <v>90</v>
      </c>
      <c r="E1779" s="854">
        <v>6.93</v>
      </c>
      <c r="F1779" s="706">
        <v>1</v>
      </c>
      <c r="G1779" s="714">
        <v>265</v>
      </c>
      <c r="H1779" s="127" t="s">
        <v>1495</v>
      </c>
      <c r="I1779" s="848" t="s">
        <v>1557</v>
      </c>
      <c r="J1779" s="691"/>
    </row>
    <row r="1780" spans="1:10" s="389" customFormat="1" ht="9.75" hidden="1" customHeight="1" x14ac:dyDescent="0.2">
      <c r="A1780" s="261" t="s">
        <v>1823</v>
      </c>
      <c r="B1780" s="705">
        <v>9155</v>
      </c>
      <c r="C1780" s="127" t="s">
        <v>1647</v>
      </c>
      <c r="D1780" s="127" t="s">
        <v>8</v>
      </c>
      <c r="E1780" s="854">
        <v>1</v>
      </c>
      <c r="F1780" s="706">
        <v>1</v>
      </c>
      <c r="G1780" s="714">
        <v>294</v>
      </c>
      <c r="H1780" s="127" t="s">
        <v>1506</v>
      </c>
      <c r="I1780" s="848" t="s">
        <v>1557</v>
      </c>
      <c r="J1780" s="691"/>
    </row>
    <row r="1781" spans="1:10" s="389" customFormat="1" ht="9.75" hidden="1" customHeight="1" x14ac:dyDescent="0.2">
      <c r="A1781" s="261" t="s">
        <v>1824</v>
      </c>
      <c r="B1781" s="715">
        <v>5323</v>
      </c>
      <c r="C1781" s="127" t="s">
        <v>892</v>
      </c>
      <c r="D1781" s="127" t="s">
        <v>8</v>
      </c>
      <c r="E1781" s="852">
        <v>72</v>
      </c>
      <c r="F1781" s="706">
        <v>1</v>
      </c>
      <c r="G1781" s="714">
        <v>306</v>
      </c>
      <c r="H1781" s="127" t="s">
        <v>1510</v>
      </c>
      <c r="I1781" s="848" t="s">
        <v>1557</v>
      </c>
      <c r="J1781" s="691"/>
    </row>
    <row r="1782" spans="1:10" s="389" customFormat="1" ht="9.75" hidden="1" customHeight="1" x14ac:dyDescent="0.2">
      <c r="A1782" s="261" t="s">
        <v>1825</v>
      </c>
      <c r="B1782" s="715">
        <v>5356</v>
      </c>
      <c r="C1782" s="127" t="s">
        <v>1648</v>
      </c>
      <c r="D1782" s="127" t="s">
        <v>90</v>
      </c>
      <c r="E1782" s="856">
        <v>700.7</v>
      </c>
      <c r="F1782" s="706">
        <v>1</v>
      </c>
      <c r="G1782" s="714">
        <v>102</v>
      </c>
      <c r="H1782" s="127" t="s">
        <v>483</v>
      </c>
      <c r="I1782" s="848" t="s">
        <v>1557</v>
      </c>
      <c r="J1782" s="691"/>
    </row>
    <row r="1783" spans="1:10" s="389" customFormat="1" ht="9.75" hidden="1" customHeight="1" x14ac:dyDescent="0.2">
      <c r="A1783" s="261" t="s">
        <v>1339</v>
      </c>
      <c r="B1783" s="705">
        <v>6157</v>
      </c>
      <c r="C1783" s="127" t="s">
        <v>926</v>
      </c>
      <c r="D1783" s="127" t="s">
        <v>90</v>
      </c>
      <c r="E1783" s="852">
        <v>24</v>
      </c>
      <c r="F1783" s="706">
        <v>1</v>
      </c>
      <c r="G1783" s="714">
        <v>369</v>
      </c>
      <c r="H1783" s="127" t="s">
        <v>818</v>
      </c>
      <c r="I1783" s="848" t="s">
        <v>1557</v>
      </c>
      <c r="J1783" s="691"/>
    </row>
    <row r="1784" spans="1:10" s="389" customFormat="1" ht="9.75" hidden="1" customHeight="1" x14ac:dyDescent="0.2">
      <c r="A1784" s="261" t="s">
        <v>1290</v>
      </c>
      <c r="B1784" s="705">
        <v>7186</v>
      </c>
      <c r="C1784" s="127" t="s">
        <v>946</v>
      </c>
      <c r="D1784" s="127" t="s">
        <v>8</v>
      </c>
      <c r="E1784" s="852">
        <v>24</v>
      </c>
      <c r="F1784" s="706">
        <v>1</v>
      </c>
      <c r="G1784" s="714">
        <v>278</v>
      </c>
      <c r="H1784" s="127" t="s">
        <v>418</v>
      </c>
      <c r="I1784" s="848" t="s">
        <v>1557</v>
      </c>
      <c r="J1784" s="691"/>
    </row>
    <row r="1785" spans="1:10" s="389" customFormat="1" ht="9.75" hidden="1" customHeight="1" x14ac:dyDescent="0.2">
      <c r="A1785" s="261" t="s">
        <v>1318</v>
      </c>
      <c r="B1785" s="705">
        <v>6181</v>
      </c>
      <c r="C1785" s="127" t="s">
        <v>928</v>
      </c>
      <c r="D1785" s="127" t="s">
        <v>8</v>
      </c>
      <c r="E1785" s="852">
        <v>15</v>
      </c>
      <c r="F1785" s="706">
        <v>1</v>
      </c>
      <c r="G1785" s="714">
        <v>360</v>
      </c>
      <c r="H1785" s="127" t="s">
        <v>151</v>
      </c>
      <c r="I1785" s="848" t="s">
        <v>1557</v>
      </c>
      <c r="J1785" s="691"/>
    </row>
    <row r="1786" spans="1:10" s="389" customFormat="1" ht="9.75" hidden="1" customHeight="1" x14ac:dyDescent="0.2">
      <c r="A1786" s="261" t="s">
        <v>1826</v>
      </c>
      <c r="B1786" s="705">
        <v>7841</v>
      </c>
      <c r="C1786" s="127" t="s">
        <v>1649</v>
      </c>
      <c r="D1786" s="127" t="s">
        <v>90</v>
      </c>
      <c r="E1786" s="855">
        <v>1724.0630000000001</v>
      </c>
      <c r="F1786" s="706">
        <v>1</v>
      </c>
      <c r="G1786" s="714">
        <v>190</v>
      </c>
      <c r="H1786" s="127" t="s">
        <v>1457</v>
      </c>
      <c r="I1786" s="848" t="s">
        <v>1557</v>
      </c>
      <c r="J1786" s="691"/>
    </row>
    <row r="1787" spans="1:10" s="389" customFormat="1" ht="9.75" hidden="1" customHeight="1" x14ac:dyDescent="0.2">
      <c r="A1787" s="261" t="s">
        <v>1827</v>
      </c>
      <c r="B1787" s="705">
        <v>9015</v>
      </c>
      <c r="C1787" s="127" t="s">
        <v>1650</v>
      </c>
      <c r="D1787" s="127" t="s">
        <v>90</v>
      </c>
      <c r="E1787" s="856">
        <v>122.9235</v>
      </c>
      <c r="F1787" s="706">
        <v>1</v>
      </c>
      <c r="G1787" s="714">
        <v>135</v>
      </c>
      <c r="H1787" s="127" t="s">
        <v>1424</v>
      </c>
      <c r="I1787" s="848" t="s">
        <v>1557</v>
      </c>
      <c r="J1787" s="691"/>
    </row>
    <row r="1788" spans="1:10" s="389" customFormat="1" ht="9.75" hidden="1" customHeight="1" x14ac:dyDescent="0.2">
      <c r="A1788" s="261" t="s">
        <v>1828</v>
      </c>
      <c r="B1788" s="705">
        <v>1796</v>
      </c>
      <c r="C1788" s="127" t="s">
        <v>873</v>
      </c>
      <c r="D1788" s="127" t="s">
        <v>8</v>
      </c>
      <c r="E1788" s="852">
        <v>18</v>
      </c>
      <c r="F1788" s="706">
        <v>1</v>
      </c>
      <c r="G1788" s="714">
        <v>287</v>
      </c>
      <c r="H1788" s="127" t="s">
        <v>1502</v>
      </c>
      <c r="I1788" s="848" t="s">
        <v>1557</v>
      </c>
      <c r="J1788" s="691"/>
    </row>
    <row r="1789" spans="1:10" s="389" customFormat="1" ht="9.75" hidden="1" customHeight="1" x14ac:dyDescent="0.2">
      <c r="A1789" s="261" t="s">
        <v>1309</v>
      </c>
      <c r="B1789" s="705">
        <v>5519</v>
      </c>
      <c r="C1789" s="127" t="s">
        <v>907</v>
      </c>
      <c r="D1789" s="127" t="s">
        <v>94</v>
      </c>
      <c r="E1789" s="852">
        <v>18.936</v>
      </c>
      <c r="F1789" s="706">
        <v>1</v>
      </c>
      <c r="G1789" s="714">
        <v>356</v>
      </c>
      <c r="H1789" s="127" t="s">
        <v>509</v>
      </c>
      <c r="I1789" s="848" t="s">
        <v>1557</v>
      </c>
      <c r="J1789" s="691"/>
    </row>
    <row r="1790" spans="1:10" s="389" customFormat="1" ht="9.75" hidden="1" customHeight="1" x14ac:dyDescent="0.2">
      <c r="A1790" s="261" t="s">
        <v>1340</v>
      </c>
      <c r="B1790" s="705">
        <v>5527</v>
      </c>
      <c r="C1790" s="127" t="s">
        <v>909</v>
      </c>
      <c r="D1790" s="127" t="s">
        <v>8</v>
      </c>
      <c r="E1790" s="854">
        <v>1</v>
      </c>
      <c r="F1790" s="706">
        <v>1</v>
      </c>
      <c r="G1790" s="714">
        <v>363</v>
      </c>
      <c r="H1790" s="127" t="s">
        <v>512</v>
      </c>
      <c r="I1790" s="848" t="s">
        <v>1557</v>
      </c>
      <c r="J1790" s="691"/>
    </row>
    <row r="1791" spans="1:10" s="389" customFormat="1" ht="9.75" hidden="1" customHeight="1" x14ac:dyDescent="0.2">
      <c r="A1791" s="261" t="s">
        <v>1317</v>
      </c>
      <c r="B1791" s="705">
        <v>5675</v>
      </c>
      <c r="C1791" s="127" t="s">
        <v>916</v>
      </c>
      <c r="D1791" s="127" t="s">
        <v>8</v>
      </c>
      <c r="E1791" s="852">
        <v>25</v>
      </c>
      <c r="F1791" s="706">
        <v>1</v>
      </c>
      <c r="G1791" s="714">
        <v>285</v>
      </c>
      <c r="H1791" s="127" t="s">
        <v>409</v>
      </c>
      <c r="I1791" s="848" t="s">
        <v>1557</v>
      </c>
      <c r="J1791" s="691"/>
    </row>
    <row r="1792" spans="1:10" s="389" customFormat="1" ht="9.75" hidden="1" customHeight="1" x14ac:dyDescent="0.2">
      <c r="A1792" s="261" t="s">
        <v>1299</v>
      </c>
      <c r="B1792" s="705">
        <v>5685</v>
      </c>
      <c r="C1792" s="127" t="s">
        <v>918</v>
      </c>
      <c r="D1792" s="127" t="s">
        <v>8</v>
      </c>
      <c r="E1792" s="852">
        <v>24</v>
      </c>
      <c r="F1792" s="706">
        <v>1</v>
      </c>
      <c r="G1792" s="714">
        <v>310</v>
      </c>
      <c r="H1792" s="127" t="s">
        <v>500</v>
      </c>
      <c r="I1792" s="848" t="s">
        <v>1557</v>
      </c>
      <c r="J1792" s="691"/>
    </row>
    <row r="1793" spans="1:10" s="389" customFormat="1" ht="9.75" hidden="1" customHeight="1" x14ac:dyDescent="0.2">
      <c r="A1793" s="261" t="s">
        <v>1829</v>
      </c>
      <c r="B1793" s="714">
        <v>833</v>
      </c>
      <c r="C1793" s="127" t="s">
        <v>852</v>
      </c>
      <c r="D1793" s="127" t="s">
        <v>853</v>
      </c>
      <c r="E1793" s="854">
        <v>7.0652999999999997</v>
      </c>
      <c r="F1793" s="706">
        <v>1</v>
      </c>
      <c r="G1793" s="714">
        <v>103</v>
      </c>
      <c r="H1793" s="127" t="s">
        <v>1405</v>
      </c>
      <c r="I1793" s="848" t="s">
        <v>1557</v>
      </c>
      <c r="J1793" s="691"/>
    </row>
    <row r="1794" spans="1:10" s="389" customFormat="1" ht="9.75" hidden="1" customHeight="1" x14ac:dyDescent="0.2">
      <c r="A1794" s="261" t="s">
        <v>1830</v>
      </c>
      <c r="B1794" s="715">
        <v>1001</v>
      </c>
      <c r="C1794" s="127" t="s">
        <v>1610</v>
      </c>
      <c r="D1794" s="127" t="s">
        <v>101</v>
      </c>
      <c r="E1794" s="855">
        <v>9246.0550000000003</v>
      </c>
      <c r="F1794" s="706">
        <v>1</v>
      </c>
      <c r="G1794" s="714">
        <v>102</v>
      </c>
      <c r="H1794" s="127" t="s">
        <v>483</v>
      </c>
      <c r="I1794" s="848" t="s">
        <v>1557</v>
      </c>
      <c r="J1794" s="691"/>
    </row>
    <row r="1795" spans="1:10" s="389" customFormat="1" ht="9.75" hidden="1" customHeight="1" x14ac:dyDescent="0.2">
      <c r="A1795" s="261" t="s">
        <v>1831</v>
      </c>
      <c r="B1795" s="715">
        <v>4748</v>
      </c>
      <c r="C1795" s="127" t="s">
        <v>882</v>
      </c>
      <c r="D1795" s="127" t="s">
        <v>8</v>
      </c>
      <c r="E1795" s="856">
        <v>438.85239999999999</v>
      </c>
      <c r="F1795" s="706">
        <v>1</v>
      </c>
      <c r="G1795" s="714">
        <v>190</v>
      </c>
      <c r="H1795" s="127" t="s">
        <v>1457</v>
      </c>
      <c r="I1795" s="848" t="s">
        <v>1557</v>
      </c>
      <c r="J1795" s="691"/>
    </row>
    <row r="1796" spans="1:10" s="389" customFormat="1" ht="9.75" hidden="1" customHeight="1" x14ac:dyDescent="0.2">
      <c r="A1796" s="261" t="s">
        <v>1832</v>
      </c>
      <c r="B1796" s="715">
        <v>4749</v>
      </c>
      <c r="C1796" s="127" t="s">
        <v>883</v>
      </c>
      <c r="D1796" s="127" t="s">
        <v>8</v>
      </c>
      <c r="E1796" s="856">
        <v>305.68</v>
      </c>
      <c r="F1796" s="706">
        <v>1</v>
      </c>
      <c r="G1796" s="714">
        <v>130</v>
      </c>
      <c r="H1796" s="127" t="s">
        <v>1417</v>
      </c>
      <c r="I1796" s="848" t="s">
        <v>1557</v>
      </c>
      <c r="J1796" s="691"/>
    </row>
    <row r="1797" spans="1:10" s="389" customFormat="1" ht="9.75" hidden="1" customHeight="1" x14ac:dyDescent="0.2">
      <c r="A1797" s="261" t="s">
        <v>1833</v>
      </c>
      <c r="B1797" s="715">
        <v>4750</v>
      </c>
      <c r="C1797" s="127" t="s">
        <v>884</v>
      </c>
      <c r="D1797" s="127" t="s">
        <v>8</v>
      </c>
      <c r="E1797" s="856">
        <v>286.38200000000001</v>
      </c>
      <c r="F1797" s="706">
        <v>1</v>
      </c>
      <c r="G1797" s="714">
        <v>177</v>
      </c>
      <c r="H1797" s="127" t="s">
        <v>1450</v>
      </c>
      <c r="I1797" s="848" t="s">
        <v>1557</v>
      </c>
      <c r="J1797" s="691"/>
    </row>
    <row r="1798" spans="1:10" s="389" customFormat="1" ht="9.75" hidden="1" customHeight="1" x14ac:dyDescent="0.2">
      <c r="A1798" s="261" t="s">
        <v>1834</v>
      </c>
      <c r="B1798" s="715">
        <v>6055</v>
      </c>
      <c r="C1798" s="127" t="s">
        <v>923</v>
      </c>
      <c r="D1798" s="127" t="s">
        <v>8</v>
      </c>
      <c r="E1798" s="856">
        <v>479.6</v>
      </c>
      <c r="F1798" s="706">
        <v>1</v>
      </c>
      <c r="G1798" s="714">
        <v>205</v>
      </c>
      <c r="H1798" s="127" t="s">
        <v>1472</v>
      </c>
      <c r="I1798" s="848" t="s">
        <v>1557</v>
      </c>
      <c r="J1798" s="691"/>
    </row>
    <row r="1799" spans="1:10" s="389" customFormat="1" ht="9.75" hidden="1" customHeight="1" x14ac:dyDescent="0.2">
      <c r="A1799" s="261" t="s">
        <v>1835</v>
      </c>
      <c r="B1799" s="707">
        <v>495</v>
      </c>
      <c r="C1799" s="127" t="s">
        <v>1651</v>
      </c>
      <c r="D1799" s="127" t="s">
        <v>8</v>
      </c>
      <c r="E1799" s="854">
        <v>7</v>
      </c>
      <c r="F1799" s="706">
        <v>1</v>
      </c>
      <c r="G1799" s="714">
        <v>318</v>
      </c>
      <c r="H1799" s="127" t="s">
        <v>1516</v>
      </c>
      <c r="I1799" s="848" t="s">
        <v>1557</v>
      </c>
      <c r="J1799" s="691"/>
    </row>
    <row r="1800" spans="1:10" s="389" customFormat="1" ht="9.75" hidden="1" customHeight="1" x14ac:dyDescent="0.2">
      <c r="A1800" s="261" t="s">
        <v>1836</v>
      </c>
      <c r="B1800" s="714">
        <v>565</v>
      </c>
      <c r="C1800" s="127" t="s">
        <v>851</v>
      </c>
      <c r="D1800" s="127" t="s">
        <v>8</v>
      </c>
      <c r="E1800" s="852">
        <v>72</v>
      </c>
      <c r="F1800" s="706">
        <v>1</v>
      </c>
      <c r="G1800" s="714">
        <v>306</v>
      </c>
      <c r="H1800" s="127" t="s">
        <v>1510</v>
      </c>
      <c r="I1800" s="848" t="s">
        <v>1557</v>
      </c>
      <c r="J1800" s="691"/>
    </row>
    <row r="1801" spans="1:10" s="389" customFormat="1" ht="9.75" hidden="1" customHeight="1" x14ac:dyDescent="0.2">
      <c r="A1801" s="261" t="s">
        <v>1837</v>
      </c>
      <c r="B1801" s="707">
        <v>896</v>
      </c>
      <c r="C1801" s="127" t="s">
        <v>1652</v>
      </c>
      <c r="D1801" s="127" t="s">
        <v>90</v>
      </c>
      <c r="E1801" s="856">
        <v>594.01099999999997</v>
      </c>
      <c r="F1801" s="706">
        <v>1</v>
      </c>
      <c r="G1801" s="714">
        <v>127</v>
      </c>
      <c r="H1801" s="127" t="s">
        <v>1413</v>
      </c>
      <c r="I1801" s="848" t="s">
        <v>1557</v>
      </c>
      <c r="J1801" s="691"/>
    </row>
    <row r="1802" spans="1:10" s="389" customFormat="1" ht="9.75" hidden="1" customHeight="1" x14ac:dyDescent="0.2">
      <c r="A1802" s="261" t="s">
        <v>1838</v>
      </c>
      <c r="B1802" s="714">
        <v>964</v>
      </c>
      <c r="C1802" s="127" t="s">
        <v>740</v>
      </c>
      <c r="D1802" s="127" t="s">
        <v>13</v>
      </c>
      <c r="E1802" s="854">
        <v>6.0597000000000003</v>
      </c>
      <c r="F1802" s="706">
        <v>1</v>
      </c>
      <c r="G1802" s="714">
        <v>332</v>
      </c>
      <c r="H1802" s="127" t="s">
        <v>1521</v>
      </c>
      <c r="I1802" s="848" t="s">
        <v>1557</v>
      </c>
      <c r="J1802" s="691"/>
    </row>
    <row r="1803" spans="1:10" s="389" customFormat="1" ht="9.75" hidden="1" customHeight="1" x14ac:dyDescent="0.2">
      <c r="A1803" s="261" t="s">
        <v>1310</v>
      </c>
      <c r="B1803" s="715">
        <v>1002</v>
      </c>
      <c r="C1803" s="127" t="s">
        <v>390</v>
      </c>
      <c r="D1803" s="127" t="s">
        <v>391</v>
      </c>
      <c r="E1803" s="856">
        <v>813.51189999999997</v>
      </c>
      <c r="F1803" s="706">
        <v>1</v>
      </c>
      <c r="G1803" s="714">
        <v>122</v>
      </c>
      <c r="H1803" s="127" t="s">
        <v>780</v>
      </c>
      <c r="I1803" s="848" t="s">
        <v>1557</v>
      </c>
      <c r="J1803" s="691"/>
    </row>
    <row r="1804" spans="1:10" s="389" customFormat="1" ht="9.75" hidden="1" customHeight="1" x14ac:dyDescent="0.2">
      <c r="A1804" s="261" t="s">
        <v>1839</v>
      </c>
      <c r="B1804" s="715">
        <v>1004</v>
      </c>
      <c r="C1804" s="127" t="s">
        <v>1611</v>
      </c>
      <c r="D1804" s="127" t="s">
        <v>94</v>
      </c>
      <c r="E1804" s="852">
        <v>23.306999999999999</v>
      </c>
      <c r="F1804" s="706">
        <v>1</v>
      </c>
      <c r="G1804" s="714">
        <v>107</v>
      </c>
      <c r="H1804" s="127" t="s">
        <v>484</v>
      </c>
      <c r="I1804" s="848" t="s">
        <v>1557</v>
      </c>
      <c r="J1804" s="691"/>
    </row>
    <row r="1805" spans="1:10" s="389" customFormat="1" ht="9.75" hidden="1" customHeight="1" x14ac:dyDescent="0.2">
      <c r="A1805" s="261" t="s">
        <v>1341</v>
      </c>
      <c r="B1805" s="705">
        <v>1314</v>
      </c>
      <c r="C1805" s="127" t="s">
        <v>379</v>
      </c>
      <c r="D1805" s="127" t="s">
        <v>15</v>
      </c>
      <c r="E1805" s="852">
        <v>24.35</v>
      </c>
      <c r="F1805" s="706">
        <v>1</v>
      </c>
      <c r="G1805" s="714">
        <v>114</v>
      </c>
      <c r="H1805" s="127" t="s">
        <v>503</v>
      </c>
      <c r="I1805" s="848" t="s">
        <v>1557</v>
      </c>
      <c r="J1805" s="691"/>
    </row>
    <row r="1806" spans="1:10" s="389" customFormat="1" ht="9.75" hidden="1" customHeight="1" x14ac:dyDescent="0.2">
      <c r="A1806" s="261" t="s">
        <v>1840</v>
      </c>
      <c r="B1806" s="715">
        <v>1367</v>
      </c>
      <c r="C1806" s="127" t="s">
        <v>843</v>
      </c>
      <c r="D1806" s="127" t="s">
        <v>1612</v>
      </c>
      <c r="E1806" s="852">
        <v>23.520600000000002</v>
      </c>
      <c r="F1806" s="706">
        <v>1</v>
      </c>
      <c r="G1806" s="714">
        <v>102</v>
      </c>
      <c r="H1806" s="127" t="s">
        <v>483</v>
      </c>
      <c r="I1806" s="848" t="s">
        <v>1557</v>
      </c>
      <c r="J1806" s="691"/>
    </row>
    <row r="1807" spans="1:10" s="389" customFormat="1" ht="9.75" hidden="1" customHeight="1" x14ac:dyDescent="0.2">
      <c r="A1807" s="261" t="s">
        <v>1841</v>
      </c>
      <c r="B1807" s="705">
        <v>1522</v>
      </c>
      <c r="C1807" s="127" t="s">
        <v>864</v>
      </c>
      <c r="D1807" s="127" t="s">
        <v>8</v>
      </c>
      <c r="E1807" s="852">
        <v>18</v>
      </c>
      <c r="F1807" s="706">
        <v>1</v>
      </c>
      <c r="G1807" s="714">
        <v>287</v>
      </c>
      <c r="H1807" s="127" t="s">
        <v>1502</v>
      </c>
      <c r="I1807" s="848" t="s">
        <v>1557</v>
      </c>
      <c r="J1807" s="691"/>
    </row>
    <row r="1808" spans="1:10" s="389" customFormat="1" ht="9.75" hidden="1" customHeight="1" x14ac:dyDescent="0.2">
      <c r="A1808" s="261" t="s">
        <v>1842</v>
      </c>
      <c r="B1808" s="705">
        <v>1588</v>
      </c>
      <c r="C1808" s="127" t="s">
        <v>867</v>
      </c>
      <c r="D1808" s="127" t="s">
        <v>8</v>
      </c>
      <c r="E1808" s="856">
        <v>121.75</v>
      </c>
      <c r="F1808" s="706">
        <v>1</v>
      </c>
      <c r="G1808" s="714">
        <v>115</v>
      </c>
      <c r="H1808" s="127" t="s">
        <v>1409</v>
      </c>
      <c r="I1808" s="848" t="s">
        <v>1557</v>
      </c>
      <c r="J1808" s="691"/>
    </row>
    <row r="1809" spans="1:10" s="389" customFormat="1" ht="9.75" hidden="1" customHeight="1" x14ac:dyDescent="0.2">
      <c r="A1809" s="261" t="s">
        <v>1843</v>
      </c>
      <c r="B1809" s="705">
        <v>1591</v>
      </c>
      <c r="C1809" s="127" t="s">
        <v>868</v>
      </c>
      <c r="D1809" s="127" t="s">
        <v>90</v>
      </c>
      <c r="E1809" s="856">
        <v>594.01099999999997</v>
      </c>
      <c r="F1809" s="706">
        <v>1</v>
      </c>
      <c r="G1809" s="714">
        <v>127</v>
      </c>
      <c r="H1809" s="127" t="s">
        <v>1413</v>
      </c>
      <c r="I1809" s="848" t="s">
        <v>1557</v>
      </c>
      <c r="J1809" s="691"/>
    </row>
    <row r="1810" spans="1:10" s="389" customFormat="1" ht="9.75" hidden="1" customHeight="1" x14ac:dyDescent="0.2">
      <c r="A1810" s="261" t="s">
        <v>1319</v>
      </c>
      <c r="B1810" s="705">
        <v>1666</v>
      </c>
      <c r="C1810" s="127" t="s">
        <v>404</v>
      </c>
      <c r="D1810" s="127" t="s">
        <v>13</v>
      </c>
      <c r="E1810" s="854">
        <v>7.2</v>
      </c>
      <c r="F1810" s="706">
        <v>1</v>
      </c>
      <c r="G1810" s="714">
        <v>336</v>
      </c>
      <c r="H1810" s="127" t="s">
        <v>504</v>
      </c>
      <c r="I1810" s="848" t="s">
        <v>1557</v>
      </c>
      <c r="J1810" s="691"/>
    </row>
    <row r="1811" spans="1:10" s="389" customFormat="1" ht="9.75" hidden="1" customHeight="1" x14ac:dyDescent="0.2">
      <c r="A1811" s="261" t="s">
        <v>1844</v>
      </c>
      <c r="B1811" s="705">
        <v>1668</v>
      </c>
      <c r="C1811" s="127" t="s">
        <v>1653</v>
      </c>
      <c r="D1811" s="127" t="s">
        <v>13</v>
      </c>
      <c r="E1811" s="854">
        <v>8.5535999999999994</v>
      </c>
      <c r="F1811" s="706">
        <v>1</v>
      </c>
      <c r="G1811" s="714">
        <v>351</v>
      </c>
      <c r="H1811" s="127" t="s">
        <v>1533</v>
      </c>
      <c r="I1811" s="848" t="s">
        <v>1557</v>
      </c>
      <c r="J1811" s="691"/>
    </row>
    <row r="1812" spans="1:10" s="389" customFormat="1" ht="9.75" hidden="1" customHeight="1" x14ac:dyDescent="0.2">
      <c r="A1812" s="261" t="s">
        <v>1845</v>
      </c>
      <c r="B1812" s="705">
        <v>1683</v>
      </c>
      <c r="C1812" s="127" t="s">
        <v>870</v>
      </c>
      <c r="D1812" s="127" t="s">
        <v>13</v>
      </c>
      <c r="E1812" s="852">
        <v>24.238800000000001</v>
      </c>
      <c r="F1812" s="706">
        <v>1</v>
      </c>
      <c r="G1812" s="714">
        <v>332</v>
      </c>
      <c r="H1812" s="127" t="s">
        <v>1521</v>
      </c>
      <c r="I1812" s="848" t="s">
        <v>1557</v>
      </c>
      <c r="J1812" s="691"/>
    </row>
    <row r="1813" spans="1:10" s="389" customFormat="1" ht="9.75" hidden="1" customHeight="1" x14ac:dyDescent="0.2">
      <c r="A1813" s="261" t="s">
        <v>1846</v>
      </c>
      <c r="B1813" s="705">
        <v>1764</v>
      </c>
      <c r="C1813" s="127" t="s">
        <v>872</v>
      </c>
      <c r="D1813" s="127" t="s">
        <v>90</v>
      </c>
      <c r="E1813" s="852">
        <v>26</v>
      </c>
      <c r="F1813" s="706">
        <v>1</v>
      </c>
      <c r="G1813" s="714">
        <v>268</v>
      </c>
      <c r="H1813" s="127" t="s">
        <v>1496</v>
      </c>
      <c r="I1813" s="848" t="s">
        <v>1557</v>
      </c>
      <c r="J1813" s="691"/>
    </row>
    <row r="1814" spans="1:10" s="389" customFormat="1" ht="10.9" hidden="1" customHeight="1" x14ac:dyDescent="0.2">
      <c r="A1814" s="261" t="s">
        <v>1847</v>
      </c>
      <c r="B1814" s="705">
        <v>1843</v>
      </c>
      <c r="C1814" s="127" t="s">
        <v>875</v>
      </c>
      <c r="D1814" s="127" t="s">
        <v>15</v>
      </c>
      <c r="E1814" s="856">
        <v>180</v>
      </c>
      <c r="F1814" s="706">
        <v>1</v>
      </c>
      <c r="G1814" s="714">
        <v>287</v>
      </c>
      <c r="H1814" s="127" t="s">
        <v>1502</v>
      </c>
      <c r="I1814" s="848" t="s">
        <v>1557</v>
      </c>
      <c r="J1814" s="691"/>
    </row>
    <row r="1815" spans="1:10" s="389" customFormat="1" ht="9.75" hidden="1" customHeight="1" x14ac:dyDescent="0.2">
      <c r="A1815" s="261" t="s">
        <v>1280</v>
      </c>
      <c r="B1815" s="705">
        <v>1956</v>
      </c>
      <c r="C1815" s="127" t="s">
        <v>876</v>
      </c>
      <c r="D1815" s="127" t="s">
        <v>8</v>
      </c>
      <c r="E1815" s="852">
        <v>29</v>
      </c>
      <c r="F1815" s="706">
        <v>1</v>
      </c>
      <c r="G1815" s="714">
        <v>307</v>
      </c>
      <c r="H1815" s="127" t="s">
        <v>492</v>
      </c>
      <c r="I1815" s="848" t="s">
        <v>1557</v>
      </c>
      <c r="J1815" s="691"/>
    </row>
    <row r="1816" spans="1:10" s="389" customFormat="1" ht="9.75" hidden="1" customHeight="1" x14ac:dyDescent="0.2">
      <c r="A1816" s="261" t="s">
        <v>1848</v>
      </c>
      <c r="B1816" s="705">
        <v>2076</v>
      </c>
      <c r="C1816" s="127" t="s">
        <v>1654</v>
      </c>
      <c r="D1816" s="127" t="s">
        <v>8</v>
      </c>
      <c r="E1816" s="856">
        <v>121.75</v>
      </c>
      <c r="F1816" s="706">
        <v>1</v>
      </c>
      <c r="G1816" s="714">
        <v>116</v>
      </c>
      <c r="H1816" s="127" t="s">
        <v>1410</v>
      </c>
      <c r="I1816" s="848" t="s">
        <v>1557</v>
      </c>
      <c r="J1816" s="691"/>
    </row>
    <row r="1817" spans="1:10" s="389" customFormat="1" ht="9.75" hidden="1" customHeight="1" x14ac:dyDescent="0.2">
      <c r="A1817" s="261" t="s">
        <v>1849</v>
      </c>
      <c r="B1817" s="715">
        <v>4661</v>
      </c>
      <c r="C1817" s="127" t="s">
        <v>879</v>
      </c>
      <c r="D1817" s="127" t="s">
        <v>8</v>
      </c>
      <c r="E1817" s="854">
        <v>2.2200000000000002</v>
      </c>
      <c r="F1817" s="706">
        <v>1</v>
      </c>
      <c r="G1817" s="714">
        <v>302</v>
      </c>
      <c r="H1817" s="127" t="s">
        <v>1508</v>
      </c>
      <c r="I1817" s="848" t="s">
        <v>1557</v>
      </c>
      <c r="J1817" s="691"/>
    </row>
    <row r="1818" spans="1:10" s="389" customFormat="1" ht="9.75" hidden="1" customHeight="1" x14ac:dyDescent="0.2">
      <c r="A1818" s="261" t="s">
        <v>1850</v>
      </c>
      <c r="B1818" s="715">
        <v>4677</v>
      </c>
      <c r="C1818" s="127" t="s">
        <v>880</v>
      </c>
      <c r="D1818" s="127" t="s">
        <v>8</v>
      </c>
      <c r="E1818" s="852">
        <v>74</v>
      </c>
      <c r="F1818" s="706">
        <v>1</v>
      </c>
      <c r="G1818" s="714">
        <v>302</v>
      </c>
      <c r="H1818" s="127" t="s">
        <v>1508</v>
      </c>
      <c r="I1818" s="848" t="s">
        <v>1557</v>
      </c>
      <c r="J1818" s="691"/>
    </row>
    <row r="1819" spans="1:10" s="389" customFormat="1" ht="9.75" hidden="1" customHeight="1" x14ac:dyDescent="0.2">
      <c r="A1819" s="261" t="s">
        <v>1320</v>
      </c>
      <c r="B1819" s="705">
        <v>4705</v>
      </c>
      <c r="C1819" s="127" t="s">
        <v>881</v>
      </c>
      <c r="D1819" s="127" t="s">
        <v>8</v>
      </c>
      <c r="E1819" s="854">
        <v>5</v>
      </c>
      <c r="F1819" s="706">
        <v>1</v>
      </c>
      <c r="G1819" s="714">
        <v>360</v>
      </c>
      <c r="H1819" s="127" t="s">
        <v>151</v>
      </c>
      <c r="I1819" s="848" t="s">
        <v>1557</v>
      </c>
      <c r="J1819" s="691"/>
    </row>
    <row r="1820" spans="1:10" s="389" customFormat="1" ht="9.75" hidden="1" customHeight="1" x14ac:dyDescent="0.2">
      <c r="A1820" s="261" t="s">
        <v>1851</v>
      </c>
      <c r="B1820" s="715">
        <v>4758</v>
      </c>
      <c r="C1820" s="127" t="s">
        <v>885</v>
      </c>
      <c r="D1820" s="127" t="s">
        <v>8</v>
      </c>
      <c r="E1820" s="854">
        <v>0.26379999999999998</v>
      </c>
      <c r="F1820" s="706">
        <v>1</v>
      </c>
      <c r="G1820" s="714">
        <v>205</v>
      </c>
      <c r="H1820" s="127" t="s">
        <v>1472</v>
      </c>
      <c r="I1820" s="848" t="s">
        <v>1557</v>
      </c>
      <c r="J1820" s="691"/>
    </row>
    <row r="1821" spans="1:10" s="389" customFormat="1" ht="19.350000000000001" hidden="1" customHeight="1" x14ac:dyDescent="0.2">
      <c r="A1821" s="261" t="s">
        <v>1852</v>
      </c>
      <c r="B1821" s="705">
        <v>5213</v>
      </c>
      <c r="C1821" s="127" t="s">
        <v>741</v>
      </c>
      <c r="D1821" s="127" t="s">
        <v>94</v>
      </c>
      <c r="E1821" s="852">
        <v>54.000999999999998</v>
      </c>
      <c r="F1821" s="706">
        <v>1</v>
      </c>
      <c r="G1821" s="714">
        <v>127</v>
      </c>
      <c r="H1821" s="127" t="s">
        <v>1413</v>
      </c>
      <c r="I1821" s="848" t="s">
        <v>1557</v>
      </c>
      <c r="J1821" s="691"/>
    </row>
    <row r="1822" spans="1:10" s="389" customFormat="1" ht="9.75" hidden="1" customHeight="1" x14ac:dyDescent="0.2">
      <c r="A1822" s="261" t="s">
        <v>1853</v>
      </c>
      <c r="B1822" s="705">
        <v>5282</v>
      </c>
      <c r="C1822" s="127" t="s">
        <v>1655</v>
      </c>
      <c r="D1822" s="127" t="s">
        <v>13</v>
      </c>
      <c r="E1822" s="852">
        <v>20</v>
      </c>
      <c r="F1822" s="706">
        <v>1</v>
      </c>
      <c r="G1822" s="714">
        <v>360</v>
      </c>
      <c r="H1822" s="127" t="s">
        <v>151</v>
      </c>
      <c r="I1822" s="848" t="s">
        <v>1557</v>
      </c>
      <c r="J1822" s="691"/>
    </row>
    <row r="1823" spans="1:10" s="389" customFormat="1" ht="9.75" hidden="1" customHeight="1" x14ac:dyDescent="0.2">
      <c r="A1823" s="261" t="s">
        <v>1854</v>
      </c>
      <c r="B1823" s="705">
        <v>5284</v>
      </c>
      <c r="C1823" s="127" t="s">
        <v>1656</v>
      </c>
      <c r="D1823" s="127" t="s">
        <v>8</v>
      </c>
      <c r="E1823" s="854">
        <v>5</v>
      </c>
      <c r="F1823" s="706">
        <v>1</v>
      </c>
      <c r="G1823" s="714">
        <v>360</v>
      </c>
      <c r="H1823" s="127" t="s">
        <v>151</v>
      </c>
      <c r="I1823" s="848" t="s">
        <v>1557</v>
      </c>
      <c r="J1823" s="691"/>
    </row>
    <row r="1824" spans="1:10" s="389" customFormat="1" ht="9.75" hidden="1" customHeight="1" x14ac:dyDescent="0.2">
      <c r="A1824" s="261" t="s">
        <v>1321</v>
      </c>
      <c r="B1824" s="705">
        <v>5287</v>
      </c>
      <c r="C1824" s="127" t="s">
        <v>891</v>
      </c>
      <c r="D1824" s="127" t="s">
        <v>8</v>
      </c>
      <c r="E1824" s="854">
        <v>4</v>
      </c>
      <c r="F1824" s="706">
        <v>1</v>
      </c>
      <c r="G1824" s="714">
        <v>360</v>
      </c>
      <c r="H1824" s="127" t="s">
        <v>151</v>
      </c>
      <c r="I1824" s="848" t="s">
        <v>1557</v>
      </c>
      <c r="J1824" s="691"/>
    </row>
    <row r="1825" spans="1:10" s="389" customFormat="1" ht="9.75" hidden="1" customHeight="1" x14ac:dyDescent="0.2">
      <c r="A1825" s="261" t="s">
        <v>1291</v>
      </c>
      <c r="B1825" s="705">
        <v>5348</v>
      </c>
      <c r="C1825" s="127" t="s">
        <v>893</v>
      </c>
      <c r="D1825" s="127" t="s">
        <v>90</v>
      </c>
      <c r="E1825" s="856">
        <v>233.07</v>
      </c>
      <c r="F1825" s="706">
        <v>1</v>
      </c>
      <c r="G1825" s="714">
        <v>107</v>
      </c>
      <c r="H1825" s="127" t="s">
        <v>484</v>
      </c>
      <c r="I1825" s="848" t="s">
        <v>1557</v>
      </c>
      <c r="J1825" s="691"/>
    </row>
    <row r="1826" spans="1:10" s="389" customFormat="1" ht="9.75" hidden="1" customHeight="1" x14ac:dyDescent="0.2">
      <c r="A1826" s="261" t="s">
        <v>1281</v>
      </c>
      <c r="B1826" s="715">
        <v>5421</v>
      </c>
      <c r="C1826" s="127" t="s">
        <v>897</v>
      </c>
      <c r="D1826" s="127" t="s">
        <v>8</v>
      </c>
      <c r="E1826" s="856">
        <v>113.64749999999999</v>
      </c>
      <c r="F1826" s="706">
        <v>1</v>
      </c>
      <c r="G1826" s="714">
        <v>162</v>
      </c>
      <c r="H1826" s="127" t="s">
        <v>485</v>
      </c>
      <c r="I1826" s="848" t="s">
        <v>1557</v>
      </c>
      <c r="J1826" s="691"/>
    </row>
    <row r="1827" spans="1:10" s="389" customFormat="1" ht="9.75" hidden="1" customHeight="1" x14ac:dyDescent="0.2">
      <c r="A1827" s="261" t="s">
        <v>1286</v>
      </c>
      <c r="B1827" s="715">
        <v>5426</v>
      </c>
      <c r="C1827" s="127" t="s">
        <v>898</v>
      </c>
      <c r="D1827" s="127" t="s">
        <v>101</v>
      </c>
      <c r="E1827" s="852">
        <v>70.501599999999996</v>
      </c>
      <c r="F1827" s="706">
        <v>1</v>
      </c>
      <c r="G1827" s="714">
        <v>144</v>
      </c>
      <c r="H1827" s="127" t="s">
        <v>493</v>
      </c>
      <c r="I1827" s="848" t="s">
        <v>1557</v>
      </c>
      <c r="J1827" s="691"/>
    </row>
    <row r="1828" spans="1:10" s="389" customFormat="1" ht="9.75" hidden="1" customHeight="1" x14ac:dyDescent="0.2">
      <c r="A1828" s="261" t="s">
        <v>1855</v>
      </c>
      <c r="B1828" s="715">
        <v>5494</v>
      </c>
      <c r="C1828" s="127" t="s">
        <v>902</v>
      </c>
      <c r="D1828" s="127" t="s">
        <v>8</v>
      </c>
      <c r="E1828" s="856">
        <v>148</v>
      </c>
      <c r="F1828" s="706">
        <v>1</v>
      </c>
      <c r="G1828" s="714">
        <v>302</v>
      </c>
      <c r="H1828" s="127" t="s">
        <v>1508</v>
      </c>
      <c r="I1828" s="848" t="s">
        <v>1557</v>
      </c>
      <c r="J1828" s="691"/>
    </row>
    <row r="1829" spans="1:10" s="389" customFormat="1" ht="9.75" hidden="1" customHeight="1" x14ac:dyDescent="0.2">
      <c r="A1829" s="261" t="s">
        <v>1856</v>
      </c>
      <c r="B1829" s="715">
        <v>5495</v>
      </c>
      <c r="C1829" s="127" t="s">
        <v>903</v>
      </c>
      <c r="D1829" s="127" t="s">
        <v>8</v>
      </c>
      <c r="E1829" s="852">
        <v>74</v>
      </c>
      <c r="F1829" s="706">
        <v>1</v>
      </c>
      <c r="G1829" s="714">
        <v>302</v>
      </c>
      <c r="H1829" s="127" t="s">
        <v>1508</v>
      </c>
      <c r="I1829" s="848" t="s">
        <v>1557</v>
      </c>
      <c r="J1829" s="691"/>
    </row>
    <row r="1830" spans="1:10" s="389" customFormat="1" ht="19.350000000000001" hidden="1" customHeight="1" x14ac:dyDescent="0.2">
      <c r="A1830" s="261" t="s">
        <v>1857</v>
      </c>
      <c r="B1830" s="715">
        <v>5497</v>
      </c>
      <c r="C1830" s="127" t="s">
        <v>904</v>
      </c>
      <c r="D1830" s="127" t="s">
        <v>8</v>
      </c>
      <c r="E1830" s="852">
        <v>72</v>
      </c>
      <c r="F1830" s="706">
        <v>1</v>
      </c>
      <c r="G1830" s="714">
        <v>306</v>
      </c>
      <c r="H1830" s="127" t="s">
        <v>1510</v>
      </c>
      <c r="I1830" s="848" t="s">
        <v>1557</v>
      </c>
      <c r="J1830" s="691"/>
    </row>
    <row r="1831" spans="1:10" s="389" customFormat="1" ht="9.75" hidden="1" customHeight="1" x14ac:dyDescent="0.2">
      <c r="A1831" s="261" t="s">
        <v>1858</v>
      </c>
      <c r="B1831" s="715">
        <v>5500</v>
      </c>
      <c r="C1831" s="127" t="s">
        <v>906</v>
      </c>
      <c r="D1831" s="127" t="s">
        <v>193</v>
      </c>
      <c r="E1831" s="852">
        <v>13</v>
      </c>
      <c r="F1831" s="706">
        <v>1</v>
      </c>
      <c r="G1831" s="714">
        <v>268</v>
      </c>
      <c r="H1831" s="127" t="s">
        <v>1496</v>
      </c>
      <c r="I1831" s="848" t="s">
        <v>1557</v>
      </c>
      <c r="J1831" s="691"/>
    </row>
    <row r="1832" spans="1:10" s="389" customFormat="1" ht="9.75" hidden="1" customHeight="1" x14ac:dyDescent="0.2">
      <c r="A1832" s="261" t="s">
        <v>1859</v>
      </c>
      <c r="B1832" s="715">
        <v>5509</v>
      </c>
      <c r="C1832" s="127" t="s">
        <v>1657</v>
      </c>
      <c r="D1832" s="127" t="s">
        <v>8</v>
      </c>
      <c r="E1832" s="852">
        <v>23.684999999999999</v>
      </c>
      <c r="F1832" s="706">
        <v>1</v>
      </c>
      <c r="G1832" s="714">
        <v>334</v>
      </c>
      <c r="H1832" s="127" t="s">
        <v>253</v>
      </c>
      <c r="I1832" s="848" t="s">
        <v>1557</v>
      </c>
      <c r="J1832" s="691"/>
    </row>
    <row r="1833" spans="1:10" s="389" customFormat="1" ht="9.75" hidden="1" customHeight="1" x14ac:dyDescent="0.2">
      <c r="A1833" s="261" t="s">
        <v>1342</v>
      </c>
      <c r="B1833" s="705">
        <v>5526</v>
      </c>
      <c r="C1833" s="127" t="s">
        <v>908</v>
      </c>
      <c r="D1833" s="127" t="s">
        <v>8</v>
      </c>
      <c r="E1833" s="852">
        <v>22</v>
      </c>
      <c r="F1833" s="706">
        <v>1</v>
      </c>
      <c r="G1833" s="714">
        <v>362</v>
      </c>
      <c r="H1833" s="127" t="s">
        <v>514</v>
      </c>
      <c r="I1833" s="848" t="s">
        <v>1557</v>
      </c>
      <c r="J1833" s="691"/>
    </row>
    <row r="1834" spans="1:10" s="389" customFormat="1" ht="9.75" hidden="1" customHeight="1" x14ac:dyDescent="0.2">
      <c r="A1834" s="261" t="s">
        <v>1860</v>
      </c>
      <c r="B1834" s="715">
        <v>5598</v>
      </c>
      <c r="C1834" s="127" t="s">
        <v>1658</v>
      </c>
      <c r="D1834" s="127" t="s">
        <v>13</v>
      </c>
      <c r="E1834" s="852">
        <v>21.87</v>
      </c>
      <c r="F1834" s="706">
        <v>1</v>
      </c>
      <c r="G1834" s="714">
        <v>349</v>
      </c>
      <c r="H1834" s="127" t="s">
        <v>505</v>
      </c>
      <c r="I1834" s="848" t="s">
        <v>1557</v>
      </c>
      <c r="J1834" s="691"/>
    </row>
    <row r="1835" spans="1:10" s="389" customFormat="1" ht="19.350000000000001" hidden="1" customHeight="1" x14ac:dyDescent="0.2">
      <c r="A1835" s="261" t="s">
        <v>1323</v>
      </c>
      <c r="B1835" s="705">
        <v>5676</v>
      </c>
      <c r="C1835" s="127" t="s">
        <v>917</v>
      </c>
      <c r="D1835" s="127" t="s">
        <v>192</v>
      </c>
      <c r="E1835" s="852">
        <v>60</v>
      </c>
      <c r="F1835" s="706">
        <v>1</v>
      </c>
      <c r="G1835" s="714">
        <v>360</v>
      </c>
      <c r="H1835" s="127" t="s">
        <v>151</v>
      </c>
      <c r="I1835" s="848" t="s">
        <v>1557</v>
      </c>
      <c r="J1835" s="691"/>
    </row>
    <row r="1836" spans="1:10" s="389" customFormat="1" ht="9.75" hidden="1" customHeight="1" x14ac:dyDescent="0.2">
      <c r="A1836" s="261" t="s">
        <v>1861</v>
      </c>
      <c r="B1836" s="705">
        <v>5692</v>
      </c>
      <c r="C1836" s="127" t="s">
        <v>919</v>
      </c>
      <c r="D1836" s="127" t="s">
        <v>101</v>
      </c>
      <c r="E1836" s="855">
        <v>4267.9139999999998</v>
      </c>
      <c r="F1836" s="706">
        <v>1</v>
      </c>
      <c r="G1836" s="714">
        <v>330</v>
      </c>
      <c r="H1836" s="127" t="s">
        <v>1520</v>
      </c>
      <c r="I1836" s="848" t="s">
        <v>1557</v>
      </c>
      <c r="J1836" s="691"/>
    </row>
    <row r="1837" spans="1:10" s="389" customFormat="1" ht="19.350000000000001" hidden="1" customHeight="1" x14ac:dyDescent="0.2">
      <c r="A1837" s="261" t="s">
        <v>1862</v>
      </c>
      <c r="B1837" s="715">
        <v>6114</v>
      </c>
      <c r="C1837" s="127" t="s">
        <v>924</v>
      </c>
      <c r="D1837" s="127" t="s">
        <v>384</v>
      </c>
      <c r="E1837" s="856">
        <v>600.54399999999998</v>
      </c>
      <c r="F1837" s="706">
        <v>1</v>
      </c>
      <c r="G1837" s="714">
        <v>327</v>
      </c>
      <c r="H1837" s="127" t="s">
        <v>1518</v>
      </c>
      <c r="I1837" s="848" t="s">
        <v>1557</v>
      </c>
      <c r="J1837" s="691"/>
    </row>
    <row r="1838" spans="1:10" s="389" customFormat="1" ht="9.75" hidden="1" customHeight="1" x14ac:dyDescent="0.2">
      <c r="A1838" s="261" t="s">
        <v>1863</v>
      </c>
      <c r="B1838" s="715">
        <v>6163</v>
      </c>
      <c r="C1838" s="127" t="s">
        <v>1659</v>
      </c>
      <c r="D1838" s="127" t="s">
        <v>101</v>
      </c>
      <c r="E1838" s="856">
        <v>345.54300000000001</v>
      </c>
      <c r="F1838" s="706">
        <v>1</v>
      </c>
      <c r="G1838" s="714">
        <v>341</v>
      </c>
      <c r="H1838" s="127" t="s">
        <v>1524</v>
      </c>
      <c r="I1838" s="848" t="s">
        <v>1557</v>
      </c>
      <c r="J1838" s="691"/>
    </row>
    <row r="1839" spans="1:10" s="389" customFormat="1" ht="9.75" hidden="1" customHeight="1" x14ac:dyDescent="0.2">
      <c r="A1839" s="261" t="s">
        <v>1282</v>
      </c>
      <c r="B1839" s="715">
        <v>6416</v>
      </c>
      <c r="C1839" s="127" t="s">
        <v>931</v>
      </c>
      <c r="D1839" s="127" t="s">
        <v>15</v>
      </c>
      <c r="E1839" s="856">
        <v>170.25</v>
      </c>
      <c r="F1839" s="706">
        <v>1</v>
      </c>
      <c r="G1839" s="714">
        <v>296</v>
      </c>
      <c r="H1839" s="127" t="s">
        <v>491</v>
      </c>
      <c r="I1839" s="848" t="s">
        <v>1557</v>
      </c>
      <c r="J1839" s="691"/>
    </row>
    <row r="1840" spans="1:10" s="389" customFormat="1" ht="9.75" hidden="1" customHeight="1" x14ac:dyDescent="0.2">
      <c r="A1840" s="261" t="s">
        <v>1343</v>
      </c>
      <c r="B1840" s="705">
        <v>6432</v>
      </c>
      <c r="C1840" s="127" t="s">
        <v>935</v>
      </c>
      <c r="D1840" s="127" t="s">
        <v>8</v>
      </c>
      <c r="E1840" s="854">
        <v>3</v>
      </c>
      <c r="F1840" s="706">
        <v>1</v>
      </c>
      <c r="G1840" s="714">
        <v>369</v>
      </c>
      <c r="H1840" s="127" t="s">
        <v>818</v>
      </c>
      <c r="I1840" s="848" t="s">
        <v>1557</v>
      </c>
      <c r="J1840" s="691"/>
    </row>
    <row r="1841" spans="1:10" s="389" customFormat="1" ht="19.350000000000001" hidden="1" customHeight="1" x14ac:dyDescent="0.2">
      <c r="A1841" s="261" t="s">
        <v>1864</v>
      </c>
      <c r="B1841" s="705">
        <v>6543</v>
      </c>
      <c r="C1841" s="127" t="s">
        <v>936</v>
      </c>
      <c r="D1841" s="127" t="s">
        <v>8</v>
      </c>
      <c r="E1841" s="852">
        <v>18</v>
      </c>
      <c r="F1841" s="706">
        <v>1</v>
      </c>
      <c r="G1841" s="714">
        <v>287</v>
      </c>
      <c r="H1841" s="127" t="s">
        <v>1502</v>
      </c>
      <c r="I1841" s="848" t="s">
        <v>1557</v>
      </c>
      <c r="J1841" s="691"/>
    </row>
    <row r="1842" spans="1:10" s="389" customFormat="1" ht="9.75" hidden="1" customHeight="1" x14ac:dyDescent="0.2">
      <c r="A1842" s="261" t="s">
        <v>1865</v>
      </c>
      <c r="B1842" s="715">
        <v>6837</v>
      </c>
      <c r="C1842" s="127" t="s">
        <v>1660</v>
      </c>
      <c r="D1842" s="127" t="s">
        <v>13</v>
      </c>
      <c r="E1842" s="856">
        <v>720.65279999999996</v>
      </c>
      <c r="F1842" s="706">
        <v>1</v>
      </c>
      <c r="G1842" s="714">
        <v>327</v>
      </c>
      <c r="H1842" s="127" t="s">
        <v>1518</v>
      </c>
      <c r="I1842" s="848" t="s">
        <v>1557</v>
      </c>
      <c r="J1842" s="691"/>
    </row>
    <row r="1843" spans="1:10" s="389" customFormat="1" ht="19.350000000000001" hidden="1" customHeight="1" x14ac:dyDescent="0.2">
      <c r="A1843" s="261" t="s">
        <v>1866</v>
      </c>
      <c r="B1843" s="705">
        <v>6949</v>
      </c>
      <c r="C1843" s="127" t="s">
        <v>938</v>
      </c>
      <c r="D1843" s="127" t="s">
        <v>8</v>
      </c>
      <c r="E1843" s="855">
        <v>2438.808</v>
      </c>
      <c r="F1843" s="706">
        <v>1</v>
      </c>
      <c r="G1843" s="714">
        <v>330</v>
      </c>
      <c r="H1843" s="127" t="s">
        <v>1520</v>
      </c>
      <c r="I1843" s="848" t="s">
        <v>1557</v>
      </c>
      <c r="J1843" s="691"/>
    </row>
    <row r="1844" spans="1:10" s="389" customFormat="1" ht="9.75" hidden="1" customHeight="1" x14ac:dyDescent="0.2">
      <c r="A1844" s="261" t="s">
        <v>1867</v>
      </c>
      <c r="B1844" s="705">
        <v>6953</v>
      </c>
      <c r="C1844" s="127" t="s">
        <v>1661</v>
      </c>
      <c r="D1844" s="127" t="s">
        <v>15</v>
      </c>
      <c r="E1844" s="856">
        <v>485.1</v>
      </c>
      <c r="F1844" s="706">
        <v>1</v>
      </c>
      <c r="G1844" s="714">
        <v>203</v>
      </c>
      <c r="H1844" s="127" t="s">
        <v>1471</v>
      </c>
      <c r="I1844" s="848" t="s">
        <v>1557</v>
      </c>
      <c r="J1844" s="691"/>
    </row>
    <row r="1845" spans="1:10" s="389" customFormat="1" ht="19.350000000000001" hidden="1" customHeight="1" x14ac:dyDescent="0.2">
      <c r="A1845" s="261" t="s">
        <v>1868</v>
      </c>
      <c r="B1845" s="705">
        <v>7013</v>
      </c>
      <c r="C1845" s="127" t="s">
        <v>939</v>
      </c>
      <c r="D1845" s="127" t="s">
        <v>8</v>
      </c>
      <c r="E1845" s="852">
        <v>60.597000000000001</v>
      </c>
      <c r="F1845" s="706">
        <v>1</v>
      </c>
      <c r="G1845" s="714">
        <v>332</v>
      </c>
      <c r="H1845" s="127" t="s">
        <v>1521</v>
      </c>
      <c r="I1845" s="848" t="s">
        <v>1557</v>
      </c>
      <c r="J1845" s="691"/>
    </row>
    <row r="1846" spans="1:10" s="389" customFormat="1" ht="9.75" hidden="1" customHeight="1" x14ac:dyDescent="0.2">
      <c r="A1846" s="261" t="s">
        <v>1324</v>
      </c>
      <c r="B1846" s="705">
        <v>7018</v>
      </c>
      <c r="C1846" s="127" t="s">
        <v>940</v>
      </c>
      <c r="D1846" s="127" t="s">
        <v>13</v>
      </c>
      <c r="E1846" s="854">
        <v>7.2</v>
      </c>
      <c r="F1846" s="706">
        <v>1</v>
      </c>
      <c r="G1846" s="714">
        <v>336</v>
      </c>
      <c r="H1846" s="127" t="s">
        <v>504</v>
      </c>
      <c r="I1846" s="848" t="s">
        <v>1557</v>
      </c>
      <c r="J1846" s="691"/>
    </row>
    <row r="1847" spans="1:10" s="389" customFormat="1" ht="9.75" hidden="1" customHeight="1" x14ac:dyDescent="0.2">
      <c r="A1847" s="261" t="s">
        <v>1325</v>
      </c>
      <c r="B1847" s="705">
        <v>7019</v>
      </c>
      <c r="C1847" s="127" t="s">
        <v>941</v>
      </c>
      <c r="D1847" s="127" t="s">
        <v>13</v>
      </c>
      <c r="E1847" s="854">
        <v>7.2</v>
      </c>
      <c r="F1847" s="706">
        <v>1</v>
      </c>
      <c r="G1847" s="714">
        <v>336</v>
      </c>
      <c r="H1847" s="127" t="s">
        <v>504</v>
      </c>
      <c r="I1847" s="848" t="s">
        <v>1557</v>
      </c>
      <c r="J1847" s="691"/>
    </row>
    <row r="1848" spans="1:10" s="389" customFormat="1" ht="9.75" hidden="1" customHeight="1" x14ac:dyDescent="0.2">
      <c r="A1848" s="261" t="s">
        <v>1326</v>
      </c>
      <c r="B1848" s="705">
        <v>7022</v>
      </c>
      <c r="C1848" s="127" t="s">
        <v>942</v>
      </c>
      <c r="D1848" s="127" t="s">
        <v>13</v>
      </c>
      <c r="E1848" s="854">
        <v>7.2</v>
      </c>
      <c r="F1848" s="706">
        <v>1</v>
      </c>
      <c r="G1848" s="714">
        <v>336</v>
      </c>
      <c r="H1848" s="127" t="s">
        <v>504</v>
      </c>
      <c r="I1848" s="848" t="s">
        <v>1557</v>
      </c>
      <c r="J1848" s="691"/>
    </row>
    <row r="1849" spans="1:10" s="389" customFormat="1" ht="9.75" hidden="1" customHeight="1" x14ac:dyDescent="0.2">
      <c r="A1849" s="261" t="s">
        <v>1869</v>
      </c>
      <c r="B1849" s="715">
        <v>7034</v>
      </c>
      <c r="C1849" s="127" t="s">
        <v>943</v>
      </c>
      <c r="D1849" s="127" t="s">
        <v>8</v>
      </c>
      <c r="E1849" s="855">
        <v>1501.36</v>
      </c>
      <c r="F1849" s="706">
        <v>1</v>
      </c>
      <c r="G1849" s="714">
        <v>327</v>
      </c>
      <c r="H1849" s="127" t="s">
        <v>1518</v>
      </c>
      <c r="I1849" s="848" t="s">
        <v>1557</v>
      </c>
      <c r="J1849" s="691"/>
    </row>
    <row r="1850" spans="1:10" s="389" customFormat="1" ht="9.75" hidden="1" customHeight="1" x14ac:dyDescent="0.2">
      <c r="A1850" s="261" t="s">
        <v>1870</v>
      </c>
      <c r="B1850" s="705">
        <v>7049</v>
      </c>
      <c r="C1850" s="127" t="s">
        <v>416</v>
      </c>
      <c r="D1850" s="127" t="s">
        <v>13</v>
      </c>
      <c r="E1850" s="852">
        <v>32.318399999999997</v>
      </c>
      <c r="F1850" s="706">
        <v>1</v>
      </c>
      <c r="G1850" s="714">
        <v>332</v>
      </c>
      <c r="H1850" s="127" t="s">
        <v>1521</v>
      </c>
      <c r="I1850" s="848" t="s">
        <v>1557</v>
      </c>
      <c r="J1850" s="691"/>
    </row>
    <row r="1851" spans="1:10" s="389" customFormat="1" ht="19.350000000000001" hidden="1" customHeight="1" x14ac:dyDescent="0.2">
      <c r="A1851" s="261" t="s">
        <v>1327</v>
      </c>
      <c r="B1851" s="705">
        <v>7276</v>
      </c>
      <c r="C1851" s="127" t="s">
        <v>950</v>
      </c>
      <c r="D1851" s="127" t="s">
        <v>8</v>
      </c>
      <c r="E1851" s="854">
        <v>4</v>
      </c>
      <c r="F1851" s="706">
        <v>1</v>
      </c>
      <c r="G1851" s="714">
        <v>316</v>
      </c>
      <c r="H1851" s="127" t="s">
        <v>250</v>
      </c>
      <c r="I1851" s="848" t="s">
        <v>1557</v>
      </c>
      <c r="J1851" s="691"/>
    </row>
    <row r="1852" spans="1:10" s="389" customFormat="1" ht="9.75" hidden="1" customHeight="1" x14ac:dyDescent="0.2">
      <c r="A1852" s="261" t="s">
        <v>1871</v>
      </c>
      <c r="B1852" s="715">
        <v>7303</v>
      </c>
      <c r="C1852" s="127" t="s">
        <v>951</v>
      </c>
      <c r="D1852" s="127" t="s">
        <v>8</v>
      </c>
      <c r="E1852" s="856">
        <v>357.8</v>
      </c>
      <c r="F1852" s="706">
        <v>1</v>
      </c>
      <c r="G1852" s="714">
        <v>235</v>
      </c>
      <c r="H1852" s="127" t="s">
        <v>1480</v>
      </c>
      <c r="I1852" s="848" t="s">
        <v>1557</v>
      </c>
      <c r="J1852" s="691"/>
    </row>
    <row r="1853" spans="1:10" s="389" customFormat="1" ht="9.75" hidden="1" customHeight="1" x14ac:dyDescent="0.2">
      <c r="A1853" s="261" t="s">
        <v>1872</v>
      </c>
      <c r="B1853" s="715">
        <v>7543</v>
      </c>
      <c r="C1853" s="127" t="s">
        <v>1662</v>
      </c>
      <c r="D1853" s="127" t="s">
        <v>90</v>
      </c>
      <c r="E1853" s="856">
        <v>664.60900000000004</v>
      </c>
      <c r="F1853" s="706">
        <v>1</v>
      </c>
      <c r="G1853" s="714">
        <v>236</v>
      </c>
      <c r="H1853" s="127" t="s">
        <v>1481</v>
      </c>
      <c r="I1853" s="848" t="s">
        <v>1557</v>
      </c>
      <c r="J1853" s="691"/>
    </row>
    <row r="1854" spans="1:10" s="389" customFormat="1" ht="9.75" hidden="1" customHeight="1" x14ac:dyDescent="0.2">
      <c r="A1854" s="261" t="s">
        <v>1873</v>
      </c>
      <c r="B1854" s="705">
        <v>7602</v>
      </c>
      <c r="C1854" s="127" t="s">
        <v>1663</v>
      </c>
      <c r="D1854" s="127" t="s">
        <v>15</v>
      </c>
      <c r="E1854" s="854">
        <v>7</v>
      </c>
      <c r="F1854" s="706">
        <v>1</v>
      </c>
      <c r="G1854" s="714">
        <v>371</v>
      </c>
      <c r="H1854" s="127" t="s">
        <v>1540</v>
      </c>
      <c r="I1854" s="848" t="s">
        <v>1557</v>
      </c>
      <c r="J1854" s="691"/>
    </row>
    <row r="1855" spans="1:10" s="389" customFormat="1" ht="19.350000000000001" hidden="1" customHeight="1" x14ac:dyDescent="0.2">
      <c r="A1855" s="261" t="s">
        <v>1874</v>
      </c>
      <c r="B1855" s="715">
        <v>7609</v>
      </c>
      <c r="C1855" s="127" t="s">
        <v>1664</v>
      </c>
      <c r="D1855" s="127" t="s">
        <v>13</v>
      </c>
      <c r="E1855" s="852">
        <v>56.844000000000001</v>
      </c>
      <c r="F1855" s="706">
        <v>1</v>
      </c>
      <c r="G1855" s="714">
        <v>334</v>
      </c>
      <c r="H1855" s="127" t="s">
        <v>253</v>
      </c>
      <c r="I1855" s="848" t="s">
        <v>1557</v>
      </c>
      <c r="J1855" s="691"/>
    </row>
    <row r="1856" spans="1:10" s="389" customFormat="1" ht="9.75" hidden="1" customHeight="1" x14ac:dyDescent="0.2">
      <c r="A1856" s="261" t="s">
        <v>1292</v>
      </c>
      <c r="B1856" s="715">
        <v>7663</v>
      </c>
      <c r="C1856" s="127" t="s">
        <v>953</v>
      </c>
      <c r="D1856" s="127" t="s">
        <v>391</v>
      </c>
      <c r="E1856" s="854">
        <v>2.72</v>
      </c>
      <c r="F1856" s="706">
        <v>1</v>
      </c>
      <c r="G1856" s="714">
        <v>150</v>
      </c>
      <c r="H1856" s="127" t="s">
        <v>783</v>
      </c>
      <c r="I1856" s="848" t="s">
        <v>1557</v>
      </c>
      <c r="J1856" s="691"/>
    </row>
    <row r="1857" spans="1:10" s="389" customFormat="1" ht="9.75" hidden="1" customHeight="1" x14ac:dyDescent="0.2">
      <c r="A1857" s="261" t="s">
        <v>1301</v>
      </c>
      <c r="B1857" s="705">
        <v>7786</v>
      </c>
      <c r="C1857" s="127" t="s">
        <v>997</v>
      </c>
      <c r="D1857" s="127" t="s">
        <v>8</v>
      </c>
      <c r="E1857" s="852">
        <v>47</v>
      </c>
      <c r="F1857" s="706">
        <v>1</v>
      </c>
      <c r="G1857" s="714">
        <v>320</v>
      </c>
      <c r="H1857" s="127" t="s">
        <v>506</v>
      </c>
      <c r="I1857" s="848" t="s">
        <v>1557</v>
      </c>
      <c r="J1857" s="691"/>
    </row>
    <row r="1858" spans="1:10" s="389" customFormat="1" ht="9.75" hidden="1" customHeight="1" x14ac:dyDescent="0.2">
      <c r="A1858" s="261" t="s">
        <v>1875</v>
      </c>
      <c r="B1858" s="715">
        <v>7825</v>
      </c>
      <c r="C1858" s="127" t="s">
        <v>998</v>
      </c>
      <c r="D1858" s="127" t="s">
        <v>13</v>
      </c>
      <c r="E1858" s="855">
        <v>1321.1967999999999</v>
      </c>
      <c r="F1858" s="706">
        <v>1</v>
      </c>
      <c r="G1858" s="714">
        <v>327</v>
      </c>
      <c r="H1858" s="127" t="s">
        <v>1518</v>
      </c>
      <c r="I1858" s="848" t="s">
        <v>1557</v>
      </c>
      <c r="J1858" s="691"/>
    </row>
    <row r="1859" spans="1:10" s="389" customFormat="1" ht="9.75" hidden="1" customHeight="1" x14ac:dyDescent="0.2">
      <c r="A1859" s="261" t="s">
        <v>1876</v>
      </c>
      <c r="B1859" s="705">
        <v>7849</v>
      </c>
      <c r="C1859" s="127" t="s">
        <v>1665</v>
      </c>
      <c r="D1859" s="127" t="s">
        <v>8</v>
      </c>
      <c r="E1859" s="852">
        <v>14</v>
      </c>
      <c r="F1859" s="706">
        <v>1</v>
      </c>
      <c r="G1859" s="714">
        <v>262</v>
      </c>
      <c r="H1859" s="127" t="s">
        <v>1492</v>
      </c>
      <c r="I1859" s="848" t="s">
        <v>1557</v>
      </c>
      <c r="J1859" s="691"/>
    </row>
    <row r="1860" spans="1:10" s="389" customFormat="1" ht="9.75" hidden="1" customHeight="1" x14ac:dyDescent="0.2">
      <c r="A1860" s="261" t="s">
        <v>1877</v>
      </c>
      <c r="B1860" s="705">
        <v>7889</v>
      </c>
      <c r="C1860" s="127" t="s">
        <v>1666</v>
      </c>
      <c r="D1860" s="127" t="s">
        <v>8</v>
      </c>
      <c r="E1860" s="852">
        <v>24</v>
      </c>
      <c r="F1860" s="706">
        <v>1</v>
      </c>
      <c r="G1860" s="714">
        <v>310</v>
      </c>
      <c r="H1860" s="127" t="s">
        <v>500</v>
      </c>
      <c r="I1860" s="848" t="s">
        <v>1557</v>
      </c>
      <c r="J1860" s="691"/>
    </row>
    <row r="1861" spans="1:10" s="389" customFormat="1" ht="19.350000000000001" hidden="1" customHeight="1" x14ac:dyDescent="0.2">
      <c r="A1861" s="261" t="s">
        <v>1283</v>
      </c>
      <c r="B1861" s="705">
        <v>7890</v>
      </c>
      <c r="C1861" s="127" t="s">
        <v>999</v>
      </c>
      <c r="D1861" s="127" t="s">
        <v>8</v>
      </c>
      <c r="E1861" s="852">
        <v>29</v>
      </c>
      <c r="F1861" s="706">
        <v>1</v>
      </c>
      <c r="G1861" s="714">
        <v>307</v>
      </c>
      <c r="H1861" s="127" t="s">
        <v>492</v>
      </c>
      <c r="I1861" s="848" t="s">
        <v>1557</v>
      </c>
      <c r="J1861" s="691"/>
    </row>
    <row r="1862" spans="1:10" s="389" customFormat="1" ht="9.75" hidden="1" customHeight="1" x14ac:dyDescent="0.2">
      <c r="A1862" s="261" t="s">
        <v>1878</v>
      </c>
      <c r="B1862" s="705">
        <v>7895</v>
      </c>
      <c r="C1862" s="127" t="s">
        <v>1667</v>
      </c>
      <c r="D1862" s="127" t="s">
        <v>90</v>
      </c>
      <c r="E1862" s="852">
        <v>45.3705</v>
      </c>
      <c r="F1862" s="706">
        <v>1</v>
      </c>
      <c r="G1862" s="714">
        <v>108</v>
      </c>
      <c r="H1862" s="127" t="s">
        <v>1408</v>
      </c>
      <c r="I1862" s="848" t="s">
        <v>1557</v>
      </c>
      <c r="J1862" s="691"/>
    </row>
    <row r="1863" spans="1:10" s="389" customFormat="1" ht="10.9" hidden="1" customHeight="1" x14ac:dyDescent="0.2">
      <c r="A1863" s="261" t="s">
        <v>1879</v>
      </c>
      <c r="B1863" s="705">
        <v>7954</v>
      </c>
      <c r="C1863" s="127" t="s">
        <v>1000</v>
      </c>
      <c r="D1863" s="127" t="s">
        <v>8</v>
      </c>
      <c r="E1863" s="852">
        <v>31</v>
      </c>
      <c r="F1863" s="706">
        <v>1</v>
      </c>
      <c r="G1863" s="714">
        <v>270</v>
      </c>
      <c r="H1863" s="127" t="s">
        <v>1498</v>
      </c>
      <c r="I1863" s="848" t="s">
        <v>1557</v>
      </c>
      <c r="J1863" s="691"/>
    </row>
    <row r="1864" spans="1:10" s="389" customFormat="1" ht="9.75" hidden="1" customHeight="1" x14ac:dyDescent="0.2">
      <c r="A1864" s="261" t="s">
        <v>1880</v>
      </c>
      <c r="B1864" s="705">
        <v>7955</v>
      </c>
      <c r="C1864" s="127" t="s">
        <v>1001</v>
      </c>
      <c r="D1864" s="127" t="s">
        <v>8</v>
      </c>
      <c r="E1864" s="852">
        <v>99</v>
      </c>
      <c r="F1864" s="706">
        <v>1</v>
      </c>
      <c r="G1864" s="714">
        <v>269</v>
      </c>
      <c r="H1864" s="127" t="s">
        <v>1497</v>
      </c>
      <c r="I1864" s="848" t="s">
        <v>1557</v>
      </c>
      <c r="J1864" s="691"/>
    </row>
    <row r="1865" spans="1:10" s="389" customFormat="1" ht="9.75" hidden="1" customHeight="1" x14ac:dyDescent="0.2">
      <c r="A1865" s="261" t="s">
        <v>1881</v>
      </c>
      <c r="B1865" s="705">
        <v>7957</v>
      </c>
      <c r="C1865" s="127" t="s">
        <v>1002</v>
      </c>
      <c r="D1865" s="127" t="s">
        <v>8</v>
      </c>
      <c r="E1865" s="854">
        <v>9</v>
      </c>
      <c r="F1865" s="706">
        <v>1</v>
      </c>
      <c r="G1865" s="714">
        <v>272</v>
      </c>
      <c r="H1865" s="127" t="s">
        <v>1500</v>
      </c>
      <c r="I1865" s="848" t="s">
        <v>1557</v>
      </c>
      <c r="J1865" s="691"/>
    </row>
    <row r="1866" spans="1:10" s="389" customFormat="1" ht="9.75" hidden="1" customHeight="1" x14ac:dyDescent="0.2">
      <c r="A1866" s="261" t="s">
        <v>1882</v>
      </c>
      <c r="B1866" s="705">
        <v>7965</v>
      </c>
      <c r="C1866" s="127" t="s">
        <v>1668</v>
      </c>
      <c r="D1866" s="127" t="s">
        <v>382</v>
      </c>
      <c r="E1866" s="852">
        <v>72</v>
      </c>
      <c r="F1866" s="706">
        <v>1</v>
      </c>
      <c r="G1866" s="714">
        <v>306</v>
      </c>
      <c r="H1866" s="127" t="s">
        <v>1510</v>
      </c>
      <c r="I1866" s="848" t="s">
        <v>1557</v>
      </c>
      <c r="J1866" s="691"/>
    </row>
    <row r="1867" spans="1:10" s="389" customFormat="1" ht="9.75" hidden="1" customHeight="1" x14ac:dyDescent="0.2">
      <c r="A1867" s="261" t="s">
        <v>1883</v>
      </c>
      <c r="B1867" s="705">
        <v>7967</v>
      </c>
      <c r="C1867" s="127" t="s">
        <v>1004</v>
      </c>
      <c r="D1867" s="127" t="s">
        <v>382</v>
      </c>
      <c r="E1867" s="854">
        <v>4</v>
      </c>
      <c r="F1867" s="706">
        <v>1</v>
      </c>
      <c r="G1867" s="714">
        <v>308</v>
      </c>
      <c r="H1867" s="127" t="s">
        <v>1511</v>
      </c>
      <c r="I1867" s="848" t="s">
        <v>1557</v>
      </c>
      <c r="J1867" s="691"/>
    </row>
    <row r="1868" spans="1:10" s="389" customFormat="1" ht="9.75" hidden="1" customHeight="1" x14ac:dyDescent="0.2">
      <c r="A1868" s="261" t="s">
        <v>1884</v>
      </c>
      <c r="B1868" s="705">
        <v>7972</v>
      </c>
      <c r="C1868" s="127" t="s">
        <v>1005</v>
      </c>
      <c r="D1868" s="127" t="s">
        <v>382</v>
      </c>
      <c r="E1868" s="852">
        <v>76</v>
      </c>
      <c r="F1868" s="706">
        <v>1</v>
      </c>
      <c r="G1868" s="714">
        <v>317</v>
      </c>
      <c r="H1868" s="127" t="s">
        <v>1515</v>
      </c>
      <c r="I1868" s="848" t="s">
        <v>1557</v>
      </c>
      <c r="J1868" s="691"/>
    </row>
    <row r="1869" spans="1:10" s="389" customFormat="1" ht="9.75" hidden="1" customHeight="1" x14ac:dyDescent="0.2">
      <c r="A1869" s="261" t="s">
        <v>1885</v>
      </c>
      <c r="B1869" s="715">
        <v>7973</v>
      </c>
      <c r="C1869" s="127" t="s">
        <v>1006</v>
      </c>
      <c r="D1869" s="127" t="s">
        <v>382</v>
      </c>
      <c r="E1869" s="856">
        <v>113</v>
      </c>
      <c r="F1869" s="706">
        <v>1</v>
      </c>
      <c r="G1869" s="714">
        <v>321</v>
      </c>
      <c r="H1869" s="127" t="s">
        <v>1517</v>
      </c>
      <c r="I1869" s="848" t="s">
        <v>1557</v>
      </c>
      <c r="J1869" s="691"/>
    </row>
    <row r="1870" spans="1:10" s="389" customFormat="1" ht="9.75" hidden="1" customHeight="1" x14ac:dyDescent="0.2">
      <c r="A1870" s="261" t="s">
        <v>1886</v>
      </c>
      <c r="B1870" s="705">
        <v>7974</v>
      </c>
      <c r="C1870" s="127" t="s">
        <v>1007</v>
      </c>
      <c r="D1870" s="127" t="s">
        <v>382</v>
      </c>
      <c r="E1870" s="852">
        <v>29</v>
      </c>
      <c r="F1870" s="706">
        <v>1</v>
      </c>
      <c r="G1870" s="714">
        <v>315</v>
      </c>
      <c r="H1870" s="127" t="s">
        <v>1514</v>
      </c>
      <c r="I1870" s="848" t="s">
        <v>1557</v>
      </c>
      <c r="J1870" s="691"/>
    </row>
    <row r="1871" spans="1:10" s="389" customFormat="1" ht="9.75" hidden="1" customHeight="1" x14ac:dyDescent="0.2">
      <c r="A1871" s="261" t="s">
        <v>1887</v>
      </c>
      <c r="B1871" s="705">
        <v>7979</v>
      </c>
      <c r="C1871" s="127" t="s">
        <v>1008</v>
      </c>
      <c r="D1871" s="127" t="s">
        <v>382</v>
      </c>
      <c r="E1871" s="852">
        <v>24</v>
      </c>
      <c r="F1871" s="706">
        <v>1</v>
      </c>
      <c r="G1871" s="714">
        <v>314</v>
      </c>
      <c r="H1871" s="127" t="s">
        <v>1513</v>
      </c>
      <c r="I1871" s="848" t="s">
        <v>1557</v>
      </c>
      <c r="J1871" s="691"/>
    </row>
    <row r="1872" spans="1:10" s="389" customFormat="1" ht="9.75" hidden="1" customHeight="1" x14ac:dyDescent="0.2">
      <c r="A1872" s="261" t="s">
        <v>1302</v>
      </c>
      <c r="B1872" s="705">
        <v>7980</v>
      </c>
      <c r="C1872" s="127" t="s">
        <v>1009</v>
      </c>
      <c r="D1872" s="127" t="s">
        <v>382</v>
      </c>
      <c r="E1872" s="852">
        <v>47</v>
      </c>
      <c r="F1872" s="706">
        <v>1</v>
      </c>
      <c r="G1872" s="714">
        <v>320</v>
      </c>
      <c r="H1872" s="127" t="s">
        <v>506</v>
      </c>
      <c r="I1872" s="848" t="s">
        <v>1557</v>
      </c>
      <c r="J1872" s="691"/>
    </row>
    <row r="1873" spans="1:10" s="389" customFormat="1" ht="9.75" hidden="1" customHeight="1" x14ac:dyDescent="0.2">
      <c r="A1873" s="261" t="s">
        <v>1888</v>
      </c>
      <c r="B1873" s="715">
        <v>8010</v>
      </c>
      <c r="C1873" s="127" t="s">
        <v>1669</v>
      </c>
      <c r="D1873" s="127" t="s">
        <v>13</v>
      </c>
      <c r="E1873" s="856">
        <v>146.51</v>
      </c>
      <c r="F1873" s="706">
        <v>1</v>
      </c>
      <c r="G1873" s="714">
        <v>102</v>
      </c>
      <c r="H1873" s="127" t="s">
        <v>483</v>
      </c>
      <c r="I1873" s="848" t="s">
        <v>1557</v>
      </c>
      <c r="J1873" s="691"/>
    </row>
    <row r="1874" spans="1:10" s="389" customFormat="1" ht="9.75" hidden="1" customHeight="1" x14ac:dyDescent="0.2">
      <c r="A1874" s="261" t="s">
        <v>1293</v>
      </c>
      <c r="B1874" s="705">
        <v>8099</v>
      </c>
      <c r="C1874" s="127" t="s">
        <v>1010</v>
      </c>
      <c r="D1874" s="127" t="s">
        <v>8</v>
      </c>
      <c r="E1874" s="852">
        <v>26</v>
      </c>
      <c r="F1874" s="706">
        <v>1</v>
      </c>
      <c r="G1874" s="714">
        <v>274</v>
      </c>
      <c r="H1874" s="127" t="s">
        <v>498</v>
      </c>
      <c r="I1874" s="848" t="s">
        <v>1557</v>
      </c>
      <c r="J1874" s="691"/>
    </row>
    <row r="1875" spans="1:10" s="389" customFormat="1" ht="9.75" hidden="1" customHeight="1" x14ac:dyDescent="0.2">
      <c r="A1875" s="261" t="s">
        <v>1294</v>
      </c>
      <c r="B1875" s="705">
        <v>8101</v>
      </c>
      <c r="C1875" s="127" t="s">
        <v>1011</v>
      </c>
      <c r="D1875" s="127" t="s">
        <v>8</v>
      </c>
      <c r="E1875" s="852">
        <v>84</v>
      </c>
      <c r="F1875" s="706">
        <v>1</v>
      </c>
      <c r="G1875" s="714">
        <v>275</v>
      </c>
      <c r="H1875" s="127" t="s">
        <v>497</v>
      </c>
      <c r="I1875" s="848" t="s">
        <v>1557</v>
      </c>
      <c r="J1875" s="691"/>
    </row>
    <row r="1876" spans="1:10" s="389" customFormat="1" ht="9.75" hidden="1" customHeight="1" x14ac:dyDescent="0.2">
      <c r="A1876" s="261" t="s">
        <v>1295</v>
      </c>
      <c r="B1876" s="705">
        <v>8103</v>
      </c>
      <c r="C1876" s="127" t="s">
        <v>1012</v>
      </c>
      <c r="D1876" s="127" t="s">
        <v>8</v>
      </c>
      <c r="E1876" s="852">
        <v>46</v>
      </c>
      <c r="F1876" s="706">
        <v>1</v>
      </c>
      <c r="G1876" s="714">
        <v>276</v>
      </c>
      <c r="H1876" s="127" t="s">
        <v>499</v>
      </c>
      <c r="I1876" s="848" t="s">
        <v>1557</v>
      </c>
      <c r="J1876" s="691"/>
    </row>
    <row r="1877" spans="1:10" s="389" customFormat="1" ht="9.75" hidden="1" customHeight="1" x14ac:dyDescent="0.2">
      <c r="A1877" s="261" t="s">
        <v>1328</v>
      </c>
      <c r="B1877" s="705">
        <v>5281</v>
      </c>
      <c r="C1877" s="127" t="s">
        <v>888</v>
      </c>
      <c r="D1877" s="127" t="s">
        <v>13</v>
      </c>
      <c r="E1877" s="852">
        <v>15</v>
      </c>
      <c r="F1877" s="706">
        <v>1</v>
      </c>
      <c r="G1877" s="714">
        <v>360</v>
      </c>
      <c r="H1877" s="127" t="s">
        <v>151</v>
      </c>
      <c r="I1877" s="848" t="s">
        <v>1557</v>
      </c>
      <c r="J1877" s="691"/>
    </row>
    <row r="1878" spans="1:10" s="389" customFormat="1" ht="9.75" hidden="1" customHeight="1" x14ac:dyDescent="0.2">
      <c r="A1878" s="261" t="s">
        <v>1329</v>
      </c>
      <c r="B1878" s="705">
        <v>5285</v>
      </c>
      <c r="C1878" s="127" t="s">
        <v>889</v>
      </c>
      <c r="D1878" s="127" t="s">
        <v>8</v>
      </c>
      <c r="E1878" s="852">
        <v>50</v>
      </c>
      <c r="F1878" s="706">
        <v>1</v>
      </c>
      <c r="G1878" s="714">
        <v>360</v>
      </c>
      <c r="H1878" s="127" t="s">
        <v>151</v>
      </c>
      <c r="I1878" s="848" t="s">
        <v>1557</v>
      </c>
      <c r="J1878" s="691"/>
    </row>
    <row r="1879" spans="1:10" s="389" customFormat="1" ht="9.75" hidden="1" customHeight="1" x14ac:dyDescent="0.2">
      <c r="A1879" s="261" t="s">
        <v>1330</v>
      </c>
      <c r="B1879" s="705">
        <v>5286</v>
      </c>
      <c r="C1879" s="127" t="s">
        <v>890</v>
      </c>
      <c r="D1879" s="127" t="s">
        <v>8</v>
      </c>
      <c r="E1879" s="852">
        <v>15</v>
      </c>
      <c r="F1879" s="706">
        <v>1</v>
      </c>
      <c r="G1879" s="714">
        <v>360</v>
      </c>
      <c r="H1879" s="127" t="s">
        <v>151</v>
      </c>
      <c r="I1879" s="848" t="s">
        <v>1557</v>
      </c>
      <c r="J1879" s="691"/>
    </row>
    <row r="1880" spans="1:10" s="389" customFormat="1" ht="9.75" hidden="1" customHeight="1" x14ac:dyDescent="0.2">
      <c r="A1880" s="261" t="s">
        <v>1331</v>
      </c>
      <c r="B1880" s="707">
        <v>285</v>
      </c>
      <c r="C1880" s="127" t="s">
        <v>850</v>
      </c>
      <c r="D1880" s="127" t="s">
        <v>15</v>
      </c>
      <c r="E1880" s="854">
        <v>1</v>
      </c>
      <c r="F1880" s="706">
        <v>1</v>
      </c>
      <c r="G1880" s="714">
        <v>304</v>
      </c>
      <c r="H1880" s="127" t="s">
        <v>796</v>
      </c>
      <c r="I1880" s="848" t="s">
        <v>1557</v>
      </c>
      <c r="J1880" s="691"/>
    </row>
    <row r="1881" spans="1:10" s="389" customFormat="1" ht="9.75" hidden="1" customHeight="1" x14ac:dyDescent="0.2">
      <c r="A1881" s="261" t="s">
        <v>1889</v>
      </c>
      <c r="B1881" s="713">
        <v>1</v>
      </c>
      <c r="C1881" s="127" t="s">
        <v>188</v>
      </c>
      <c r="D1881" s="127" t="s">
        <v>12</v>
      </c>
      <c r="E1881" s="852">
        <v>66</v>
      </c>
      <c r="F1881" s="706">
        <v>1</v>
      </c>
      <c r="G1881" s="853">
        <v>99</v>
      </c>
      <c r="H1881" s="127" t="s">
        <v>1404</v>
      </c>
      <c r="I1881" s="848" t="s">
        <v>1557</v>
      </c>
      <c r="J1881" s="691"/>
    </row>
    <row r="1882" spans="1:10" s="389" customFormat="1" ht="9.75" hidden="1" customHeight="1" x14ac:dyDescent="0.2">
      <c r="A1882" s="261" t="s">
        <v>1344</v>
      </c>
      <c r="B1882" s="713">
        <v>2</v>
      </c>
      <c r="C1882" s="127" t="s">
        <v>189</v>
      </c>
      <c r="D1882" s="127" t="s">
        <v>12</v>
      </c>
      <c r="E1882" s="854">
        <v>4.383</v>
      </c>
      <c r="F1882" s="706">
        <v>1</v>
      </c>
      <c r="G1882" s="714">
        <v>114</v>
      </c>
      <c r="H1882" s="127" t="s">
        <v>503</v>
      </c>
      <c r="I1882" s="848" t="s">
        <v>1557</v>
      </c>
      <c r="J1882" s="691"/>
    </row>
    <row r="1883" spans="1:10" s="389" customFormat="1" ht="9.75" hidden="1" customHeight="1" x14ac:dyDescent="0.2">
      <c r="A1883" s="261" t="s">
        <v>1890</v>
      </c>
      <c r="B1883" s="707">
        <v>768</v>
      </c>
      <c r="C1883" s="127" t="s">
        <v>1670</v>
      </c>
      <c r="D1883" s="127" t="s">
        <v>15</v>
      </c>
      <c r="E1883" s="854">
        <v>4.3499999999999996</v>
      </c>
      <c r="F1883" s="706">
        <v>1</v>
      </c>
      <c r="G1883" s="714">
        <v>372</v>
      </c>
      <c r="H1883" s="127" t="s">
        <v>1541</v>
      </c>
      <c r="I1883" s="848" t="s">
        <v>1557</v>
      </c>
      <c r="J1883" s="691"/>
    </row>
    <row r="1884" spans="1:10" s="389" customFormat="1" ht="9.75" hidden="1" customHeight="1" x14ac:dyDescent="0.2">
      <c r="A1884" s="261" t="s">
        <v>1305</v>
      </c>
      <c r="B1884" s="714">
        <v>841</v>
      </c>
      <c r="C1884" s="127" t="s">
        <v>854</v>
      </c>
      <c r="D1884" s="127" t="s">
        <v>8</v>
      </c>
      <c r="E1884" s="852">
        <v>22.411999999999999</v>
      </c>
      <c r="F1884" s="706">
        <v>1</v>
      </c>
      <c r="G1884" s="714">
        <v>335</v>
      </c>
      <c r="H1884" s="127" t="s">
        <v>513</v>
      </c>
      <c r="I1884" s="848" t="s">
        <v>1557</v>
      </c>
      <c r="J1884" s="691"/>
    </row>
    <row r="1885" spans="1:10" s="389" customFormat="1" ht="9.75" hidden="1" customHeight="1" x14ac:dyDescent="0.2">
      <c r="A1885" s="261" t="s">
        <v>1891</v>
      </c>
      <c r="B1885" s="705">
        <v>1010</v>
      </c>
      <c r="C1885" s="127" t="s">
        <v>1671</v>
      </c>
      <c r="D1885" s="127" t="s">
        <v>101</v>
      </c>
      <c r="E1885" s="854">
        <v>1.41</v>
      </c>
      <c r="F1885" s="706">
        <v>1</v>
      </c>
      <c r="G1885" s="714">
        <v>370</v>
      </c>
      <c r="H1885" s="127" t="s">
        <v>1539</v>
      </c>
      <c r="I1885" s="848" t="s">
        <v>1557</v>
      </c>
      <c r="J1885" s="691"/>
    </row>
    <row r="1886" spans="1:10" s="389" customFormat="1" ht="9.75" hidden="1" customHeight="1" x14ac:dyDescent="0.2">
      <c r="A1886" s="261" t="s">
        <v>1296</v>
      </c>
      <c r="B1886" s="705">
        <v>1015</v>
      </c>
      <c r="C1886" s="127" t="s">
        <v>855</v>
      </c>
      <c r="D1886" s="127" t="s">
        <v>90</v>
      </c>
      <c r="E1886" s="856">
        <v>233.07</v>
      </c>
      <c r="F1886" s="706">
        <v>1</v>
      </c>
      <c r="G1886" s="714">
        <v>107</v>
      </c>
      <c r="H1886" s="127" t="s">
        <v>484</v>
      </c>
      <c r="I1886" s="848" t="s">
        <v>1557</v>
      </c>
      <c r="J1886" s="691"/>
    </row>
    <row r="1887" spans="1:10" s="389" customFormat="1" ht="9.75" hidden="1" customHeight="1" x14ac:dyDescent="0.2">
      <c r="A1887" s="261" t="s">
        <v>1287</v>
      </c>
      <c r="B1887" s="705">
        <v>1027</v>
      </c>
      <c r="C1887" s="127" t="s">
        <v>856</v>
      </c>
      <c r="D1887" s="127" t="s">
        <v>101</v>
      </c>
      <c r="E1887" s="852">
        <v>34.554000000000002</v>
      </c>
      <c r="F1887" s="706">
        <v>1</v>
      </c>
      <c r="G1887" s="714">
        <v>217</v>
      </c>
      <c r="H1887" s="127" t="s">
        <v>501</v>
      </c>
      <c r="I1887" s="848" t="s">
        <v>1557</v>
      </c>
      <c r="J1887" s="691"/>
    </row>
    <row r="1888" spans="1:10" s="389" customFormat="1" ht="9.75" hidden="1" customHeight="1" x14ac:dyDescent="0.2">
      <c r="A1888" s="261" t="s">
        <v>1892</v>
      </c>
      <c r="B1888" s="705">
        <v>1031</v>
      </c>
      <c r="C1888" s="127" t="s">
        <v>857</v>
      </c>
      <c r="D1888" s="127" t="s">
        <v>15</v>
      </c>
      <c r="E1888" s="856">
        <v>180</v>
      </c>
      <c r="F1888" s="706">
        <v>1</v>
      </c>
      <c r="G1888" s="714">
        <v>287</v>
      </c>
      <c r="H1888" s="127" t="s">
        <v>1502</v>
      </c>
      <c r="I1888" s="848" t="s">
        <v>1557</v>
      </c>
      <c r="J1888" s="691"/>
    </row>
    <row r="1889" spans="1:10" s="389" customFormat="1" ht="9.75" hidden="1" customHeight="1" x14ac:dyDescent="0.2">
      <c r="A1889" s="261" t="s">
        <v>1893</v>
      </c>
      <c r="B1889" s="705">
        <v>1231</v>
      </c>
      <c r="C1889" s="127" t="s">
        <v>1672</v>
      </c>
      <c r="D1889" s="127" t="s">
        <v>90</v>
      </c>
      <c r="E1889" s="852">
        <v>11.75</v>
      </c>
      <c r="F1889" s="706">
        <v>1</v>
      </c>
      <c r="G1889" s="714">
        <v>370</v>
      </c>
      <c r="H1889" s="127" t="s">
        <v>1539</v>
      </c>
      <c r="I1889" s="848" t="s">
        <v>1557</v>
      </c>
      <c r="J1889" s="691"/>
    </row>
    <row r="1890" spans="1:10" s="389" customFormat="1" ht="9.75" hidden="1" customHeight="1" x14ac:dyDescent="0.2">
      <c r="A1890" s="261" t="s">
        <v>1894</v>
      </c>
      <c r="B1890" s="715">
        <v>1343</v>
      </c>
      <c r="C1890" s="127" t="s">
        <v>860</v>
      </c>
      <c r="D1890" s="127" t="s">
        <v>90</v>
      </c>
      <c r="E1890" s="852">
        <v>67.441500000000005</v>
      </c>
      <c r="F1890" s="706">
        <v>1</v>
      </c>
      <c r="G1890" s="714">
        <v>103</v>
      </c>
      <c r="H1890" s="127" t="s">
        <v>1405</v>
      </c>
      <c r="I1890" s="848" t="s">
        <v>1557</v>
      </c>
      <c r="J1890" s="691"/>
    </row>
    <row r="1891" spans="1:10" s="389" customFormat="1" ht="9.75" hidden="1" customHeight="1" x14ac:dyDescent="0.2">
      <c r="A1891" s="261" t="s">
        <v>1895</v>
      </c>
      <c r="B1891" s="705">
        <v>1447</v>
      </c>
      <c r="C1891" s="127" t="s">
        <v>861</v>
      </c>
      <c r="D1891" s="127" t="s">
        <v>90</v>
      </c>
      <c r="E1891" s="852">
        <v>29.88</v>
      </c>
      <c r="F1891" s="706">
        <v>1</v>
      </c>
      <c r="G1891" s="714">
        <v>171</v>
      </c>
      <c r="H1891" s="127" t="s">
        <v>1446</v>
      </c>
      <c r="I1891" s="848" t="s">
        <v>1557</v>
      </c>
      <c r="J1891" s="691"/>
    </row>
    <row r="1892" spans="1:10" s="389" customFormat="1" ht="9.75" hidden="1" customHeight="1" x14ac:dyDescent="0.2">
      <c r="A1892" s="261" t="s">
        <v>1250</v>
      </c>
      <c r="B1892" s="705">
        <v>1455</v>
      </c>
      <c r="C1892" s="127" t="s">
        <v>862</v>
      </c>
      <c r="D1892" s="127" t="s">
        <v>7</v>
      </c>
      <c r="E1892" s="855">
        <v>3264.4349999999999</v>
      </c>
      <c r="F1892" s="706">
        <v>1</v>
      </c>
      <c r="G1892" s="714">
        <v>281</v>
      </c>
      <c r="H1892" s="127" t="s">
        <v>470</v>
      </c>
      <c r="I1892" s="848" t="s">
        <v>1557</v>
      </c>
      <c r="J1892" s="691"/>
    </row>
    <row r="1893" spans="1:10" s="389" customFormat="1" ht="9.75" hidden="1" customHeight="1" x14ac:dyDescent="0.2">
      <c r="A1893" s="261" t="s">
        <v>1896</v>
      </c>
      <c r="B1893" s="705">
        <v>1628</v>
      </c>
      <c r="C1893" s="127" t="s">
        <v>869</v>
      </c>
      <c r="D1893" s="127" t="s">
        <v>90</v>
      </c>
      <c r="E1893" s="854">
        <v>1</v>
      </c>
      <c r="F1893" s="706">
        <v>1</v>
      </c>
      <c r="G1893" s="714">
        <v>256</v>
      </c>
      <c r="H1893" s="127" t="s">
        <v>1491</v>
      </c>
      <c r="I1893" s="848" t="s">
        <v>1557</v>
      </c>
      <c r="J1893" s="691"/>
    </row>
    <row r="1894" spans="1:10" s="389" customFormat="1" ht="9.75" hidden="1" customHeight="1" x14ac:dyDescent="0.2">
      <c r="A1894" s="261" t="s">
        <v>1306</v>
      </c>
      <c r="B1894" s="705">
        <v>1687</v>
      </c>
      <c r="C1894" s="127" t="s">
        <v>871</v>
      </c>
      <c r="D1894" s="127" t="s">
        <v>13</v>
      </c>
      <c r="E1894" s="854">
        <v>2.2412000000000001</v>
      </c>
      <c r="F1894" s="706">
        <v>1</v>
      </c>
      <c r="G1894" s="714">
        <v>335</v>
      </c>
      <c r="H1894" s="127" t="s">
        <v>513</v>
      </c>
      <c r="I1894" s="848" t="s">
        <v>1557</v>
      </c>
      <c r="J1894" s="691"/>
    </row>
    <row r="1895" spans="1:10" s="389" customFormat="1" ht="19.350000000000001" hidden="1" customHeight="1" x14ac:dyDescent="0.2">
      <c r="A1895" s="261" t="s">
        <v>1297</v>
      </c>
      <c r="B1895" s="705">
        <v>1812</v>
      </c>
      <c r="C1895" s="127" t="s">
        <v>874</v>
      </c>
      <c r="D1895" s="127" t="s">
        <v>15</v>
      </c>
      <c r="E1895" s="856">
        <v>178.2585</v>
      </c>
      <c r="F1895" s="706">
        <v>1</v>
      </c>
      <c r="G1895" s="714">
        <v>259</v>
      </c>
      <c r="H1895" s="127" t="s">
        <v>237</v>
      </c>
      <c r="I1895" s="848" t="s">
        <v>1557</v>
      </c>
      <c r="J1895" s="691"/>
    </row>
    <row r="1896" spans="1:10" s="389" customFormat="1" ht="9.75" hidden="1" customHeight="1" x14ac:dyDescent="0.2">
      <c r="A1896" s="261" t="s">
        <v>1897</v>
      </c>
      <c r="B1896" s="705">
        <v>2000</v>
      </c>
      <c r="C1896" s="127" t="s">
        <v>1673</v>
      </c>
      <c r="D1896" s="127" t="s">
        <v>15</v>
      </c>
      <c r="E1896" s="854">
        <v>4.78</v>
      </c>
      <c r="F1896" s="706">
        <v>1</v>
      </c>
      <c r="G1896" s="714">
        <v>172</v>
      </c>
      <c r="H1896" s="127" t="s">
        <v>1447</v>
      </c>
      <c r="I1896" s="848" t="s">
        <v>1557</v>
      </c>
      <c r="J1896" s="691"/>
    </row>
    <row r="1897" spans="1:10" s="389" customFormat="1" ht="9.75" hidden="1" customHeight="1" x14ac:dyDescent="0.2">
      <c r="A1897" s="261" t="s">
        <v>1284</v>
      </c>
      <c r="B1897" s="715">
        <v>2034</v>
      </c>
      <c r="C1897" s="127" t="s">
        <v>877</v>
      </c>
      <c r="D1897" s="127" t="s">
        <v>90</v>
      </c>
      <c r="E1897" s="852">
        <v>95.463899999999995</v>
      </c>
      <c r="F1897" s="706">
        <v>1</v>
      </c>
      <c r="G1897" s="714">
        <v>162</v>
      </c>
      <c r="H1897" s="127" t="s">
        <v>485</v>
      </c>
      <c r="I1897" s="848" t="s">
        <v>1557</v>
      </c>
      <c r="J1897" s="691"/>
    </row>
    <row r="1898" spans="1:10" s="389" customFormat="1" ht="9.75" hidden="1" customHeight="1" x14ac:dyDescent="0.2">
      <c r="A1898" s="261" t="s">
        <v>1898</v>
      </c>
      <c r="B1898" s="705">
        <v>2088</v>
      </c>
      <c r="C1898" s="127" t="s">
        <v>1674</v>
      </c>
      <c r="D1898" s="127" t="s">
        <v>15</v>
      </c>
      <c r="E1898" s="852">
        <v>11.75</v>
      </c>
      <c r="F1898" s="706">
        <v>1</v>
      </c>
      <c r="G1898" s="714">
        <v>370</v>
      </c>
      <c r="H1898" s="127" t="s">
        <v>1539</v>
      </c>
      <c r="I1898" s="848" t="s">
        <v>1557</v>
      </c>
      <c r="J1898" s="691"/>
    </row>
    <row r="1899" spans="1:10" s="389" customFormat="1" ht="9.75" hidden="1" customHeight="1" x14ac:dyDescent="0.2">
      <c r="A1899" s="261" t="s">
        <v>1251</v>
      </c>
      <c r="B1899" s="705">
        <v>4990</v>
      </c>
      <c r="C1899" s="127" t="s">
        <v>886</v>
      </c>
      <c r="D1899" s="127" t="s">
        <v>12</v>
      </c>
      <c r="E1899" s="855">
        <v>4750</v>
      </c>
      <c r="F1899" s="706">
        <v>1</v>
      </c>
      <c r="G1899" s="714">
        <v>281</v>
      </c>
      <c r="H1899" s="127" t="s">
        <v>470</v>
      </c>
      <c r="I1899" s="848" t="s">
        <v>1557</v>
      </c>
      <c r="J1899" s="691"/>
    </row>
    <row r="1900" spans="1:10" s="389" customFormat="1" ht="9.75" hidden="1" customHeight="1" x14ac:dyDescent="0.2">
      <c r="A1900" s="261" t="s">
        <v>1133</v>
      </c>
      <c r="B1900" s="715">
        <v>4992</v>
      </c>
      <c r="C1900" s="127" t="s">
        <v>190</v>
      </c>
      <c r="D1900" s="127" t="s">
        <v>12</v>
      </c>
      <c r="E1900" s="855">
        <v>5320</v>
      </c>
      <c r="F1900" s="706">
        <v>1</v>
      </c>
      <c r="G1900" s="714">
        <v>280</v>
      </c>
      <c r="H1900" s="127" t="s">
        <v>457</v>
      </c>
      <c r="I1900" s="848" t="s">
        <v>1557</v>
      </c>
      <c r="J1900" s="691"/>
    </row>
    <row r="1901" spans="1:10" s="389" customFormat="1" ht="19.350000000000001" hidden="1" customHeight="1" x14ac:dyDescent="0.2">
      <c r="A1901" s="261" t="s">
        <v>1899</v>
      </c>
      <c r="B1901" s="705">
        <v>5374</v>
      </c>
      <c r="C1901" s="127" t="s">
        <v>1675</v>
      </c>
      <c r="D1901" s="127" t="s">
        <v>90</v>
      </c>
      <c r="E1901" s="856">
        <v>811.62900000000002</v>
      </c>
      <c r="F1901" s="706">
        <v>1</v>
      </c>
      <c r="G1901" s="714">
        <v>166</v>
      </c>
      <c r="H1901" s="127" t="s">
        <v>1443</v>
      </c>
      <c r="I1901" s="848" t="s">
        <v>1557</v>
      </c>
      <c r="J1901" s="691"/>
    </row>
    <row r="1902" spans="1:10" s="389" customFormat="1" ht="19.350000000000001" hidden="1" customHeight="1" x14ac:dyDescent="0.2">
      <c r="A1902" s="261" t="s">
        <v>1900</v>
      </c>
      <c r="B1902" s="715">
        <v>5375</v>
      </c>
      <c r="C1902" s="127" t="s">
        <v>896</v>
      </c>
      <c r="D1902" s="127" t="s">
        <v>90</v>
      </c>
      <c r="E1902" s="856">
        <v>271.755</v>
      </c>
      <c r="F1902" s="706">
        <v>1</v>
      </c>
      <c r="G1902" s="714">
        <v>131</v>
      </c>
      <c r="H1902" s="127" t="s">
        <v>1419</v>
      </c>
      <c r="I1902" s="848" t="s">
        <v>1557</v>
      </c>
      <c r="J1902" s="691"/>
    </row>
    <row r="1903" spans="1:10" s="389" customFormat="1" ht="9.75" hidden="1" customHeight="1" x14ac:dyDescent="0.2">
      <c r="A1903" s="261" t="s">
        <v>1901</v>
      </c>
      <c r="B1903" s="715">
        <v>5375</v>
      </c>
      <c r="C1903" s="127" t="s">
        <v>895</v>
      </c>
      <c r="D1903" s="127" t="s">
        <v>90</v>
      </c>
      <c r="E1903" s="856">
        <v>242.64449999999999</v>
      </c>
      <c r="F1903" s="706">
        <v>1</v>
      </c>
      <c r="G1903" s="714">
        <v>132</v>
      </c>
      <c r="H1903" s="127" t="s">
        <v>1421</v>
      </c>
      <c r="I1903" s="848" t="s">
        <v>1557</v>
      </c>
      <c r="J1903" s="691"/>
    </row>
    <row r="1904" spans="1:10" s="389" customFormat="1" ht="9.75" hidden="1" customHeight="1" x14ac:dyDescent="0.2">
      <c r="A1904" s="261" t="s">
        <v>1314</v>
      </c>
      <c r="B1904" s="705">
        <v>5464</v>
      </c>
      <c r="C1904" s="127" t="s">
        <v>899</v>
      </c>
      <c r="D1904" s="127" t="s">
        <v>15</v>
      </c>
      <c r="E1904" s="854">
        <v>7.96</v>
      </c>
      <c r="F1904" s="706">
        <v>1</v>
      </c>
      <c r="G1904" s="714">
        <v>260</v>
      </c>
      <c r="H1904" s="127" t="s">
        <v>495</v>
      </c>
      <c r="I1904" s="848" t="s">
        <v>1557</v>
      </c>
      <c r="J1904" s="691"/>
    </row>
    <row r="1905" spans="1:10" s="389" customFormat="1" ht="9.75" hidden="1" customHeight="1" x14ac:dyDescent="0.2">
      <c r="A1905" s="261" t="s">
        <v>1332</v>
      </c>
      <c r="B1905" s="705">
        <v>5488</v>
      </c>
      <c r="C1905" s="127" t="s">
        <v>409</v>
      </c>
      <c r="D1905" s="127" t="s">
        <v>8</v>
      </c>
      <c r="E1905" s="854">
        <v>2</v>
      </c>
      <c r="F1905" s="706">
        <v>1</v>
      </c>
      <c r="G1905" s="714">
        <v>285</v>
      </c>
      <c r="H1905" s="127" t="s">
        <v>409</v>
      </c>
      <c r="I1905" s="848" t="s">
        <v>1557</v>
      </c>
      <c r="J1905" s="691"/>
    </row>
    <row r="1906" spans="1:10" s="389" customFormat="1" ht="19.350000000000001" hidden="1" customHeight="1" x14ac:dyDescent="0.2">
      <c r="A1906" s="261" t="s">
        <v>1902</v>
      </c>
      <c r="B1906" s="705">
        <v>5489</v>
      </c>
      <c r="C1906" s="127" t="s">
        <v>900</v>
      </c>
      <c r="D1906" s="127" t="s">
        <v>8</v>
      </c>
      <c r="E1906" s="854">
        <v>2</v>
      </c>
      <c r="F1906" s="706">
        <v>1</v>
      </c>
      <c r="G1906" s="714">
        <v>287</v>
      </c>
      <c r="H1906" s="127" t="s">
        <v>1502</v>
      </c>
      <c r="I1906" s="848" t="s">
        <v>1557</v>
      </c>
      <c r="J1906" s="691"/>
    </row>
    <row r="1907" spans="1:10" s="389" customFormat="1" ht="9.75" hidden="1" customHeight="1" x14ac:dyDescent="0.2">
      <c r="A1907" s="261" t="s">
        <v>1252</v>
      </c>
      <c r="B1907" s="705">
        <v>5490</v>
      </c>
      <c r="C1907" s="127" t="s">
        <v>901</v>
      </c>
      <c r="D1907" s="127" t="s">
        <v>7</v>
      </c>
      <c r="E1907" s="854">
        <v>1</v>
      </c>
      <c r="F1907" s="706">
        <v>1</v>
      </c>
      <c r="G1907" s="714">
        <v>282</v>
      </c>
      <c r="H1907" s="127" t="s">
        <v>472</v>
      </c>
      <c r="I1907" s="848" t="s">
        <v>1557</v>
      </c>
      <c r="J1907" s="691"/>
    </row>
    <row r="1908" spans="1:10" s="389" customFormat="1" ht="9.75" hidden="1" customHeight="1" x14ac:dyDescent="0.2">
      <c r="A1908" s="261" t="s">
        <v>1303</v>
      </c>
      <c r="B1908" s="705">
        <v>5499</v>
      </c>
      <c r="C1908" s="127" t="s">
        <v>905</v>
      </c>
      <c r="D1908" s="127" t="s">
        <v>8</v>
      </c>
      <c r="E1908" s="852">
        <v>24</v>
      </c>
      <c r="F1908" s="706">
        <v>1</v>
      </c>
      <c r="G1908" s="714">
        <v>310</v>
      </c>
      <c r="H1908" s="127" t="s">
        <v>500</v>
      </c>
      <c r="I1908" s="848" t="s">
        <v>1557</v>
      </c>
      <c r="J1908" s="691"/>
    </row>
    <row r="1909" spans="1:10" s="389" customFormat="1" ht="9.75" hidden="1" customHeight="1" x14ac:dyDescent="0.2">
      <c r="A1909" s="261" t="s">
        <v>1345</v>
      </c>
      <c r="B1909" s="705">
        <v>5528</v>
      </c>
      <c r="C1909" s="127" t="s">
        <v>910</v>
      </c>
      <c r="D1909" s="127" t="s">
        <v>8</v>
      </c>
      <c r="E1909" s="854">
        <v>1</v>
      </c>
      <c r="F1909" s="706">
        <v>1</v>
      </c>
      <c r="G1909" s="714">
        <v>365</v>
      </c>
      <c r="H1909" s="127" t="s">
        <v>510</v>
      </c>
      <c r="I1909" s="848" t="s">
        <v>1557</v>
      </c>
      <c r="J1909" s="691"/>
    </row>
    <row r="1910" spans="1:10" s="389" customFormat="1" ht="9.75" hidden="1" customHeight="1" x14ac:dyDescent="0.2">
      <c r="A1910" s="261" t="s">
        <v>1334</v>
      </c>
      <c r="B1910" s="705">
        <v>5590</v>
      </c>
      <c r="C1910" s="127" t="s">
        <v>911</v>
      </c>
      <c r="D1910" s="127" t="s">
        <v>382</v>
      </c>
      <c r="E1910" s="852">
        <v>22</v>
      </c>
      <c r="F1910" s="706">
        <v>1</v>
      </c>
      <c r="G1910" s="714">
        <v>286</v>
      </c>
      <c r="H1910" s="127" t="s">
        <v>790</v>
      </c>
      <c r="I1910" s="848" t="s">
        <v>1557</v>
      </c>
      <c r="J1910" s="691"/>
    </row>
    <row r="1911" spans="1:10" s="389" customFormat="1" ht="9.75" hidden="1" customHeight="1" x14ac:dyDescent="0.2">
      <c r="A1911" s="261" t="s">
        <v>1903</v>
      </c>
      <c r="B1911" s="705">
        <v>5802</v>
      </c>
      <c r="C1911" s="127" t="s">
        <v>1676</v>
      </c>
      <c r="D1911" s="127" t="s">
        <v>8</v>
      </c>
      <c r="E1911" s="852">
        <v>31.373100000000001</v>
      </c>
      <c r="F1911" s="706">
        <v>1</v>
      </c>
      <c r="G1911" s="714">
        <v>105</v>
      </c>
      <c r="H1911" s="127" t="s">
        <v>1406</v>
      </c>
      <c r="I1911" s="848" t="s">
        <v>1557</v>
      </c>
      <c r="J1911" s="691"/>
    </row>
    <row r="1912" spans="1:10" s="389" customFormat="1" ht="9.75" hidden="1" customHeight="1" x14ac:dyDescent="0.2">
      <c r="A1912" s="261" t="s">
        <v>1904</v>
      </c>
      <c r="B1912" s="705">
        <v>6001</v>
      </c>
      <c r="C1912" s="127" t="s">
        <v>922</v>
      </c>
      <c r="D1912" s="127" t="s">
        <v>8</v>
      </c>
      <c r="E1912" s="852">
        <v>12</v>
      </c>
      <c r="F1912" s="706">
        <v>1</v>
      </c>
      <c r="G1912" s="714">
        <v>292</v>
      </c>
      <c r="H1912" s="127" t="s">
        <v>1504</v>
      </c>
      <c r="I1912" s="848" t="s">
        <v>1557</v>
      </c>
      <c r="J1912" s="691"/>
    </row>
    <row r="1913" spans="1:10" s="389" customFormat="1" ht="9.75" hidden="1" customHeight="1" x14ac:dyDescent="0.2">
      <c r="A1913" s="261" t="s">
        <v>1905</v>
      </c>
      <c r="B1913" s="705">
        <v>6010</v>
      </c>
      <c r="C1913" s="127" t="s">
        <v>1677</v>
      </c>
      <c r="D1913" s="127" t="s">
        <v>15</v>
      </c>
      <c r="E1913" s="852">
        <v>27.57</v>
      </c>
      <c r="F1913" s="706">
        <v>1</v>
      </c>
      <c r="G1913" s="714">
        <v>263</v>
      </c>
      <c r="H1913" s="127" t="s">
        <v>1493</v>
      </c>
      <c r="I1913" s="848" t="s">
        <v>1557</v>
      </c>
      <c r="J1913" s="691"/>
    </row>
    <row r="1914" spans="1:10" s="389" customFormat="1" ht="9.75" hidden="1" customHeight="1" x14ac:dyDescent="0.2">
      <c r="A1914" s="261" t="s">
        <v>1906</v>
      </c>
      <c r="B1914" s="715">
        <v>6139</v>
      </c>
      <c r="C1914" s="127" t="s">
        <v>925</v>
      </c>
      <c r="D1914" s="127" t="s">
        <v>8</v>
      </c>
      <c r="E1914" s="852">
        <v>36</v>
      </c>
      <c r="F1914" s="706">
        <v>1</v>
      </c>
      <c r="G1914" s="714">
        <v>306</v>
      </c>
      <c r="H1914" s="127" t="s">
        <v>1510</v>
      </c>
      <c r="I1914" s="848" t="s">
        <v>1557</v>
      </c>
      <c r="J1914" s="691"/>
    </row>
    <row r="1915" spans="1:10" s="389" customFormat="1" ht="9.75" hidden="1" customHeight="1" x14ac:dyDescent="0.2">
      <c r="A1915" s="261" t="s">
        <v>1907</v>
      </c>
      <c r="B1915" s="705">
        <v>7742</v>
      </c>
      <c r="C1915" s="127" t="s">
        <v>1678</v>
      </c>
      <c r="D1915" s="127" t="s">
        <v>90</v>
      </c>
      <c r="E1915" s="856">
        <v>366.31</v>
      </c>
      <c r="F1915" s="706">
        <v>1</v>
      </c>
      <c r="G1915" s="714">
        <v>257</v>
      </c>
      <c r="H1915" s="127" t="s">
        <v>787</v>
      </c>
      <c r="I1915" s="848" t="s">
        <v>1557</v>
      </c>
      <c r="J1915" s="691"/>
    </row>
    <row r="1916" spans="1:10" s="389" customFormat="1" ht="9.75" hidden="1" customHeight="1" x14ac:dyDescent="0.2">
      <c r="A1916" s="261" t="s">
        <v>1908</v>
      </c>
      <c r="B1916" s="705">
        <v>7742</v>
      </c>
      <c r="C1916" s="127" t="s">
        <v>1679</v>
      </c>
      <c r="D1916" s="127" t="s">
        <v>90</v>
      </c>
      <c r="E1916" s="852">
        <v>37.869999999999997</v>
      </c>
      <c r="F1916" s="706">
        <v>1</v>
      </c>
      <c r="G1916" s="853">
        <v>96</v>
      </c>
      <c r="H1916" s="127" t="s">
        <v>1401</v>
      </c>
      <c r="I1916" s="848" t="s">
        <v>1557</v>
      </c>
      <c r="J1916" s="691"/>
    </row>
    <row r="1917" spans="1:10" s="389" customFormat="1" ht="9.75" hidden="1" customHeight="1" x14ac:dyDescent="0.2">
      <c r="A1917" s="261" t="s">
        <v>1335</v>
      </c>
      <c r="B1917" s="715">
        <v>7742</v>
      </c>
      <c r="C1917" s="127" t="s">
        <v>975</v>
      </c>
      <c r="D1917" s="127" t="s">
        <v>90</v>
      </c>
      <c r="E1917" s="852">
        <v>77.41</v>
      </c>
      <c r="F1917" s="706">
        <v>1</v>
      </c>
      <c r="G1917" s="853">
        <v>98</v>
      </c>
      <c r="H1917" s="127" t="s">
        <v>762</v>
      </c>
      <c r="I1917" s="848" t="s">
        <v>1557</v>
      </c>
      <c r="J1917" s="691"/>
    </row>
    <row r="1918" spans="1:10" s="389" customFormat="1" ht="9.75" hidden="1" customHeight="1" x14ac:dyDescent="0.2">
      <c r="A1918" s="261" t="s">
        <v>1276</v>
      </c>
      <c r="B1918" s="715">
        <v>7742</v>
      </c>
      <c r="C1918" s="127" t="s">
        <v>954</v>
      </c>
      <c r="D1918" s="127" t="s">
        <v>90</v>
      </c>
      <c r="E1918" s="856">
        <v>637</v>
      </c>
      <c r="F1918" s="706">
        <v>1</v>
      </c>
      <c r="G1918" s="714">
        <v>102</v>
      </c>
      <c r="H1918" s="127" t="s">
        <v>483</v>
      </c>
      <c r="I1918" s="848" t="s">
        <v>1557</v>
      </c>
      <c r="J1918" s="691"/>
    </row>
    <row r="1919" spans="1:10" s="389" customFormat="1" ht="9.75" hidden="1" customHeight="1" x14ac:dyDescent="0.2">
      <c r="A1919" s="261" t="s">
        <v>1138</v>
      </c>
      <c r="B1919" s="715">
        <v>7742</v>
      </c>
      <c r="C1919" s="127" t="s">
        <v>955</v>
      </c>
      <c r="D1919" s="127" t="s">
        <v>90</v>
      </c>
      <c r="E1919" s="856">
        <v>373.7</v>
      </c>
      <c r="F1919" s="706">
        <v>1</v>
      </c>
      <c r="G1919" s="714">
        <v>126</v>
      </c>
      <c r="H1919" s="127" t="s">
        <v>475</v>
      </c>
      <c r="I1919" s="848" t="s">
        <v>1557</v>
      </c>
      <c r="J1919" s="691"/>
    </row>
    <row r="1920" spans="1:10" s="389" customFormat="1" ht="9.75" hidden="1" customHeight="1" x14ac:dyDescent="0.2">
      <c r="A1920" s="261" t="s">
        <v>1909</v>
      </c>
      <c r="B1920" s="715">
        <v>7742</v>
      </c>
      <c r="C1920" s="127" t="s">
        <v>1680</v>
      </c>
      <c r="D1920" s="127" t="s">
        <v>90</v>
      </c>
      <c r="E1920" s="856">
        <v>881.27</v>
      </c>
      <c r="F1920" s="706">
        <v>1</v>
      </c>
      <c r="G1920" s="714">
        <v>144</v>
      </c>
      <c r="H1920" s="127" t="s">
        <v>493</v>
      </c>
      <c r="I1920" s="848" t="s">
        <v>1557</v>
      </c>
      <c r="J1920" s="691"/>
    </row>
    <row r="1921" spans="1:10" s="389" customFormat="1" ht="9.75" hidden="1" customHeight="1" x14ac:dyDescent="0.2">
      <c r="A1921" s="261" t="s">
        <v>1910</v>
      </c>
      <c r="B1921" s="705">
        <v>7742</v>
      </c>
      <c r="C1921" s="127" t="s">
        <v>956</v>
      </c>
      <c r="D1921" s="127" t="s">
        <v>90</v>
      </c>
      <c r="E1921" s="855">
        <v>1392.19</v>
      </c>
      <c r="F1921" s="706">
        <v>1</v>
      </c>
      <c r="G1921" s="714">
        <v>136</v>
      </c>
      <c r="H1921" s="127" t="s">
        <v>1425</v>
      </c>
      <c r="I1921" s="848" t="s">
        <v>1557</v>
      </c>
      <c r="J1921" s="691"/>
    </row>
    <row r="1922" spans="1:10" s="389" customFormat="1" ht="9.75" hidden="1" customHeight="1" x14ac:dyDescent="0.2">
      <c r="A1922" s="261" t="s">
        <v>1304</v>
      </c>
      <c r="B1922" s="705">
        <v>7742</v>
      </c>
      <c r="C1922" s="127" t="s">
        <v>957</v>
      </c>
      <c r="D1922" s="127" t="s">
        <v>90</v>
      </c>
      <c r="E1922" s="852">
        <v>11.8</v>
      </c>
      <c r="F1922" s="706">
        <v>1</v>
      </c>
      <c r="G1922" s="714">
        <v>152</v>
      </c>
      <c r="H1922" s="127" t="s">
        <v>782</v>
      </c>
      <c r="I1922" s="848" t="s">
        <v>1557</v>
      </c>
      <c r="J1922" s="691"/>
    </row>
    <row r="1923" spans="1:10" s="389" customFormat="1" ht="9.75" hidden="1" customHeight="1" x14ac:dyDescent="0.2">
      <c r="A1923" s="261" t="s">
        <v>1298</v>
      </c>
      <c r="B1923" s="715">
        <v>7742</v>
      </c>
      <c r="C1923" s="127" t="s">
        <v>958</v>
      </c>
      <c r="D1923" s="127" t="s">
        <v>90</v>
      </c>
      <c r="E1923" s="854">
        <v>5.44</v>
      </c>
      <c r="F1923" s="706">
        <v>1</v>
      </c>
      <c r="G1923" s="714">
        <v>150</v>
      </c>
      <c r="H1923" s="127" t="s">
        <v>783</v>
      </c>
      <c r="I1923" s="848" t="s">
        <v>1557</v>
      </c>
      <c r="J1923" s="691"/>
    </row>
    <row r="1924" spans="1:10" s="389" customFormat="1" ht="19.149999999999999" hidden="1" customHeight="1" x14ac:dyDescent="0.2">
      <c r="A1924" s="261" t="s">
        <v>1911</v>
      </c>
      <c r="B1924" s="715">
        <v>7742</v>
      </c>
      <c r="C1924" s="127" t="s">
        <v>959</v>
      </c>
      <c r="D1924" s="127" t="s">
        <v>90</v>
      </c>
      <c r="E1924" s="854">
        <v>4.87</v>
      </c>
      <c r="F1924" s="706">
        <v>1</v>
      </c>
      <c r="G1924" s="714">
        <v>115</v>
      </c>
      <c r="H1924" s="127" t="s">
        <v>1409</v>
      </c>
      <c r="I1924" s="848" t="s">
        <v>1557</v>
      </c>
      <c r="J1924" s="691"/>
    </row>
    <row r="1925" spans="1:10" s="389" customFormat="1" ht="9.75" hidden="1" customHeight="1" x14ac:dyDescent="0.2">
      <c r="A1925" s="261" t="s">
        <v>1236</v>
      </c>
      <c r="B1925" s="705">
        <v>7742</v>
      </c>
      <c r="C1925" s="127" t="s">
        <v>960</v>
      </c>
      <c r="D1925" s="127" t="s">
        <v>90</v>
      </c>
      <c r="E1925" s="855">
        <v>2566.67</v>
      </c>
      <c r="F1925" s="706">
        <v>1</v>
      </c>
      <c r="G1925" s="714">
        <v>176</v>
      </c>
      <c r="H1925" s="127" t="s">
        <v>785</v>
      </c>
      <c r="I1925" s="848" t="s">
        <v>1557</v>
      </c>
      <c r="J1925" s="691"/>
    </row>
    <row r="1926" spans="1:10" s="389" customFormat="1" ht="10.9" hidden="1" customHeight="1" x14ac:dyDescent="0.2">
      <c r="A1926" s="261" t="s">
        <v>1264</v>
      </c>
      <c r="B1926" s="705">
        <v>7742</v>
      </c>
      <c r="C1926" s="127" t="s">
        <v>961</v>
      </c>
      <c r="D1926" s="127" t="s">
        <v>90</v>
      </c>
      <c r="E1926" s="856">
        <v>968.51</v>
      </c>
      <c r="F1926" s="706">
        <v>1</v>
      </c>
      <c r="G1926" s="714">
        <v>223</v>
      </c>
      <c r="H1926" s="127" t="s">
        <v>478</v>
      </c>
      <c r="I1926" s="848" t="s">
        <v>1557</v>
      </c>
      <c r="J1926" s="691"/>
    </row>
    <row r="1927" spans="1:10" s="389" customFormat="1" ht="9.75" hidden="1" customHeight="1" x14ac:dyDescent="0.2">
      <c r="A1927" s="261" t="s">
        <v>1912</v>
      </c>
      <c r="B1927" s="715">
        <v>7742</v>
      </c>
      <c r="C1927" s="127" t="s">
        <v>962</v>
      </c>
      <c r="D1927" s="127" t="s">
        <v>90</v>
      </c>
      <c r="E1927" s="856">
        <v>285.20999999999998</v>
      </c>
      <c r="F1927" s="706">
        <v>1</v>
      </c>
      <c r="G1927" s="714">
        <v>105</v>
      </c>
      <c r="H1927" s="127" t="s">
        <v>1406</v>
      </c>
      <c r="I1927" s="848" t="s">
        <v>1557</v>
      </c>
      <c r="J1927" s="691"/>
    </row>
    <row r="1928" spans="1:10" s="389" customFormat="1" ht="9.75" hidden="1" customHeight="1" x14ac:dyDescent="0.2">
      <c r="A1928" s="261" t="s">
        <v>1265</v>
      </c>
      <c r="B1928" s="715">
        <v>7742</v>
      </c>
      <c r="C1928" s="127" t="s">
        <v>963</v>
      </c>
      <c r="D1928" s="127" t="s">
        <v>90</v>
      </c>
      <c r="E1928" s="856">
        <v>779.65</v>
      </c>
      <c r="F1928" s="706">
        <v>1</v>
      </c>
      <c r="G1928" s="714">
        <v>226</v>
      </c>
      <c r="H1928" s="127" t="s">
        <v>479</v>
      </c>
      <c r="I1928" s="848" t="s">
        <v>1557</v>
      </c>
      <c r="J1928" s="691"/>
    </row>
    <row r="1929" spans="1:10" s="389" customFormat="1" ht="9.75" hidden="1" customHeight="1" x14ac:dyDescent="0.2">
      <c r="A1929" s="261" t="s">
        <v>1913</v>
      </c>
      <c r="B1929" s="715">
        <v>7742</v>
      </c>
      <c r="C1929" s="127" t="s">
        <v>1681</v>
      </c>
      <c r="D1929" s="127" t="s">
        <v>90</v>
      </c>
      <c r="E1929" s="855">
        <v>4741.47</v>
      </c>
      <c r="F1929" s="706">
        <v>1</v>
      </c>
      <c r="G1929" s="714">
        <v>187</v>
      </c>
      <c r="H1929" s="127" t="s">
        <v>477</v>
      </c>
      <c r="I1929" s="848" t="s">
        <v>1557</v>
      </c>
      <c r="J1929" s="691"/>
    </row>
    <row r="1930" spans="1:10" s="389" customFormat="1" ht="9.75" hidden="1" customHeight="1" x14ac:dyDescent="0.2">
      <c r="A1930" s="261" t="s">
        <v>1914</v>
      </c>
      <c r="B1930" s="705">
        <v>7742</v>
      </c>
      <c r="C1930" s="127" t="s">
        <v>1682</v>
      </c>
      <c r="D1930" s="127" t="s">
        <v>90</v>
      </c>
      <c r="E1930" s="856">
        <v>115.18</v>
      </c>
      <c r="F1930" s="706">
        <v>1</v>
      </c>
      <c r="G1930" s="714">
        <v>217</v>
      </c>
      <c r="H1930" s="127" t="s">
        <v>501</v>
      </c>
      <c r="I1930" s="848" t="s">
        <v>1557</v>
      </c>
      <c r="J1930" s="691"/>
    </row>
    <row r="1931" spans="1:10" s="389" customFormat="1" ht="9.75" hidden="1" customHeight="1" x14ac:dyDescent="0.2">
      <c r="A1931" s="261" t="s">
        <v>1266</v>
      </c>
      <c r="B1931" s="705">
        <v>7742</v>
      </c>
      <c r="C1931" s="127" t="s">
        <v>964</v>
      </c>
      <c r="D1931" s="127" t="s">
        <v>90</v>
      </c>
      <c r="E1931" s="855">
        <v>1769.77</v>
      </c>
      <c r="F1931" s="706">
        <v>1</v>
      </c>
      <c r="G1931" s="714">
        <v>194</v>
      </c>
      <c r="H1931" s="127" t="s">
        <v>482</v>
      </c>
      <c r="I1931" s="848" t="s">
        <v>1557</v>
      </c>
      <c r="J1931" s="691"/>
    </row>
    <row r="1932" spans="1:10" s="389" customFormat="1" ht="9.75" hidden="1" customHeight="1" x14ac:dyDescent="0.2">
      <c r="A1932" s="261" t="s">
        <v>1285</v>
      </c>
      <c r="B1932" s="705">
        <v>7742</v>
      </c>
      <c r="C1932" s="127" t="s">
        <v>965</v>
      </c>
      <c r="D1932" s="127" t="s">
        <v>90</v>
      </c>
      <c r="E1932" s="855">
        <v>1972.86</v>
      </c>
      <c r="F1932" s="706">
        <v>1</v>
      </c>
      <c r="G1932" s="714">
        <v>215</v>
      </c>
      <c r="H1932" s="127" t="s">
        <v>490</v>
      </c>
      <c r="I1932" s="848" t="s">
        <v>1557</v>
      </c>
      <c r="J1932" s="691"/>
    </row>
    <row r="1933" spans="1:10" s="389" customFormat="1" ht="9.75" hidden="1" customHeight="1" x14ac:dyDescent="0.2">
      <c r="A1933" s="261" t="s">
        <v>1915</v>
      </c>
      <c r="B1933" s="715">
        <v>7742</v>
      </c>
      <c r="C1933" s="127" t="s">
        <v>966</v>
      </c>
      <c r="D1933" s="127" t="s">
        <v>90</v>
      </c>
      <c r="E1933" s="852">
        <v>32.61</v>
      </c>
      <c r="F1933" s="706">
        <v>1</v>
      </c>
      <c r="G1933" s="714">
        <v>220</v>
      </c>
      <c r="H1933" s="127" t="s">
        <v>1478</v>
      </c>
      <c r="I1933" s="848" t="s">
        <v>1557</v>
      </c>
      <c r="J1933" s="691"/>
    </row>
    <row r="1934" spans="1:10" s="389" customFormat="1" ht="9.75" hidden="1" customHeight="1" x14ac:dyDescent="0.2">
      <c r="A1934" s="261" t="s">
        <v>1916</v>
      </c>
      <c r="B1934" s="705">
        <v>7742</v>
      </c>
      <c r="C1934" s="127" t="s">
        <v>967</v>
      </c>
      <c r="D1934" s="127" t="s">
        <v>90</v>
      </c>
      <c r="E1934" s="856">
        <v>335.56</v>
      </c>
      <c r="F1934" s="706">
        <v>1</v>
      </c>
      <c r="G1934" s="714">
        <v>347</v>
      </c>
      <c r="H1934" s="127" t="s">
        <v>1530</v>
      </c>
      <c r="I1934" s="848" t="s">
        <v>1557</v>
      </c>
      <c r="J1934" s="691"/>
    </row>
    <row r="1935" spans="1:10" s="389" customFormat="1" ht="9.75" hidden="1" customHeight="1" x14ac:dyDescent="0.2">
      <c r="A1935" s="261" t="s">
        <v>1267</v>
      </c>
      <c r="B1935" s="705">
        <v>7742</v>
      </c>
      <c r="C1935" s="127" t="s">
        <v>968</v>
      </c>
      <c r="D1935" s="127" t="s">
        <v>90</v>
      </c>
      <c r="E1935" s="855">
        <v>6075.07</v>
      </c>
      <c r="F1935" s="706">
        <v>1</v>
      </c>
      <c r="G1935" s="714">
        <v>353</v>
      </c>
      <c r="H1935" s="127" t="s">
        <v>494</v>
      </c>
      <c r="I1935" s="848" t="s">
        <v>1557</v>
      </c>
      <c r="J1935" s="691"/>
    </row>
    <row r="1936" spans="1:10" s="389" customFormat="1" ht="9.75" hidden="1" customHeight="1" x14ac:dyDescent="0.2">
      <c r="A1936" s="261" t="s">
        <v>1268</v>
      </c>
      <c r="B1936" s="705">
        <v>7742</v>
      </c>
      <c r="C1936" s="127" t="s">
        <v>969</v>
      </c>
      <c r="D1936" s="127" t="s">
        <v>90</v>
      </c>
      <c r="E1936" s="855">
        <v>6097.02</v>
      </c>
      <c r="F1936" s="706">
        <v>1</v>
      </c>
      <c r="G1936" s="714">
        <v>353</v>
      </c>
      <c r="H1936" s="127" t="s">
        <v>494</v>
      </c>
      <c r="I1936" s="848" t="s">
        <v>1557</v>
      </c>
      <c r="J1936" s="691"/>
    </row>
    <row r="1937" spans="1:10" s="389" customFormat="1" ht="9.75" hidden="1" customHeight="1" x14ac:dyDescent="0.2">
      <c r="A1937" s="261" t="s">
        <v>1269</v>
      </c>
      <c r="B1937" s="705">
        <v>7742</v>
      </c>
      <c r="C1937" s="127" t="s">
        <v>970</v>
      </c>
      <c r="D1937" s="127" t="s">
        <v>90</v>
      </c>
      <c r="E1937" s="856">
        <v>201.99</v>
      </c>
      <c r="F1937" s="706">
        <v>1</v>
      </c>
      <c r="G1937" s="714">
        <v>353</v>
      </c>
      <c r="H1937" s="127" t="s">
        <v>494</v>
      </c>
      <c r="I1937" s="848" t="s">
        <v>1557</v>
      </c>
      <c r="J1937" s="691"/>
    </row>
    <row r="1938" spans="1:10" s="389" customFormat="1" ht="9.75" hidden="1" customHeight="1" x14ac:dyDescent="0.2">
      <c r="A1938" s="261" t="s">
        <v>1917</v>
      </c>
      <c r="B1938" s="705">
        <v>7742</v>
      </c>
      <c r="C1938" s="127" t="s">
        <v>1683</v>
      </c>
      <c r="D1938" s="127" t="s">
        <v>90</v>
      </c>
      <c r="E1938" s="855">
        <v>2722.82</v>
      </c>
      <c r="F1938" s="706">
        <v>1</v>
      </c>
      <c r="G1938" s="714">
        <v>353</v>
      </c>
      <c r="H1938" s="127" t="s">
        <v>494</v>
      </c>
      <c r="I1938" s="848" t="s">
        <v>1557</v>
      </c>
      <c r="J1938" s="691"/>
    </row>
    <row r="1939" spans="1:10" s="389" customFormat="1" ht="9.75" hidden="1" customHeight="1" x14ac:dyDescent="0.2">
      <c r="A1939" s="261" t="s">
        <v>1270</v>
      </c>
      <c r="B1939" s="705">
        <v>7742</v>
      </c>
      <c r="C1939" s="127" t="s">
        <v>971</v>
      </c>
      <c r="D1939" s="127" t="s">
        <v>90</v>
      </c>
      <c r="E1939" s="856">
        <v>429.77</v>
      </c>
      <c r="F1939" s="706">
        <v>1</v>
      </c>
      <c r="G1939" s="714">
        <v>353</v>
      </c>
      <c r="H1939" s="127" t="s">
        <v>494</v>
      </c>
      <c r="I1939" s="848" t="s">
        <v>1557</v>
      </c>
      <c r="J1939" s="691"/>
    </row>
    <row r="1940" spans="1:10" s="389" customFormat="1" ht="9.75" hidden="1" customHeight="1" x14ac:dyDescent="0.2">
      <c r="A1940" s="261" t="s">
        <v>1271</v>
      </c>
      <c r="B1940" s="705">
        <v>7742</v>
      </c>
      <c r="C1940" s="127" t="s">
        <v>972</v>
      </c>
      <c r="D1940" s="127" t="s">
        <v>90</v>
      </c>
      <c r="E1940" s="856">
        <v>307.33</v>
      </c>
      <c r="F1940" s="706">
        <v>1</v>
      </c>
      <c r="G1940" s="714">
        <v>353</v>
      </c>
      <c r="H1940" s="127" t="s">
        <v>494</v>
      </c>
      <c r="I1940" s="848" t="s">
        <v>1557</v>
      </c>
      <c r="J1940" s="691"/>
    </row>
    <row r="1941" spans="1:10" s="389" customFormat="1" ht="19.350000000000001" hidden="1" customHeight="1" x14ac:dyDescent="0.2">
      <c r="A1941" s="261" t="s">
        <v>1272</v>
      </c>
      <c r="B1941" s="705">
        <v>7742</v>
      </c>
      <c r="C1941" s="127" t="s">
        <v>973</v>
      </c>
      <c r="D1941" s="127" t="s">
        <v>90</v>
      </c>
      <c r="E1941" s="856">
        <v>143.57</v>
      </c>
      <c r="F1941" s="706">
        <v>1</v>
      </c>
      <c r="G1941" s="714">
        <v>353</v>
      </c>
      <c r="H1941" s="127" t="s">
        <v>494</v>
      </c>
      <c r="I1941" s="848" t="s">
        <v>1557</v>
      </c>
      <c r="J1941" s="691"/>
    </row>
    <row r="1942" spans="1:10" s="389" customFormat="1" ht="9.75" hidden="1" customHeight="1" x14ac:dyDescent="0.2">
      <c r="A1942" s="261" t="s">
        <v>1308</v>
      </c>
      <c r="B1942" s="705">
        <v>7742</v>
      </c>
      <c r="C1942" s="127" t="s">
        <v>974</v>
      </c>
      <c r="D1942" s="127" t="s">
        <v>90</v>
      </c>
      <c r="E1942" s="855">
        <v>1756.68</v>
      </c>
      <c r="F1942" s="706">
        <v>1</v>
      </c>
      <c r="G1942" s="714">
        <v>359</v>
      </c>
      <c r="H1942" s="127" t="s">
        <v>511</v>
      </c>
      <c r="I1942" s="848" t="s">
        <v>1557</v>
      </c>
      <c r="J1942" s="691"/>
    </row>
    <row r="1943" spans="1:10" s="389" customFormat="1" ht="9.75" hidden="1" customHeight="1" x14ac:dyDescent="0.2">
      <c r="A1943" s="261" t="s">
        <v>1918</v>
      </c>
      <c r="B1943" s="715">
        <v>7742</v>
      </c>
      <c r="C1943" s="127" t="s">
        <v>1684</v>
      </c>
      <c r="D1943" s="127" t="s">
        <v>90</v>
      </c>
      <c r="E1943" s="856">
        <v>732.55</v>
      </c>
      <c r="F1943" s="706">
        <v>1</v>
      </c>
      <c r="G1943" s="714">
        <v>102</v>
      </c>
      <c r="H1943" s="127" t="s">
        <v>483</v>
      </c>
      <c r="I1943" s="848" t="s">
        <v>1557</v>
      </c>
      <c r="J1943" s="691"/>
    </row>
    <row r="1944" spans="1:10" s="389" customFormat="1" ht="9.75" hidden="1" customHeight="1" x14ac:dyDescent="0.2">
      <c r="A1944" s="261" t="s">
        <v>1919</v>
      </c>
      <c r="B1944" s="715">
        <v>7742</v>
      </c>
      <c r="C1944" s="127" t="s">
        <v>1685</v>
      </c>
      <c r="D1944" s="127" t="s">
        <v>90</v>
      </c>
      <c r="E1944" s="852">
        <v>20.27</v>
      </c>
      <c r="F1944" s="706">
        <v>1</v>
      </c>
      <c r="G1944" s="714">
        <v>169</v>
      </c>
      <c r="H1944" s="127" t="s">
        <v>1444</v>
      </c>
      <c r="I1944" s="848" t="s">
        <v>1557</v>
      </c>
      <c r="J1944" s="691"/>
    </row>
    <row r="1945" spans="1:10" s="389" customFormat="1" ht="9.75" hidden="1" customHeight="1" x14ac:dyDescent="0.2">
      <c r="A1945" s="261" t="s">
        <v>1920</v>
      </c>
      <c r="B1945" s="705">
        <v>7742</v>
      </c>
      <c r="C1945" s="127" t="s">
        <v>1686</v>
      </c>
      <c r="D1945" s="127" t="s">
        <v>90</v>
      </c>
      <c r="E1945" s="856">
        <v>168.33</v>
      </c>
      <c r="F1945" s="706">
        <v>1</v>
      </c>
      <c r="G1945" s="714">
        <v>248</v>
      </c>
      <c r="H1945" s="127" t="s">
        <v>1488</v>
      </c>
      <c r="I1945" s="848" t="s">
        <v>1557</v>
      </c>
      <c r="J1945" s="691"/>
    </row>
    <row r="1946" spans="1:10" s="389" customFormat="1" ht="9.75" hidden="1" customHeight="1" x14ac:dyDescent="0.2">
      <c r="A1946" s="261" t="s">
        <v>1921</v>
      </c>
      <c r="B1946" s="715">
        <v>7742</v>
      </c>
      <c r="C1946" s="127" t="s">
        <v>1687</v>
      </c>
      <c r="D1946" s="127" t="s">
        <v>90</v>
      </c>
      <c r="E1946" s="852">
        <v>20.27</v>
      </c>
      <c r="F1946" s="706">
        <v>1</v>
      </c>
      <c r="G1946" s="714">
        <v>170</v>
      </c>
      <c r="H1946" s="127" t="s">
        <v>1445</v>
      </c>
      <c r="I1946" s="848" t="s">
        <v>1557</v>
      </c>
      <c r="J1946" s="691"/>
    </row>
    <row r="1947" spans="1:10" s="389" customFormat="1" ht="9.75" hidden="1" customHeight="1" x14ac:dyDescent="0.2">
      <c r="A1947" s="261" t="s">
        <v>1922</v>
      </c>
      <c r="B1947" s="705">
        <v>7742</v>
      </c>
      <c r="C1947" s="127" t="s">
        <v>1688</v>
      </c>
      <c r="D1947" s="127" t="s">
        <v>90</v>
      </c>
      <c r="E1947" s="855">
        <v>1431.91</v>
      </c>
      <c r="F1947" s="706">
        <v>1</v>
      </c>
      <c r="G1947" s="714">
        <v>177</v>
      </c>
      <c r="H1947" s="127" t="s">
        <v>1450</v>
      </c>
      <c r="I1947" s="848" t="s">
        <v>1557</v>
      </c>
      <c r="J1947" s="691"/>
    </row>
    <row r="1948" spans="1:10" s="389" customFormat="1" ht="9.75" hidden="1" customHeight="1" x14ac:dyDescent="0.2">
      <c r="A1948" s="261" t="s">
        <v>1923</v>
      </c>
      <c r="B1948" s="705">
        <v>7742</v>
      </c>
      <c r="C1948" s="127" t="s">
        <v>1689</v>
      </c>
      <c r="D1948" s="127" t="s">
        <v>90</v>
      </c>
      <c r="E1948" s="856">
        <v>841.6</v>
      </c>
      <c r="F1948" s="706">
        <v>1</v>
      </c>
      <c r="G1948" s="714">
        <v>373</v>
      </c>
      <c r="H1948" s="127" t="s">
        <v>1542</v>
      </c>
      <c r="I1948" s="848" t="s">
        <v>1557</v>
      </c>
      <c r="J1948" s="691"/>
    </row>
    <row r="1949" spans="1:10" s="389" customFormat="1" ht="9.75" hidden="1" customHeight="1" x14ac:dyDescent="0.2">
      <c r="A1949" s="261" t="s">
        <v>1924</v>
      </c>
      <c r="B1949" s="715">
        <v>7742</v>
      </c>
      <c r="C1949" s="127" t="s">
        <v>1690</v>
      </c>
      <c r="D1949" s="127" t="s">
        <v>90</v>
      </c>
      <c r="E1949" s="856">
        <v>173.99</v>
      </c>
      <c r="F1949" s="706">
        <v>1</v>
      </c>
      <c r="G1949" s="853">
        <v>97</v>
      </c>
      <c r="H1949" s="127" t="s">
        <v>1403</v>
      </c>
      <c r="I1949" s="848" t="s">
        <v>1557</v>
      </c>
      <c r="J1949" s="691"/>
    </row>
    <row r="1950" spans="1:10" s="389" customFormat="1" ht="9.75" hidden="1" customHeight="1" x14ac:dyDescent="0.2">
      <c r="A1950" s="261" t="s">
        <v>1925</v>
      </c>
      <c r="B1950" s="715">
        <v>7742</v>
      </c>
      <c r="C1950" s="127" t="s">
        <v>1691</v>
      </c>
      <c r="D1950" s="127" t="s">
        <v>90</v>
      </c>
      <c r="E1950" s="852">
        <v>98.47</v>
      </c>
      <c r="F1950" s="706">
        <v>1</v>
      </c>
      <c r="G1950" s="714">
        <v>252</v>
      </c>
      <c r="H1950" s="127" t="s">
        <v>1490</v>
      </c>
      <c r="I1950" s="848" t="s">
        <v>1557</v>
      </c>
      <c r="J1950" s="691"/>
    </row>
    <row r="1951" spans="1:10" s="389" customFormat="1" ht="9.75" hidden="1" customHeight="1" x14ac:dyDescent="0.2">
      <c r="A1951" s="261" t="s">
        <v>1926</v>
      </c>
      <c r="B1951" s="705">
        <v>7742</v>
      </c>
      <c r="C1951" s="127" t="s">
        <v>1692</v>
      </c>
      <c r="D1951" s="127" t="s">
        <v>90</v>
      </c>
      <c r="E1951" s="852">
        <v>11.75</v>
      </c>
      <c r="F1951" s="706">
        <v>1</v>
      </c>
      <c r="G1951" s="714">
        <v>370</v>
      </c>
      <c r="H1951" s="127" t="s">
        <v>1539</v>
      </c>
      <c r="I1951" s="848" t="s">
        <v>1557</v>
      </c>
      <c r="J1951" s="691"/>
    </row>
    <row r="1952" spans="1:10" s="389" customFormat="1" ht="9.75" hidden="1" customHeight="1" x14ac:dyDescent="0.2">
      <c r="A1952" s="261" t="s">
        <v>1336</v>
      </c>
      <c r="B1952" s="705">
        <v>7759</v>
      </c>
      <c r="C1952" s="127" t="s">
        <v>981</v>
      </c>
      <c r="D1952" s="127" t="s">
        <v>90</v>
      </c>
      <c r="E1952" s="852">
        <v>22.26</v>
      </c>
      <c r="F1952" s="706">
        <v>1</v>
      </c>
      <c r="G1952" s="714">
        <v>167</v>
      </c>
      <c r="H1952" s="127" t="s">
        <v>784</v>
      </c>
      <c r="I1952" s="848" t="s">
        <v>1557</v>
      </c>
      <c r="J1952" s="691"/>
    </row>
    <row r="1953" spans="1:10" s="389" customFormat="1" ht="9.75" hidden="1" customHeight="1" x14ac:dyDescent="0.2">
      <c r="A1953" s="261" t="s">
        <v>1337</v>
      </c>
      <c r="B1953" s="705">
        <v>7759</v>
      </c>
      <c r="C1953" s="127" t="s">
        <v>982</v>
      </c>
      <c r="D1953" s="127" t="s">
        <v>90</v>
      </c>
      <c r="E1953" s="852">
        <v>22.26</v>
      </c>
      <c r="F1953" s="706">
        <v>1</v>
      </c>
      <c r="G1953" s="714">
        <v>167</v>
      </c>
      <c r="H1953" s="127" t="s">
        <v>784</v>
      </c>
      <c r="I1953" s="848" t="s">
        <v>1557</v>
      </c>
      <c r="J1953" s="691"/>
    </row>
    <row r="1954" spans="1:10" s="389" customFormat="1" ht="9.75" hidden="1" customHeight="1" x14ac:dyDescent="0.2">
      <c r="A1954" s="261" t="s">
        <v>1253</v>
      </c>
      <c r="B1954" s="705">
        <v>8125</v>
      </c>
      <c r="C1954" s="127" t="s">
        <v>1015</v>
      </c>
      <c r="D1954" s="127" t="s">
        <v>10</v>
      </c>
      <c r="E1954" s="852">
        <v>14</v>
      </c>
      <c r="F1954" s="706">
        <v>1</v>
      </c>
      <c r="G1954" s="714">
        <v>281</v>
      </c>
      <c r="H1954" s="127" t="s">
        <v>470</v>
      </c>
      <c r="I1954" s="848" t="s">
        <v>1557</v>
      </c>
      <c r="J1954" s="691"/>
    </row>
    <row r="1955" spans="1:10" s="389" customFormat="1" ht="9.75" hidden="1" customHeight="1" x14ac:dyDescent="0.2">
      <c r="A1955" s="261" t="s">
        <v>1134</v>
      </c>
      <c r="B1955" s="705">
        <v>8125</v>
      </c>
      <c r="C1955" s="127" t="s">
        <v>1016</v>
      </c>
      <c r="D1955" s="127" t="s">
        <v>10</v>
      </c>
      <c r="E1955" s="852">
        <v>16</v>
      </c>
      <c r="F1955" s="706">
        <v>1</v>
      </c>
      <c r="G1955" s="714">
        <v>280</v>
      </c>
      <c r="H1955" s="127" t="s">
        <v>457</v>
      </c>
      <c r="I1955" s="848" t="s">
        <v>1557</v>
      </c>
      <c r="J1955" s="691"/>
    </row>
    <row r="1956" spans="1:10" s="389" customFormat="1" ht="9.75" hidden="1" customHeight="1" x14ac:dyDescent="0.2">
      <c r="A1956" s="261" t="s">
        <v>1135</v>
      </c>
      <c r="B1956" s="705">
        <v>8126</v>
      </c>
      <c r="C1956" s="127" t="s">
        <v>1017</v>
      </c>
      <c r="D1956" s="127" t="s">
        <v>12</v>
      </c>
      <c r="E1956" s="855">
        <v>3040</v>
      </c>
      <c r="F1956" s="706">
        <v>1</v>
      </c>
      <c r="G1956" s="714">
        <v>280</v>
      </c>
      <c r="H1956" s="127" t="s">
        <v>457</v>
      </c>
      <c r="I1956" s="848" t="s">
        <v>1557</v>
      </c>
      <c r="J1956" s="691"/>
    </row>
    <row r="1957" spans="1:10" s="389" customFormat="1" ht="9.75" hidden="1" customHeight="1" x14ac:dyDescent="0.2">
      <c r="A1957" s="261" t="s">
        <v>1254</v>
      </c>
      <c r="B1957" s="705">
        <v>8127</v>
      </c>
      <c r="C1957" s="127" t="s">
        <v>1018</v>
      </c>
      <c r="D1957" s="127" t="s">
        <v>12</v>
      </c>
      <c r="E1957" s="855">
        <v>2660</v>
      </c>
      <c r="F1957" s="706">
        <v>1</v>
      </c>
      <c r="G1957" s="714">
        <v>281</v>
      </c>
      <c r="H1957" s="127" t="s">
        <v>470</v>
      </c>
      <c r="I1957" s="848" t="s">
        <v>1557</v>
      </c>
      <c r="J1957" s="691"/>
    </row>
    <row r="1958" spans="1:10" s="389" customFormat="1" ht="9.75" hidden="1" customHeight="1" x14ac:dyDescent="0.2">
      <c r="A1958" s="261" t="s">
        <v>1927</v>
      </c>
      <c r="B1958" s="705">
        <v>8323</v>
      </c>
      <c r="C1958" s="127" t="s">
        <v>1693</v>
      </c>
      <c r="D1958" s="127" t="s">
        <v>8</v>
      </c>
      <c r="E1958" s="854">
        <v>8</v>
      </c>
      <c r="F1958" s="706">
        <v>1</v>
      </c>
      <c r="G1958" s="714">
        <v>303</v>
      </c>
      <c r="H1958" s="127" t="s">
        <v>1509</v>
      </c>
      <c r="I1958" s="848" t="s">
        <v>1557</v>
      </c>
      <c r="J1958" s="691"/>
    </row>
    <row r="1959" spans="1:10" s="389" customFormat="1" ht="9.75" hidden="1" customHeight="1" x14ac:dyDescent="0.2">
      <c r="A1959" s="261" t="s">
        <v>1928</v>
      </c>
      <c r="B1959" s="705">
        <v>8324</v>
      </c>
      <c r="C1959" s="127" t="s">
        <v>1694</v>
      </c>
      <c r="D1959" s="127" t="s">
        <v>8</v>
      </c>
      <c r="E1959" s="854">
        <v>7</v>
      </c>
      <c r="F1959" s="706">
        <v>1</v>
      </c>
      <c r="G1959" s="714">
        <v>312</v>
      </c>
      <c r="H1959" s="127" t="s">
        <v>1512</v>
      </c>
      <c r="I1959" s="848" t="s">
        <v>1557</v>
      </c>
      <c r="J1959" s="691"/>
    </row>
    <row r="1960" spans="1:10" s="389" customFormat="1" ht="9.75" hidden="1" customHeight="1" x14ac:dyDescent="0.2">
      <c r="A1960" s="261" t="s">
        <v>1929</v>
      </c>
      <c r="B1960" s="705">
        <v>8326</v>
      </c>
      <c r="C1960" s="127" t="s">
        <v>1695</v>
      </c>
      <c r="D1960" s="127" t="s">
        <v>8</v>
      </c>
      <c r="E1960" s="852">
        <v>74</v>
      </c>
      <c r="F1960" s="706">
        <v>1</v>
      </c>
      <c r="G1960" s="714">
        <v>302</v>
      </c>
      <c r="H1960" s="127" t="s">
        <v>1508</v>
      </c>
      <c r="I1960" s="848" t="s">
        <v>1557</v>
      </c>
      <c r="J1960" s="691"/>
    </row>
    <row r="1961" spans="1:10" s="389" customFormat="1" ht="9.75" hidden="1" customHeight="1" x14ac:dyDescent="0.2">
      <c r="A1961" s="261" t="s">
        <v>1930</v>
      </c>
      <c r="B1961" s="705">
        <v>8847</v>
      </c>
      <c r="C1961" s="127" t="s">
        <v>1696</v>
      </c>
      <c r="D1961" s="127" t="s">
        <v>101</v>
      </c>
      <c r="E1961" s="856">
        <v>660</v>
      </c>
      <c r="F1961" s="706">
        <v>1</v>
      </c>
      <c r="G1961" s="714">
        <v>173</v>
      </c>
      <c r="H1961" s="127" t="s">
        <v>1448</v>
      </c>
      <c r="I1961" s="848" t="s">
        <v>1557</v>
      </c>
      <c r="J1961" s="691"/>
    </row>
    <row r="1962" spans="1:10" s="389" customFormat="1" ht="9.75" hidden="1" customHeight="1" x14ac:dyDescent="0.2">
      <c r="A1962" s="261" t="s">
        <v>1931</v>
      </c>
      <c r="B1962" s="705">
        <v>8114</v>
      </c>
      <c r="C1962" s="127" t="s">
        <v>1597</v>
      </c>
      <c r="D1962" s="127" t="s">
        <v>101</v>
      </c>
      <c r="E1962" s="856">
        <v>387.2362</v>
      </c>
      <c r="F1962" s="706">
        <v>1</v>
      </c>
      <c r="G1962" s="853">
        <v>90</v>
      </c>
      <c r="H1962" s="127" t="s">
        <v>473</v>
      </c>
      <c r="I1962" s="848" t="s">
        <v>1555</v>
      </c>
      <c r="J1962" s="691"/>
    </row>
    <row r="1963" spans="1:10" s="389" customFormat="1" ht="9.75" hidden="1" customHeight="1" x14ac:dyDescent="0.2">
      <c r="A1963" s="261" t="s">
        <v>1932</v>
      </c>
      <c r="B1963" s="705">
        <v>1001</v>
      </c>
      <c r="C1963" s="127" t="s">
        <v>1610</v>
      </c>
      <c r="D1963" s="127" t="s">
        <v>101</v>
      </c>
      <c r="E1963" s="855">
        <v>2147.9168</v>
      </c>
      <c r="F1963" s="706">
        <v>1</v>
      </c>
      <c r="G1963" s="853">
        <v>90</v>
      </c>
      <c r="H1963" s="127" t="s">
        <v>473</v>
      </c>
      <c r="I1963" s="848" t="s">
        <v>1555</v>
      </c>
      <c r="J1963" s="691"/>
    </row>
    <row r="1964" spans="1:10" s="389" customFormat="1" ht="9.75" hidden="1" customHeight="1" x14ac:dyDescent="0.2">
      <c r="A1964" s="261" t="s">
        <v>1933</v>
      </c>
      <c r="B1964" s="705">
        <v>1004</v>
      </c>
      <c r="C1964" s="127" t="s">
        <v>1611</v>
      </c>
      <c r="D1964" s="127" t="s">
        <v>94</v>
      </c>
      <c r="E1964" s="854">
        <v>2.7915999999999999</v>
      </c>
      <c r="F1964" s="706">
        <v>1</v>
      </c>
      <c r="G1964" s="853">
        <v>90</v>
      </c>
      <c r="H1964" s="127" t="s">
        <v>473</v>
      </c>
      <c r="I1964" s="848" t="s">
        <v>1555</v>
      </c>
      <c r="J1964" s="691"/>
    </row>
    <row r="1965" spans="1:10" s="389" customFormat="1" ht="19.350000000000001" hidden="1" customHeight="1" x14ac:dyDescent="0.2">
      <c r="A1965" s="261" t="s">
        <v>1197</v>
      </c>
      <c r="B1965" s="705">
        <v>1054</v>
      </c>
      <c r="C1965" s="127" t="s">
        <v>376</v>
      </c>
      <c r="D1965" s="127" t="s">
        <v>101</v>
      </c>
      <c r="E1965" s="854">
        <v>4.5556999999999999</v>
      </c>
      <c r="F1965" s="706">
        <v>1</v>
      </c>
      <c r="G1965" s="853">
        <v>90</v>
      </c>
      <c r="H1965" s="127" t="s">
        <v>473</v>
      </c>
      <c r="I1965" s="848" t="s">
        <v>1555</v>
      </c>
      <c r="J1965" s="691"/>
    </row>
    <row r="1966" spans="1:10" s="389" customFormat="1" ht="9.75" hidden="1" customHeight="1" x14ac:dyDescent="0.2">
      <c r="A1966" s="261" t="s">
        <v>1934</v>
      </c>
      <c r="B1966" s="705">
        <v>1206</v>
      </c>
      <c r="C1966" s="127" t="s">
        <v>1594</v>
      </c>
      <c r="D1966" s="127" t="s">
        <v>101</v>
      </c>
      <c r="E1966" s="856">
        <v>387.2362</v>
      </c>
      <c r="F1966" s="706">
        <v>1</v>
      </c>
      <c r="G1966" s="853">
        <v>90</v>
      </c>
      <c r="H1966" s="127" t="s">
        <v>473</v>
      </c>
      <c r="I1966" s="848" t="s">
        <v>1555</v>
      </c>
      <c r="J1966" s="691"/>
    </row>
    <row r="1967" spans="1:10" s="389" customFormat="1" ht="9.75" hidden="1" customHeight="1" x14ac:dyDescent="0.2">
      <c r="A1967" s="261" t="s">
        <v>1202</v>
      </c>
      <c r="B1967" s="705">
        <v>1314</v>
      </c>
      <c r="C1967" s="127" t="s">
        <v>379</v>
      </c>
      <c r="D1967" s="127" t="s">
        <v>15</v>
      </c>
      <c r="E1967" s="856">
        <v>345.18340000000001</v>
      </c>
      <c r="F1967" s="706">
        <v>1</v>
      </c>
      <c r="G1967" s="853">
        <v>90</v>
      </c>
      <c r="H1967" s="127" t="s">
        <v>473</v>
      </c>
      <c r="I1967" s="848" t="s">
        <v>1555</v>
      </c>
      <c r="J1967" s="691"/>
    </row>
    <row r="1968" spans="1:10" s="389" customFormat="1" ht="9.75" hidden="1" customHeight="1" x14ac:dyDescent="0.2">
      <c r="A1968" s="261" t="s">
        <v>1206</v>
      </c>
      <c r="B1968" s="705">
        <v>1367</v>
      </c>
      <c r="C1968" s="127" t="s">
        <v>843</v>
      </c>
      <c r="D1968" s="127" t="s">
        <v>1612</v>
      </c>
      <c r="E1968" s="854">
        <v>6.6577000000000002</v>
      </c>
      <c r="F1968" s="706">
        <v>1</v>
      </c>
      <c r="G1968" s="853">
        <v>90</v>
      </c>
      <c r="H1968" s="127" t="s">
        <v>473</v>
      </c>
      <c r="I1968" s="848" t="s">
        <v>1555</v>
      </c>
      <c r="J1968" s="691"/>
    </row>
    <row r="1969" spans="1:30" s="389" customFormat="1" ht="10.9" hidden="1" customHeight="1" x14ac:dyDescent="0.2">
      <c r="A1969" s="261" t="s">
        <v>1207</v>
      </c>
      <c r="B1969" s="705">
        <v>1571</v>
      </c>
      <c r="C1969" s="127" t="s">
        <v>403</v>
      </c>
      <c r="D1969" s="127" t="s">
        <v>8</v>
      </c>
      <c r="E1969" s="855">
        <v>2768.4760000000001</v>
      </c>
      <c r="F1969" s="706">
        <v>1</v>
      </c>
      <c r="G1969" s="853">
        <v>90</v>
      </c>
      <c r="H1969" s="127" t="s">
        <v>473</v>
      </c>
      <c r="I1969" s="848" t="s">
        <v>1555</v>
      </c>
      <c r="J1969" s="691"/>
    </row>
    <row r="1970" spans="1:30" s="389" customFormat="1" ht="9.75" hidden="1" customHeight="1" x14ac:dyDescent="0.2">
      <c r="A1970" s="261" t="s">
        <v>1214</v>
      </c>
      <c r="B1970" s="705">
        <v>5961</v>
      </c>
      <c r="C1970" s="127" t="s">
        <v>742</v>
      </c>
      <c r="D1970" s="127" t="s">
        <v>101</v>
      </c>
      <c r="E1970" s="852">
        <v>25.4069</v>
      </c>
      <c r="F1970" s="706">
        <v>1</v>
      </c>
      <c r="G1970" s="853">
        <v>90</v>
      </c>
      <c r="H1970" s="127" t="s">
        <v>473</v>
      </c>
      <c r="I1970" s="848" t="s">
        <v>1555</v>
      </c>
      <c r="J1970" s="691"/>
    </row>
    <row r="1971" spans="1:30" s="389" customFormat="1" ht="9.75" hidden="1" customHeight="1" x14ac:dyDescent="0.2">
      <c r="A1971" s="261" t="s">
        <v>1222</v>
      </c>
      <c r="B1971" s="706">
        <v>1</v>
      </c>
      <c r="C1971" s="127" t="s">
        <v>188</v>
      </c>
      <c r="D1971" s="127" t="s">
        <v>12</v>
      </c>
      <c r="E1971" s="856">
        <v>101.6276</v>
      </c>
      <c r="F1971" s="706">
        <v>1</v>
      </c>
      <c r="G1971" s="853">
        <v>90</v>
      </c>
      <c r="H1971" s="127" t="s">
        <v>473</v>
      </c>
      <c r="I1971" s="848" t="s">
        <v>1555</v>
      </c>
      <c r="J1971" s="691"/>
    </row>
    <row r="1972" spans="1:30" s="389" customFormat="1" ht="9.75" hidden="1" customHeight="1" x14ac:dyDescent="0.2">
      <c r="A1972" s="261" t="s">
        <v>1230</v>
      </c>
      <c r="B1972" s="705">
        <v>1285</v>
      </c>
      <c r="C1972" s="127" t="s">
        <v>378</v>
      </c>
      <c r="D1972" s="127" t="s">
        <v>15</v>
      </c>
      <c r="E1972" s="856">
        <v>381.9796</v>
      </c>
      <c r="F1972" s="706">
        <v>1</v>
      </c>
      <c r="G1972" s="853">
        <v>90</v>
      </c>
      <c r="H1972" s="127" t="s">
        <v>473</v>
      </c>
      <c r="I1972" s="848" t="s">
        <v>1555</v>
      </c>
      <c r="J1972" s="691"/>
    </row>
    <row r="1973" spans="1:30" s="389" customFormat="1" ht="9.75" hidden="1" customHeight="1" x14ac:dyDescent="0.2">
      <c r="A1973" s="261" t="s">
        <v>1935</v>
      </c>
      <c r="B1973" s="705">
        <v>1403</v>
      </c>
      <c r="C1973" s="127" t="s">
        <v>401</v>
      </c>
      <c r="D1973" s="127" t="s">
        <v>13</v>
      </c>
      <c r="E1973" s="852">
        <v>33.130600000000001</v>
      </c>
      <c r="F1973" s="706">
        <v>1</v>
      </c>
      <c r="G1973" s="853">
        <v>90</v>
      </c>
      <c r="H1973" s="127" t="s">
        <v>473</v>
      </c>
      <c r="I1973" s="848" t="s">
        <v>1555</v>
      </c>
      <c r="J1973" s="691"/>
    </row>
    <row r="1974" spans="1:30" s="389" customFormat="1" ht="9.75" hidden="1" customHeight="1" x14ac:dyDescent="0.2">
      <c r="A1974" s="261" t="s">
        <v>1936</v>
      </c>
      <c r="B1974" s="705">
        <v>7742</v>
      </c>
      <c r="C1974" s="127" t="s">
        <v>1618</v>
      </c>
      <c r="D1974" s="127" t="s">
        <v>90</v>
      </c>
      <c r="E1974" s="856">
        <v>175.22</v>
      </c>
      <c r="F1974" s="706">
        <v>1</v>
      </c>
      <c r="G1974" s="853">
        <v>90</v>
      </c>
      <c r="H1974" s="127" t="s">
        <v>473</v>
      </c>
      <c r="I1974" s="848" t="s">
        <v>1555</v>
      </c>
      <c r="J1974" s="691"/>
    </row>
    <row r="1975" spans="1:30" s="389" customFormat="1" ht="9.75" customHeight="1" x14ac:dyDescent="0.2">
      <c r="A1975" s="690"/>
      <c r="B1975" s="388"/>
      <c r="C1975" s="388"/>
      <c r="D1975" s="388"/>
      <c r="E1975" s="692"/>
      <c r="F1975" s="388"/>
      <c r="G1975" s="388"/>
      <c r="H1975" s="388"/>
      <c r="I1975" s="388"/>
      <c r="J1975" s="691"/>
    </row>
    <row r="1976" spans="1:30" s="117" customFormat="1" x14ac:dyDescent="0.2">
      <c r="A1976" s="131"/>
      <c r="B1976" s="131" t="s">
        <v>205</v>
      </c>
    </row>
    <row r="1978" spans="1:30" x14ac:dyDescent="0.2">
      <c r="B1978" s="123" t="s">
        <v>16</v>
      </c>
      <c r="C1978" s="123"/>
      <c r="D1978" s="124"/>
      <c r="E1978" s="124"/>
      <c r="F1978" s="124"/>
      <c r="G1978" s="124"/>
      <c r="H1978" s="124"/>
      <c r="I1978" s="124"/>
      <c r="J1978" s="124"/>
      <c r="K1978" s="124"/>
      <c r="L1978" s="124"/>
      <c r="M1978" s="124"/>
      <c r="N1978" s="124"/>
      <c r="O1978" s="1007"/>
      <c r="P1978" s="1007"/>
      <c r="Q1978" s="1007"/>
      <c r="R1978" s="1007"/>
      <c r="S1978" s="1007"/>
      <c r="T1978" s="1007"/>
      <c r="U1978" s="1007"/>
      <c r="V1978" s="1007"/>
    </row>
    <row r="1979" spans="1:30" ht="9.75" customHeight="1" x14ac:dyDescent="0.2">
      <c r="B1979" s="111"/>
      <c r="C1979" s="111"/>
      <c r="D1979" s="111"/>
      <c r="E1979" s="1004"/>
      <c r="F1979" s="1004"/>
      <c r="G1979" s="1004"/>
      <c r="H1979" s="1004"/>
      <c r="I1979" s="1004"/>
      <c r="J1979" s="1004"/>
      <c r="K1979" s="1004"/>
      <c r="L1979" s="1004"/>
      <c r="M1979" s="1004"/>
      <c r="N1979" s="1004"/>
      <c r="O1979" s="1004"/>
      <c r="P1979" s="1004"/>
      <c r="Q1979" s="1004"/>
      <c r="R1979" s="1004"/>
      <c r="S1979" s="1004"/>
      <c r="T1979" s="1004"/>
      <c r="U1979" s="1004"/>
      <c r="V1979" s="1004"/>
      <c r="W1979" s="1004"/>
      <c r="X1979" s="1004"/>
      <c r="Y1979" s="1004"/>
      <c r="Z1979" s="1004"/>
      <c r="AA1979" s="1004"/>
      <c r="AB1979" s="1004"/>
      <c r="AC1979" s="1004"/>
      <c r="AD1979" s="1004"/>
    </row>
    <row r="1980" spans="1:30" ht="9.75" customHeight="1" x14ac:dyDescent="0.2">
      <c r="B1980" s="112"/>
      <c r="C1980" s="112"/>
      <c r="D1980" s="113"/>
      <c r="E1980" s="356"/>
      <c r="F1980" s="356"/>
      <c r="G1980" s="356"/>
      <c r="H1980" s="356"/>
      <c r="I1980" s="356"/>
      <c r="J1980" s="356"/>
      <c r="K1980" s="356"/>
      <c r="L1980" s="356"/>
      <c r="M1980" s="356"/>
      <c r="N1980" s="356"/>
      <c r="O1980" s="356"/>
      <c r="P1980" s="356"/>
      <c r="Q1980" s="356"/>
      <c r="R1980" s="356"/>
      <c r="S1980" s="356"/>
      <c r="T1980" s="356"/>
      <c r="U1980" s="356"/>
      <c r="V1980" s="356"/>
      <c r="W1980" s="356"/>
      <c r="X1980" s="356"/>
      <c r="Y1980" s="356"/>
      <c r="Z1980" s="356"/>
      <c r="AA1980" s="356"/>
      <c r="AB1980" s="356"/>
      <c r="AC1980" s="356"/>
      <c r="AD1980" s="356"/>
    </row>
    <row r="1981" spans="1:30" ht="9.75" customHeight="1" x14ac:dyDescent="0.2">
      <c r="B1981" s="220"/>
      <c r="C1981" s="358"/>
      <c r="D1981" s="140"/>
      <c r="E1981" s="119"/>
      <c r="F1981" s="119"/>
      <c r="G1981" s="119"/>
      <c r="H1981" s="119"/>
      <c r="I1981" s="119"/>
      <c r="J1981" s="119"/>
      <c r="K1981" s="119"/>
      <c r="L1981" s="119"/>
      <c r="M1981" s="119"/>
      <c r="N1981" s="119"/>
      <c r="O1981" s="119"/>
      <c r="P1981" s="119"/>
      <c r="Q1981" s="119"/>
      <c r="R1981" s="119"/>
      <c r="S1981" s="119"/>
      <c r="T1981" s="119"/>
      <c r="U1981" s="119"/>
      <c r="V1981" s="119"/>
      <c r="W1981" s="119"/>
      <c r="X1981" s="119"/>
      <c r="Y1981" s="119"/>
      <c r="Z1981" s="119"/>
      <c r="AA1981" s="119"/>
      <c r="AB1981" s="119"/>
      <c r="AC1981" s="119"/>
      <c r="AD1981" s="119"/>
    </row>
    <row r="1982" spans="1:30" ht="9.75" customHeight="1" x14ac:dyDescent="0.2">
      <c r="B1982" s="220"/>
      <c r="C1982" s="358"/>
      <c r="D1982" s="142"/>
      <c r="E1982" s="119"/>
      <c r="F1982" s="119"/>
      <c r="G1982" s="119"/>
      <c r="H1982" s="119"/>
      <c r="I1982" s="119"/>
      <c r="J1982" s="119"/>
      <c r="K1982" s="119"/>
      <c r="L1982" s="119"/>
      <c r="M1982" s="119"/>
      <c r="N1982" s="119"/>
      <c r="O1982" s="119"/>
      <c r="P1982" s="119"/>
      <c r="Q1982" s="119"/>
      <c r="R1982" s="119"/>
      <c r="S1982" s="119"/>
      <c r="T1982" s="119"/>
      <c r="U1982" s="119"/>
      <c r="V1982" s="119"/>
      <c r="W1982" s="119"/>
      <c r="X1982" s="119"/>
      <c r="Y1982" s="119"/>
      <c r="Z1982" s="119"/>
      <c r="AA1982" s="119"/>
      <c r="AB1982" s="119"/>
      <c r="AC1982" s="119"/>
      <c r="AD1982" s="119"/>
    </row>
    <row r="1983" spans="1:30" ht="9.75" customHeight="1" x14ac:dyDescent="0.2">
      <c r="B1983" s="220"/>
      <c r="C1983" s="358"/>
      <c r="D1983" s="142"/>
      <c r="E1983" s="119"/>
      <c r="F1983" s="119"/>
      <c r="G1983" s="119"/>
      <c r="H1983" s="119"/>
      <c r="I1983" s="119"/>
      <c r="J1983" s="119"/>
      <c r="K1983" s="119"/>
      <c r="L1983" s="119"/>
      <c r="M1983" s="119"/>
      <c r="N1983" s="119"/>
      <c r="O1983" s="119"/>
      <c r="P1983" s="119"/>
      <c r="Q1983" s="119"/>
      <c r="R1983" s="119"/>
      <c r="S1983" s="119"/>
      <c r="T1983" s="119"/>
      <c r="U1983" s="119"/>
      <c r="V1983" s="119"/>
      <c r="W1983" s="119"/>
      <c r="X1983" s="119"/>
      <c r="Y1983" s="119"/>
      <c r="Z1983" s="119"/>
      <c r="AA1983" s="119"/>
      <c r="AB1983" s="119"/>
      <c r="AC1983" s="119"/>
      <c r="AD1983" s="119"/>
    </row>
    <row r="1984" spans="1:30" ht="9.75" customHeight="1" x14ac:dyDescent="0.2">
      <c r="B1984" s="220"/>
      <c r="C1984" s="358"/>
      <c r="D1984" s="139"/>
      <c r="E1984" s="118"/>
      <c r="F1984" s="118"/>
      <c r="G1984" s="118"/>
      <c r="H1984" s="118"/>
      <c r="I1984" s="119"/>
      <c r="J1984" s="118"/>
      <c r="K1984" s="118"/>
      <c r="L1984" s="118"/>
      <c r="M1984" s="118"/>
      <c r="N1984" s="118"/>
      <c r="O1984" s="118"/>
      <c r="P1984" s="118"/>
      <c r="Q1984" s="118"/>
      <c r="R1984" s="118"/>
      <c r="S1984" s="118"/>
      <c r="T1984" s="118"/>
      <c r="U1984" s="118"/>
      <c r="V1984" s="118"/>
      <c r="W1984" s="118"/>
      <c r="X1984" s="118"/>
      <c r="Y1984" s="118"/>
      <c r="Z1984" s="118"/>
      <c r="AA1984" s="118"/>
      <c r="AB1984" s="118"/>
      <c r="AC1984" s="118"/>
      <c r="AD1984" s="118"/>
    </row>
    <row r="1985" spans="2:30" ht="9.75" customHeight="1" x14ac:dyDescent="0.2">
      <c r="B1985" s="219"/>
      <c r="C1985" s="358"/>
      <c r="D1985" s="142"/>
      <c r="E1985" s="119"/>
      <c r="F1985" s="119"/>
      <c r="G1985" s="119"/>
      <c r="H1985" s="119"/>
      <c r="I1985" s="119"/>
      <c r="J1985" s="119"/>
      <c r="K1985" s="119"/>
      <c r="L1985" s="119"/>
      <c r="M1985" s="119"/>
      <c r="N1985" s="119"/>
      <c r="O1985" s="119"/>
      <c r="P1985" s="119"/>
      <c r="Q1985" s="119"/>
      <c r="R1985" s="119"/>
      <c r="S1985" s="119"/>
      <c r="T1985" s="119"/>
      <c r="U1985" s="119"/>
      <c r="V1985" s="119"/>
      <c r="W1985" s="119"/>
      <c r="X1985" s="119"/>
      <c r="Y1985" s="119"/>
      <c r="Z1985" s="119"/>
      <c r="AA1985" s="119"/>
      <c r="AB1985" s="119"/>
      <c r="AC1985" s="119"/>
      <c r="AD1985" s="119"/>
    </row>
    <row r="1986" spans="2:30" ht="9.75" customHeight="1" x14ac:dyDescent="0.2">
      <c r="B1986" s="218"/>
      <c r="C1986" s="358"/>
      <c r="D1986" s="142"/>
      <c r="E1986" s="119"/>
      <c r="F1986" s="119"/>
      <c r="G1986" s="119"/>
      <c r="H1986" s="119"/>
      <c r="I1986" s="119"/>
      <c r="J1986" s="119"/>
      <c r="K1986" s="119"/>
      <c r="L1986" s="119"/>
      <c r="M1986" s="119"/>
      <c r="N1986" s="119"/>
      <c r="O1986" s="119"/>
      <c r="P1986" s="119"/>
      <c r="Q1986" s="119"/>
      <c r="R1986" s="119"/>
      <c r="S1986" s="119"/>
      <c r="T1986" s="119"/>
      <c r="U1986" s="119"/>
      <c r="V1986" s="119"/>
      <c r="W1986" s="119"/>
      <c r="X1986" s="119"/>
      <c r="Y1986" s="119"/>
      <c r="Z1986" s="119"/>
      <c r="AA1986" s="119"/>
      <c r="AB1986" s="119"/>
      <c r="AC1986" s="119"/>
      <c r="AD1986" s="119"/>
    </row>
    <row r="1987" spans="2:30" ht="9.75" customHeight="1" x14ac:dyDescent="0.2">
      <c r="B1987" s="218"/>
      <c r="C1987" s="358"/>
      <c r="D1987" s="139"/>
      <c r="E1987" s="118"/>
      <c r="F1987" s="118"/>
      <c r="G1987" s="118"/>
      <c r="H1987" s="118"/>
      <c r="I1987" s="118"/>
      <c r="J1987" s="119"/>
      <c r="K1987" s="118"/>
      <c r="L1987" s="118"/>
      <c r="M1987" s="118"/>
      <c r="N1987" s="118"/>
      <c r="O1987" s="118"/>
      <c r="P1987" s="118"/>
      <c r="Q1987" s="118"/>
      <c r="R1987" s="118"/>
      <c r="S1987" s="118"/>
      <c r="T1987" s="118"/>
      <c r="U1987" s="118"/>
      <c r="V1987" s="118"/>
      <c r="W1987" s="118"/>
      <c r="X1987" s="118"/>
      <c r="Y1987" s="118"/>
      <c r="Z1987" s="118"/>
      <c r="AA1987" s="118"/>
      <c r="AB1987" s="118"/>
      <c r="AC1987" s="118"/>
      <c r="AD1987" s="118"/>
    </row>
    <row r="1988" spans="2:30" ht="9.75" customHeight="1" x14ac:dyDescent="0.2">
      <c r="B1988" s="218"/>
      <c r="C1988" s="358"/>
      <c r="D1988" s="142"/>
      <c r="E1988" s="118"/>
      <c r="F1988" s="118"/>
      <c r="G1988" s="118"/>
      <c r="H1988" s="119"/>
      <c r="I1988" s="119"/>
      <c r="J1988" s="119"/>
      <c r="K1988" s="119"/>
      <c r="L1988" s="119"/>
      <c r="M1988" s="119"/>
      <c r="N1988" s="119"/>
      <c r="O1988" s="119"/>
      <c r="P1988" s="119"/>
      <c r="Q1988" s="119"/>
      <c r="R1988" s="119"/>
      <c r="S1988" s="119"/>
      <c r="T1988" s="118"/>
      <c r="U1988" s="118"/>
      <c r="V1988" s="118"/>
      <c r="W1988" s="118"/>
      <c r="X1988" s="118"/>
      <c r="Y1988" s="118"/>
      <c r="Z1988" s="118"/>
      <c r="AA1988" s="118"/>
      <c r="AB1988" s="118"/>
      <c r="AC1988" s="118"/>
      <c r="AD1988" s="118"/>
    </row>
    <row r="1989" spans="2:30" ht="9.75" customHeight="1" x14ac:dyDescent="0.2">
      <c r="B1989" s="218"/>
      <c r="C1989" s="358"/>
      <c r="D1989" s="142"/>
      <c r="E1989" s="119"/>
      <c r="F1989" s="119"/>
      <c r="G1989" s="119"/>
      <c r="H1989" s="119"/>
      <c r="I1989" s="119"/>
      <c r="J1989" s="119"/>
      <c r="K1989" s="119"/>
      <c r="L1989" s="119"/>
      <c r="M1989" s="119"/>
      <c r="N1989" s="119"/>
      <c r="O1989" s="119"/>
      <c r="P1989" s="119"/>
      <c r="Q1989" s="119"/>
      <c r="R1989" s="119"/>
      <c r="S1989" s="119"/>
      <c r="T1989" s="119"/>
      <c r="U1989" s="119"/>
      <c r="V1989" s="119"/>
      <c r="W1989" s="119"/>
      <c r="X1989" s="119"/>
      <c r="Y1989" s="119"/>
      <c r="Z1989" s="119"/>
      <c r="AA1989" s="119"/>
      <c r="AB1989" s="119"/>
      <c r="AC1989" s="119"/>
      <c r="AD1989" s="119"/>
    </row>
    <row r="1990" spans="2:30" ht="10.9" customHeight="1" x14ac:dyDescent="0.2">
      <c r="B1990" s="218"/>
      <c r="C1990" s="358"/>
      <c r="D1990" s="142"/>
      <c r="E1990" s="118"/>
      <c r="F1990" s="118"/>
      <c r="G1990" s="118"/>
      <c r="H1990" s="118"/>
      <c r="I1990" s="118"/>
      <c r="J1990" s="118"/>
      <c r="K1990" s="119"/>
      <c r="L1990" s="119"/>
      <c r="M1990" s="119"/>
      <c r="N1990" s="119"/>
      <c r="O1990" s="119"/>
      <c r="P1990" s="119"/>
      <c r="Q1990" s="119"/>
      <c r="R1990" s="119"/>
      <c r="S1990" s="119"/>
      <c r="T1990" s="119"/>
      <c r="U1990" s="119"/>
      <c r="V1990" s="119"/>
      <c r="W1990" s="119"/>
      <c r="X1990" s="119"/>
      <c r="Y1990" s="118"/>
      <c r="Z1990" s="118"/>
      <c r="AA1990" s="118"/>
      <c r="AB1990" s="118"/>
      <c r="AC1990" s="118"/>
      <c r="AD1990" s="118"/>
    </row>
    <row r="1991" spans="2:30" ht="9.75" customHeight="1" x14ac:dyDescent="0.2">
      <c r="B1991" s="218"/>
      <c r="C1991" s="358"/>
      <c r="D1991" s="142"/>
      <c r="E1991" s="119"/>
      <c r="F1991" s="119"/>
      <c r="G1991" s="119"/>
      <c r="H1991" s="119"/>
      <c r="I1991" s="119"/>
      <c r="J1991" s="119"/>
      <c r="K1991" s="119"/>
      <c r="L1991" s="119"/>
      <c r="M1991" s="119"/>
      <c r="N1991" s="119"/>
      <c r="O1991" s="119"/>
      <c r="P1991" s="119"/>
      <c r="Q1991" s="119"/>
      <c r="R1991" s="119"/>
      <c r="S1991" s="119"/>
      <c r="T1991" s="119"/>
      <c r="U1991" s="119"/>
      <c r="V1991" s="119"/>
      <c r="W1991" s="119"/>
      <c r="X1991" s="119"/>
      <c r="Y1991" s="119"/>
      <c r="Z1991" s="119"/>
      <c r="AA1991" s="119"/>
      <c r="AB1991" s="119"/>
      <c r="AC1991" s="119"/>
      <c r="AD1991" s="119"/>
    </row>
    <row r="1992" spans="2:30" ht="9.75" customHeight="1" x14ac:dyDescent="0.2">
      <c r="B1992" s="218"/>
      <c r="C1992" s="358"/>
      <c r="D1992" s="142"/>
      <c r="E1992" s="119"/>
      <c r="F1992" s="119"/>
      <c r="G1992" s="119"/>
      <c r="H1992" s="119"/>
      <c r="I1992" s="119"/>
      <c r="J1992" s="119"/>
      <c r="K1992" s="119"/>
      <c r="L1992" s="119"/>
      <c r="M1992" s="119"/>
      <c r="N1992" s="119"/>
      <c r="O1992" s="119"/>
      <c r="P1992" s="119"/>
      <c r="Q1992" s="119"/>
      <c r="R1992" s="119"/>
      <c r="S1992" s="119"/>
      <c r="T1992" s="119"/>
      <c r="U1992" s="119"/>
      <c r="V1992" s="119"/>
      <c r="W1992" s="119"/>
      <c r="X1992" s="119"/>
      <c r="Y1992" s="119"/>
      <c r="Z1992" s="119"/>
      <c r="AA1992" s="119"/>
      <c r="AB1992" s="119"/>
      <c r="AC1992" s="119"/>
      <c r="AD1992" s="119"/>
    </row>
    <row r="1993" spans="2:30" ht="9.75" customHeight="1" x14ac:dyDescent="0.2">
      <c r="B1993" s="1006"/>
      <c r="C1993" s="1006"/>
      <c r="D1993" s="122"/>
      <c r="E1993" s="126"/>
      <c r="F1993" s="126"/>
      <c r="G1993" s="126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6"/>
      <c r="AB1993" s="126"/>
      <c r="AC1993" s="126"/>
      <c r="AD1993" s="126"/>
    </row>
    <row r="1994" spans="2:30" ht="9.75" customHeight="1" x14ac:dyDescent="0.2">
      <c r="B1994" s="123" t="s">
        <v>725</v>
      </c>
      <c r="C1994" s="362"/>
      <c r="D1994" s="363"/>
      <c r="E1994" s="364"/>
      <c r="F1994" s="364"/>
      <c r="G1994" s="364"/>
      <c r="H1994" s="364"/>
      <c r="I1994" s="364"/>
      <c r="J1994" s="364"/>
      <c r="K1994" s="364"/>
      <c r="L1994" s="364"/>
      <c r="M1994" s="364"/>
      <c r="N1994" s="364"/>
      <c r="O1994" s="364"/>
      <c r="P1994" s="364"/>
      <c r="Q1994" s="364"/>
      <c r="R1994" s="364"/>
      <c r="S1994" s="364"/>
      <c r="T1994" s="364"/>
      <c r="U1994" s="364"/>
      <c r="V1994" s="364"/>
      <c r="W1994" s="364"/>
      <c r="X1994" s="364"/>
      <c r="Y1994" s="364"/>
      <c r="Z1994" s="364"/>
      <c r="AA1994" s="364"/>
      <c r="AB1994" s="364"/>
      <c r="AC1994" s="364"/>
      <c r="AD1994" s="364"/>
    </row>
    <row r="1995" spans="2:30" ht="9.75" customHeight="1" x14ac:dyDescent="0.2">
      <c r="B1995" s="111"/>
      <c r="C1995" s="111"/>
      <c r="D1995" s="111"/>
      <c r="E1995" s="1004"/>
      <c r="F1995" s="1004"/>
      <c r="G1995" s="1004"/>
      <c r="H1995" s="1004"/>
      <c r="I1995" s="1004"/>
      <c r="J1995" s="1004"/>
      <c r="K1995" s="1004"/>
      <c r="L1995" s="1004"/>
      <c r="M1995" s="1004"/>
      <c r="N1995" s="1004"/>
      <c r="O1995" s="1004"/>
      <c r="P1995" s="1004"/>
      <c r="Q1995" s="1004"/>
      <c r="R1995" s="1004"/>
      <c r="S1995" s="1004"/>
      <c r="T1995" s="1004"/>
      <c r="U1995" s="1004"/>
      <c r="V1995" s="1004"/>
      <c r="W1995" s="1004"/>
      <c r="X1995" s="1004"/>
      <c r="Y1995" s="1004"/>
      <c r="Z1995" s="1004"/>
      <c r="AA1995" s="1004"/>
      <c r="AB1995" s="1004"/>
      <c r="AC1995" s="1004"/>
      <c r="AD1995" s="1004"/>
    </row>
    <row r="1996" spans="2:30" ht="9.75" customHeight="1" x14ac:dyDescent="0.2">
      <c r="B1996" s="112"/>
      <c r="C1996" s="112"/>
      <c r="D1996" s="113"/>
      <c r="E1996" s="356"/>
      <c r="F1996" s="356"/>
      <c r="G1996" s="356"/>
      <c r="H1996" s="356"/>
      <c r="I1996" s="356"/>
      <c r="J1996" s="356"/>
      <c r="K1996" s="356"/>
      <c r="L1996" s="356"/>
      <c r="M1996" s="356"/>
      <c r="N1996" s="356"/>
      <c r="O1996" s="356"/>
      <c r="P1996" s="356"/>
      <c r="Q1996" s="356"/>
      <c r="R1996" s="356"/>
      <c r="S1996" s="356"/>
      <c r="T1996" s="356"/>
      <c r="U1996" s="356"/>
      <c r="V1996" s="356"/>
      <c r="W1996" s="356"/>
      <c r="X1996" s="356"/>
      <c r="Y1996" s="356"/>
      <c r="Z1996" s="356"/>
      <c r="AA1996" s="356"/>
      <c r="AB1996" s="356"/>
      <c r="AC1996" s="356"/>
      <c r="AD1996" s="356"/>
    </row>
    <row r="1997" spans="2:30" ht="9.75" customHeight="1" x14ac:dyDescent="0.2">
      <c r="B1997" s="220"/>
      <c r="C1997" s="358"/>
      <c r="D1997" s="142"/>
      <c r="E1997" s="119"/>
      <c r="F1997" s="119"/>
      <c r="G1997" s="119"/>
      <c r="H1997" s="119"/>
      <c r="I1997" s="119"/>
      <c r="J1997" s="119"/>
      <c r="K1997" s="119"/>
      <c r="L1997" s="119"/>
      <c r="M1997" s="119"/>
      <c r="N1997" s="119"/>
      <c r="O1997" s="119"/>
      <c r="P1997" s="119"/>
      <c r="Q1997" s="119"/>
      <c r="R1997" s="119"/>
      <c r="S1997" s="119"/>
      <c r="T1997" s="119"/>
      <c r="U1997" s="119"/>
      <c r="V1997" s="119"/>
      <c r="W1997" s="119"/>
      <c r="X1997" s="119"/>
      <c r="Y1997" s="119"/>
      <c r="Z1997" s="119"/>
      <c r="AA1997" s="119"/>
      <c r="AB1997" s="119"/>
      <c r="AC1997" s="119"/>
      <c r="AD1997" s="118"/>
    </row>
    <row r="1998" spans="2:30" ht="9.75" customHeight="1" x14ac:dyDescent="0.2">
      <c r="B1998" s="220"/>
      <c r="C1998" s="358"/>
      <c r="D1998" s="142"/>
      <c r="E1998" s="119"/>
      <c r="F1998" s="119"/>
      <c r="G1998" s="119"/>
      <c r="H1998" s="119"/>
      <c r="I1998" s="119"/>
      <c r="J1998" s="119"/>
      <c r="K1998" s="119"/>
      <c r="L1998" s="119"/>
      <c r="M1998" s="119"/>
      <c r="N1998" s="119"/>
      <c r="O1998" s="119"/>
      <c r="P1998" s="119"/>
      <c r="Q1998" s="119"/>
      <c r="R1998" s="119"/>
      <c r="S1998" s="119"/>
      <c r="T1998" s="119"/>
      <c r="U1998" s="119"/>
      <c r="V1998" s="119"/>
      <c r="W1998" s="119"/>
      <c r="X1998" s="119"/>
      <c r="Y1998" s="119"/>
      <c r="Z1998" s="119"/>
      <c r="AA1998" s="119"/>
      <c r="AB1998" s="119"/>
      <c r="AC1998" s="118"/>
      <c r="AD1998" s="118"/>
    </row>
    <row r="1999" spans="2:30" ht="9.75" customHeight="1" x14ac:dyDescent="0.2">
      <c r="B1999" s="219"/>
      <c r="C1999" s="358"/>
      <c r="D1999" s="142"/>
      <c r="E1999" s="118"/>
      <c r="F1999" s="118"/>
      <c r="G1999" s="118"/>
      <c r="H1999" s="118"/>
      <c r="I1999" s="118"/>
      <c r="J1999" s="118"/>
      <c r="K1999" s="118"/>
      <c r="L1999" s="118"/>
      <c r="M1999" s="119"/>
      <c r="N1999" s="119"/>
      <c r="O1999" s="119"/>
      <c r="P1999" s="119"/>
      <c r="Q1999" s="119"/>
      <c r="R1999" s="119"/>
      <c r="S1999" s="119"/>
      <c r="T1999" s="119"/>
      <c r="U1999" s="119"/>
      <c r="V1999" s="118"/>
      <c r="W1999" s="118"/>
      <c r="X1999" s="119"/>
      <c r="Y1999" s="119"/>
      <c r="Z1999" s="119"/>
      <c r="AA1999" s="119"/>
      <c r="AB1999" s="119"/>
      <c r="AC1999" s="119"/>
      <c r="AD1999" s="119"/>
    </row>
    <row r="2000" spans="2:30" ht="9.75" customHeight="1" x14ac:dyDescent="0.2">
      <c r="B2000" s="218"/>
      <c r="C2000" s="358"/>
      <c r="D2000" s="142"/>
      <c r="E2000" s="118"/>
      <c r="F2000" s="118"/>
      <c r="G2000" s="118"/>
      <c r="H2000" s="118"/>
      <c r="I2000" s="118"/>
      <c r="J2000" s="118"/>
      <c r="K2000" s="118"/>
      <c r="L2000" s="118"/>
      <c r="M2000" s="119"/>
      <c r="N2000" s="119"/>
      <c r="O2000" s="119"/>
      <c r="P2000" s="119"/>
      <c r="Q2000" s="119"/>
      <c r="R2000" s="119"/>
      <c r="S2000" s="119"/>
      <c r="T2000" s="119"/>
      <c r="U2000" s="119"/>
      <c r="V2000" s="118"/>
      <c r="W2000" s="118"/>
      <c r="X2000" s="118"/>
      <c r="Y2000" s="118"/>
      <c r="Z2000" s="119"/>
      <c r="AA2000" s="119"/>
      <c r="AB2000" s="119"/>
      <c r="AC2000" s="119"/>
      <c r="AD2000" s="119"/>
    </row>
    <row r="2001" spans="1:30" ht="9.75" customHeight="1" x14ac:dyDescent="0.2">
      <c r="B2001" s="218"/>
      <c r="C2001" s="358"/>
      <c r="D2001" s="142"/>
      <c r="E2001" s="118"/>
      <c r="F2001" s="118"/>
      <c r="G2001" s="118"/>
      <c r="H2001" s="119"/>
      <c r="I2001" s="119"/>
      <c r="J2001" s="119"/>
      <c r="K2001" s="119"/>
      <c r="L2001" s="119"/>
      <c r="M2001" s="119"/>
      <c r="N2001" s="119"/>
      <c r="O2001" s="119"/>
      <c r="P2001" s="119"/>
      <c r="Q2001" s="119"/>
      <c r="R2001" s="119"/>
      <c r="S2001" s="119"/>
      <c r="T2001" s="119"/>
      <c r="U2001" s="119"/>
      <c r="V2001" s="119"/>
      <c r="W2001" s="119"/>
      <c r="X2001" s="119"/>
      <c r="Y2001" s="119"/>
      <c r="Z2001" s="119"/>
      <c r="AA2001" s="119"/>
      <c r="AB2001" s="119"/>
      <c r="AC2001" s="119"/>
      <c r="AD2001" s="119"/>
    </row>
    <row r="2002" spans="1:30" ht="9.75" customHeight="1" x14ac:dyDescent="0.2">
      <c r="B2002" s="1006"/>
      <c r="C2002" s="1006"/>
      <c r="D2002" s="122"/>
      <c r="E2002" s="125"/>
      <c r="F2002" s="125"/>
      <c r="G2002" s="125"/>
      <c r="H2002" s="125"/>
      <c r="I2002" s="125"/>
      <c r="J2002" s="125"/>
      <c r="K2002" s="125"/>
      <c r="L2002" s="125"/>
      <c r="M2002" s="125"/>
      <c r="N2002" s="126"/>
      <c r="O2002" s="125"/>
      <c r="P2002" s="126"/>
      <c r="Q2002" s="125"/>
      <c r="R2002" s="125"/>
      <c r="S2002" s="125"/>
      <c r="T2002" s="126"/>
      <c r="U2002" s="126"/>
      <c r="V2002" s="125"/>
      <c r="W2002" s="125"/>
      <c r="X2002" s="125"/>
      <c r="Y2002" s="125"/>
      <c r="Z2002" s="125"/>
      <c r="AA2002" s="125"/>
      <c r="AB2002" s="125"/>
      <c r="AC2002" s="125"/>
      <c r="AD2002" s="125"/>
    </row>
    <row r="2003" spans="1:30" ht="9.75" customHeight="1" x14ac:dyDescent="0.2">
      <c r="A2003" s="679"/>
      <c r="B2003" s="1006"/>
      <c r="C2003" s="1006"/>
      <c r="D2003" s="122"/>
      <c r="E2003" s="126"/>
      <c r="F2003" s="126"/>
      <c r="G2003" s="126"/>
      <c r="H2003" s="126"/>
      <c r="I2003" s="126"/>
      <c r="J2003" s="126"/>
      <c r="K2003" s="126"/>
      <c r="L2003" s="126"/>
      <c r="M2003" s="126"/>
      <c r="N2003" s="126"/>
      <c r="O2003" s="126"/>
      <c r="P2003" s="126"/>
      <c r="Q2003" s="126"/>
      <c r="R2003" s="126"/>
      <c r="S2003" s="126"/>
      <c r="T2003" s="126"/>
      <c r="U2003" s="126"/>
      <c r="V2003" s="126"/>
      <c r="W2003" s="126"/>
      <c r="X2003" s="126"/>
      <c r="Y2003" s="126"/>
      <c r="Z2003" s="126"/>
      <c r="AA2003" s="126"/>
      <c r="AB2003" s="126"/>
      <c r="AC2003" s="126"/>
      <c r="AD2003" s="126"/>
    </row>
    <row r="2004" spans="1:30" ht="9.75" customHeight="1" x14ac:dyDescent="0.2">
      <c r="A2004" s="679"/>
      <c r="B2004" s="219"/>
      <c r="C2004" s="358"/>
      <c r="D2004" s="142"/>
      <c r="E2004" s="119"/>
      <c r="F2004" s="416"/>
      <c r="G2004" s="119"/>
      <c r="H2004" s="119"/>
      <c r="I2004" s="119"/>
      <c r="J2004" s="119"/>
      <c r="K2004" s="119"/>
      <c r="L2004" s="119"/>
      <c r="M2004" s="119"/>
      <c r="N2004" s="119"/>
      <c r="O2004" s="119"/>
      <c r="P2004" s="119"/>
      <c r="Q2004" s="119"/>
    </row>
    <row r="2005" spans="1:30" s="117" customFormat="1" x14ac:dyDescent="0.2">
      <c r="A2005" s="131"/>
      <c r="B2005" s="131" t="s">
        <v>209</v>
      </c>
    </row>
    <row r="2007" spans="1:30" ht="12.75" customHeight="1" x14ac:dyDescent="0.2">
      <c r="B2007" s="357" t="s">
        <v>70</v>
      </c>
      <c r="C2007" s="357" t="s">
        <v>39</v>
      </c>
      <c r="D2007" s="357" t="s">
        <v>71</v>
      </c>
      <c r="E2007" s="847" t="s">
        <v>72</v>
      </c>
      <c r="F2007" s="847" t="s">
        <v>73</v>
      </c>
      <c r="G2007" s="847" t="s">
        <v>74</v>
      </c>
    </row>
    <row r="2008" spans="1:30" ht="12.75" customHeight="1" x14ac:dyDescent="0.2">
      <c r="A2008" s="130" t="str">
        <f>I2008&amp;H2008</f>
        <v>- PROJETOS1</v>
      </c>
      <c r="B2008" s="137" t="s">
        <v>75</v>
      </c>
      <c r="C2008" s="137" t="s">
        <v>592</v>
      </c>
      <c r="D2008" s="137"/>
      <c r="E2008" s="138"/>
      <c r="F2008" s="138"/>
      <c r="G2008" s="680">
        <v>170985</v>
      </c>
      <c r="H2008" s="114">
        <v>1</v>
      </c>
      <c r="I2008" s="137" t="s">
        <v>330</v>
      </c>
    </row>
    <row r="2009" spans="1:30" ht="12.75" customHeight="1" x14ac:dyDescent="0.2">
      <c r="A2009" s="130" t="str">
        <f t="shared" ref="A2009:A2072" si="9">I2009&amp;H2009</f>
        <v xml:space="preserve">      Projeto Estrutural2</v>
      </c>
      <c r="B2009" s="957" t="s">
        <v>76</v>
      </c>
      <c r="C2009" s="957" t="s">
        <v>407</v>
      </c>
      <c r="D2009" s="957" t="s">
        <v>7</v>
      </c>
      <c r="E2009" s="139">
        <v>1</v>
      </c>
      <c r="F2009" s="140">
        <v>56000</v>
      </c>
      <c r="G2009" s="141">
        <v>56000</v>
      </c>
      <c r="H2009" s="706">
        <v>2</v>
      </c>
      <c r="I2009" s="957" t="s">
        <v>2363</v>
      </c>
    </row>
    <row r="2010" spans="1:30" ht="12.75" customHeight="1" x14ac:dyDescent="0.2">
      <c r="A2010" s="130" t="str">
        <f t="shared" si="9"/>
        <v xml:space="preserve">      Projeto Fundação e Contenção3</v>
      </c>
      <c r="B2010" s="957" t="s">
        <v>77</v>
      </c>
      <c r="C2010" s="957" t="s">
        <v>2037</v>
      </c>
      <c r="D2010" s="957" t="s">
        <v>7</v>
      </c>
      <c r="E2010" s="139">
        <v>1</v>
      </c>
      <c r="F2010" s="142">
        <v>9735</v>
      </c>
      <c r="G2010" s="143">
        <v>9735</v>
      </c>
      <c r="H2010" s="706">
        <v>3</v>
      </c>
      <c r="I2010" s="957" t="s">
        <v>2366</v>
      </c>
    </row>
    <row r="2011" spans="1:30" ht="12.75" customHeight="1" x14ac:dyDescent="0.2">
      <c r="A2011" s="130" t="str">
        <f t="shared" si="9"/>
        <v xml:space="preserve">      Consultoria Fundação e Contenção4</v>
      </c>
      <c r="B2011" s="957" t="s">
        <v>78</v>
      </c>
      <c r="C2011" s="957" t="s">
        <v>2038</v>
      </c>
      <c r="D2011" s="957" t="s">
        <v>7</v>
      </c>
      <c r="E2011" s="139">
        <v>1</v>
      </c>
      <c r="F2011" s="142">
        <v>5000</v>
      </c>
      <c r="G2011" s="143">
        <v>5000</v>
      </c>
      <c r="H2011" s="706">
        <v>4</v>
      </c>
      <c r="I2011" s="957" t="s">
        <v>2369</v>
      </c>
    </row>
    <row r="2012" spans="1:30" ht="12.75" customHeight="1" x14ac:dyDescent="0.2">
      <c r="A2012" s="130" t="str">
        <f t="shared" si="9"/>
        <v xml:space="preserve">      Projeto de Proteção Coletiva5</v>
      </c>
      <c r="B2012" s="957" t="s">
        <v>79</v>
      </c>
      <c r="C2012" s="957" t="s">
        <v>1377</v>
      </c>
      <c r="D2012" s="957" t="s">
        <v>7</v>
      </c>
      <c r="E2012" s="139">
        <v>1</v>
      </c>
      <c r="F2012" s="142">
        <v>2800</v>
      </c>
      <c r="G2012" s="143">
        <v>2800</v>
      </c>
      <c r="H2012" s="706">
        <v>5</v>
      </c>
      <c r="I2012" s="957" t="s">
        <v>2370</v>
      </c>
    </row>
    <row r="2013" spans="1:30" ht="12.75" customHeight="1" x14ac:dyDescent="0.2">
      <c r="A2013" s="130" t="str">
        <f t="shared" si="9"/>
        <v xml:space="preserve">      Projeto Arquitetura6</v>
      </c>
      <c r="B2013" s="957" t="s">
        <v>80</v>
      </c>
      <c r="C2013" s="957" t="s">
        <v>425</v>
      </c>
      <c r="D2013" s="957" t="s">
        <v>7</v>
      </c>
      <c r="E2013" s="139">
        <v>1</v>
      </c>
      <c r="F2013" s="140">
        <v>50000</v>
      </c>
      <c r="G2013" s="141">
        <v>50000</v>
      </c>
      <c r="H2013" s="706">
        <v>6</v>
      </c>
      <c r="I2013" s="957" t="s">
        <v>2371</v>
      </c>
    </row>
    <row r="2014" spans="1:30" ht="12.75" customHeight="1" x14ac:dyDescent="0.2">
      <c r="A2014" s="130" t="str">
        <f t="shared" si="9"/>
        <v xml:space="preserve">      Projetos de Sistemas Prediais (Elétricos, Telecomunicações, SPDA, Hidrossanitários, glp, Incêndio)7</v>
      </c>
      <c r="B2014" s="957" t="s">
        <v>81</v>
      </c>
      <c r="C2014" s="957" t="s">
        <v>2039</v>
      </c>
      <c r="D2014" s="957" t="s">
        <v>7</v>
      </c>
      <c r="E2014" s="139">
        <v>1</v>
      </c>
      <c r="F2014" s="140">
        <v>22250</v>
      </c>
      <c r="G2014" s="141">
        <v>22250</v>
      </c>
      <c r="H2014" s="706">
        <v>7</v>
      </c>
      <c r="I2014" s="957" t="s">
        <v>2372</v>
      </c>
    </row>
    <row r="2015" spans="1:30" ht="12.75" customHeight="1" x14ac:dyDescent="0.2">
      <c r="A2015" s="130" t="str">
        <f t="shared" si="9"/>
        <v xml:space="preserve">      Projetos instalações complementares (Ar condicionado, Ventilação)8</v>
      </c>
      <c r="B2015" s="957" t="s">
        <v>153</v>
      </c>
      <c r="C2015" s="957" t="s">
        <v>2198</v>
      </c>
      <c r="D2015" s="957" t="s">
        <v>7</v>
      </c>
      <c r="E2015" s="139">
        <v>1</v>
      </c>
      <c r="F2015" s="142">
        <v>3500</v>
      </c>
      <c r="G2015" s="143">
        <v>3500</v>
      </c>
      <c r="H2015" s="706">
        <v>8</v>
      </c>
      <c r="I2015" s="957" t="s">
        <v>2373</v>
      </c>
    </row>
    <row r="2016" spans="1:30" ht="12.75" customHeight="1" x14ac:dyDescent="0.2">
      <c r="A2016" s="130" t="str">
        <f t="shared" si="9"/>
        <v xml:space="preserve">      Projeto de Demolição e Terraplenagem9</v>
      </c>
      <c r="B2016" s="957" t="s">
        <v>261</v>
      </c>
      <c r="C2016" s="957" t="s">
        <v>767</v>
      </c>
      <c r="D2016" s="957" t="s">
        <v>7</v>
      </c>
      <c r="E2016" s="139">
        <v>1</v>
      </c>
      <c r="F2016" s="142">
        <v>3000</v>
      </c>
      <c r="G2016" s="143">
        <v>3000</v>
      </c>
      <c r="H2016" s="706">
        <v>9</v>
      </c>
      <c r="I2016" s="957" t="s">
        <v>2375</v>
      </c>
    </row>
    <row r="2017" spans="1:9" ht="12.75" customHeight="1" x14ac:dyDescent="0.2">
      <c r="A2017" s="130" t="str">
        <f t="shared" si="9"/>
        <v xml:space="preserve">      Projeto de piscina10</v>
      </c>
      <c r="B2017" s="957" t="s">
        <v>262</v>
      </c>
      <c r="C2017" s="957" t="s">
        <v>2199</v>
      </c>
      <c r="D2017" s="957" t="s">
        <v>7</v>
      </c>
      <c r="E2017" s="139">
        <v>1</v>
      </c>
      <c r="F2017" s="142">
        <v>2400</v>
      </c>
      <c r="G2017" s="143">
        <v>2400</v>
      </c>
      <c r="H2017" s="219">
        <v>10</v>
      </c>
      <c r="I2017" s="957" t="s">
        <v>2377</v>
      </c>
    </row>
    <row r="2018" spans="1:9" ht="12.75" customHeight="1" x14ac:dyDescent="0.2">
      <c r="A2018" s="130" t="str">
        <f t="shared" si="9"/>
        <v xml:space="preserve">      Projetos detalhamento11</v>
      </c>
      <c r="B2018" s="957" t="s">
        <v>764</v>
      </c>
      <c r="C2018" s="957" t="s">
        <v>2200</v>
      </c>
      <c r="D2018" s="957" t="s">
        <v>7</v>
      </c>
      <c r="E2018" s="139">
        <v>1</v>
      </c>
      <c r="F2018" s="140">
        <v>15000</v>
      </c>
      <c r="G2018" s="141">
        <v>15000</v>
      </c>
      <c r="H2018" s="219">
        <v>11</v>
      </c>
      <c r="I2018" s="957" t="s">
        <v>2378</v>
      </c>
    </row>
    <row r="2019" spans="1:9" ht="12.75" customHeight="1" x14ac:dyDescent="0.2">
      <c r="A2019" s="130" t="str">
        <f t="shared" si="9"/>
        <v xml:space="preserve">      Projeto Luminotécnico12</v>
      </c>
      <c r="B2019" s="957" t="s">
        <v>766</v>
      </c>
      <c r="C2019" s="957" t="s">
        <v>2201</v>
      </c>
      <c r="D2019" s="957" t="s">
        <v>7</v>
      </c>
      <c r="E2019" s="139">
        <v>1</v>
      </c>
      <c r="F2019" s="142">
        <v>1300</v>
      </c>
      <c r="G2019" s="143">
        <v>1300</v>
      </c>
      <c r="H2019" s="219">
        <v>12</v>
      </c>
      <c r="I2019" s="957" t="s">
        <v>2379</v>
      </c>
    </row>
    <row r="2020" spans="1:9" ht="12.75" customHeight="1" x14ac:dyDescent="0.2">
      <c r="A2020" s="130" t="str">
        <f t="shared" si="9"/>
        <v>- LAUDOS E ESTUDOS13</v>
      </c>
      <c r="B2020" s="137" t="s">
        <v>82</v>
      </c>
      <c r="C2020" s="137" t="s">
        <v>593</v>
      </c>
      <c r="D2020" s="137"/>
      <c r="E2020" s="138"/>
      <c r="F2020" s="138"/>
      <c r="G2020" s="681">
        <v>46168</v>
      </c>
      <c r="H2020" s="219">
        <v>13</v>
      </c>
      <c r="I2020" s="137" t="s">
        <v>331</v>
      </c>
    </row>
    <row r="2021" spans="1:9" ht="12.75" customHeight="1" x14ac:dyDescent="0.2">
      <c r="A2021" s="130" t="str">
        <f t="shared" si="9"/>
        <v xml:space="preserve">      Sondagem14</v>
      </c>
      <c r="B2021" s="957" t="s">
        <v>83</v>
      </c>
      <c r="C2021" s="957" t="s">
        <v>410</v>
      </c>
      <c r="D2021" s="957" t="s">
        <v>7</v>
      </c>
      <c r="E2021" s="139">
        <v>1</v>
      </c>
      <c r="F2021" s="140">
        <v>12000</v>
      </c>
      <c r="G2021" s="141">
        <v>12000</v>
      </c>
      <c r="H2021" s="219">
        <v>14</v>
      </c>
      <c r="I2021" s="957" t="s">
        <v>2381</v>
      </c>
    </row>
    <row r="2022" spans="1:9" ht="12.75" customHeight="1" x14ac:dyDescent="0.2">
      <c r="A2022" s="130" t="str">
        <f t="shared" si="9"/>
        <v xml:space="preserve">      Levantamento Planialtimétrico15</v>
      </c>
      <c r="B2022" s="957" t="s">
        <v>84</v>
      </c>
      <c r="C2022" s="957" t="s">
        <v>594</v>
      </c>
      <c r="D2022" s="957" t="s">
        <v>7</v>
      </c>
      <c r="E2022" s="139">
        <v>1</v>
      </c>
      <c r="F2022" s="142">
        <v>1500</v>
      </c>
      <c r="G2022" s="143">
        <v>1500</v>
      </c>
      <c r="H2022" s="115">
        <v>15</v>
      </c>
      <c r="I2022" s="957" t="s">
        <v>2382</v>
      </c>
    </row>
    <row r="2023" spans="1:9" ht="12.75" customHeight="1" x14ac:dyDescent="0.2">
      <c r="A2023" s="130" t="str">
        <f t="shared" si="9"/>
        <v xml:space="preserve">      Serviços de topografia16</v>
      </c>
      <c r="B2023" s="957" t="s">
        <v>85</v>
      </c>
      <c r="C2023" s="957" t="s">
        <v>453</v>
      </c>
      <c r="D2023" s="957" t="s">
        <v>7</v>
      </c>
      <c r="E2023" s="139">
        <v>1</v>
      </c>
      <c r="F2023" s="142">
        <v>3520</v>
      </c>
      <c r="G2023" s="143">
        <v>3520</v>
      </c>
      <c r="H2023" s="219">
        <v>16</v>
      </c>
      <c r="I2023" s="957" t="s">
        <v>2383</v>
      </c>
    </row>
    <row r="2024" spans="1:9" ht="12.75" customHeight="1" x14ac:dyDescent="0.2">
      <c r="A2024" s="130" t="str">
        <f t="shared" si="9"/>
        <v xml:space="preserve">      Controle Tecnológico - 3 CP por caminhão17</v>
      </c>
      <c r="B2024" s="957" t="s">
        <v>157</v>
      </c>
      <c r="C2024" s="957" t="s">
        <v>447</v>
      </c>
      <c r="D2024" s="957" t="s">
        <v>7</v>
      </c>
      <c r="E2024" s="139">
        <v>1</v>
      </c>
      <c r="F2024" s="140">
        <v>12148</v>
      </c>
      <c r="G2024" s="141">
        <v>12148</v>
      </c>
      <c r="H2024" s="219">
        <v>17</v>
      </c>
      <c r="I2024" s="957" t="s">
        <v>2384</v>
      </c>
    </row>
    <row r="2025" spans="1:9" ht="12.75" customHeight="1" x14ac:dyDescent="0.2">
      <c r="A2025" s="130" t="str">
        <f t="shared" si="9"/>
        <v xml:space="preserve">      Vistoria Cautelar18</v>
      </c>
      <c r="B2025" s="957" t="s">
        <v>158</v>
      </c>
      <c r="C2025" s="957" t="s">
        <v>434</v>
      </c>
      <c r="D2025" s="957" t="s">
        <v>7</v>
      </c>
      <c r="E2025" s="139">
        <v>1</v>
      </c>
      <c r="F2025" s="142">
        <v>4000</v>
      </c>
      <c r="G2025" s="143">
        <v>4000</v>
      </c>
      <c r="H2025" s="219">
        <v>18</v>
      </c>
      <c r="I2025" s="957" t="s">
        <v>2385</v>
      </c>
    </row>
    <row r="2026" spans="1:9" ht="12.75" customHeight="1" x14ac:dyDescent="0.2">
      <c r="A2026" s="130" t="str">
        <f t="shared" si="9"/>
        <v xml:space="preserve">      Analise de Acústica de Entorno19</v>
      </c>
      <c r="B2026" s="957" t="s">
        <v>518</v>
      </c>
      <c r="C2026" s="957" t="s">
        <v>1378</v>
      </c>
      <c r="D2026" s="957" t="s">
        <v>7</v>
      </c>
      <c r="E2026" s="139">
        <v>1</v>
      </c>
      <c r="F2026" s="142">
        <v>3000</v>
      </c>
      <c r="G2026" s="143">
        <v>3000</v>
      </c>
      <c r="H2026" s="219">
        <v>19</v>
      </c>
      <c r="I2026" s="957" t="s">
        <v>2386</v>
      </c>
    </row>
    <row r="2027" spans="1:9" ht="12.75" customHeight="1" x14ac:dyDescent="0.2">
      <c r="A2027" s="130" t="str">
        <f t="shared" si="9"/>
        <v xml:space="preserve">      Compensação ambiental20</v>
      </c>
      <c r="B2027" s="957" t="s">
        <v>519</v>
      </c>
      <c r="C2027" s="957" t="s">
        <v>1379</v>
      </c>
      <c r="D2027" s="957" t="s">
        <v>7</v>
      </c>
      <c r="E2027" s="139">
        <v>1</v>
      </c>
      <c r="F2027" s="140">
        <v>10000</v>
      </c>
      <c r="G2027" s="141">
        <v>10000</v>
      </c>
      <c r="H2027" s="219">
        <v>20</v>
      </c>
      <c r="I2027" s="957" t="s">
        <v>2387</v>
      </c>
    </row>
    <row r="2028" spans="1:9" ht="12.75" customHeight="1" x14ac:dyDescent="0.2">
      <c r="A2028" s="130" t="str">
        <f t="shared" si="9"/>
        <v>- SERVIÇOS PRELIMINARES21</v>
      </c>
      <c r="B2028" s="137" t="s">
        <v>86</v>
      </c>
      <c r="C2028" s="137" t="s">
        <v>595</v>
      </c>
      <c r="D2028" s="137"/>
      <c r="E2028" s="138"/>
      <c r="F2028" s="138"/>
      <c r="G2028" s="681">
        <v>42635.11</v>
      </c>
      <c r="H2028" s="219">
        <v>21</v>
      </c>
      <c r="I2028" s="137" t="s">
        <v>332</v>
      </c>
    </row>
    <row r="2029" spans="1:9" ht="12.75" customHeight="1" x14ac:dyDescent="0.2">
      <c r="A2029" s="130" t="str">
        <f t="shared" si="9"/>
        <v xml:space="preserve">      Instalações provisórias de água/esgoto22</v>
      </c>
      <c r="B2029" s="957" t="s">
        <v>87</v>
      </c>
      <c r="C2029" s="957" t="s">
        <v>436</v>
      </c>
      <c r="D2029" s="957" t="s">
        <v>7</v>
      </c>
      <c r="E2029" s="139">
        <v>1</v>
      </c>
      <c r="F2029" s="142">
        <v>2500</v>
      </c>
      <c r="G2029" s="143">
        <v>2500</v>
      </c>
      <c r="H2029" s="219">
        <v>22</v>
      </c>
      <c r="I2029" s="957" t="s">
        <v>2389</v>
      </c>
    </row>
    <row r="2030" spans="1:9" ht="12.75" customHeight="1" x14ac:dyDescent="0.2">
      <c r="A2030" s="130" t="str">
        <f t="shared" si="9"/>
        <v xml:space="preserve">      Instalações provisórias de luz23</v>
      </c>
      <c r="B2030" s="957" t="s">
        <v>88</v>
      </c>
      <c r="C2030" s="957" t="s">
        <v>426</v>
      </c>
      <c r="D2030" s="957" t="s">
        <v>7</v>
      </c>
      <c r="E2030" s="139">
        <v>1</v>
      </c>
      <c r="F2030" s="142">
        <v>4000</v>
      </c>
      <c r="G2030" s="143">
        <v>4000</v>
      </c>
      <c r="H2030" s="115">
        <v>23</v>
      </c>
      <c r="I2030" s="957" t="s">
        <v>2390</v>
      </c>
    </row>
    <row r="2031" spans="1:9" ht="12.75" customHeight="1" x14ac:dyDescent="0.2">
      <c r="A2031" s="130" t="str">
        <f t="shared" si="9"/>
        <v xml:space="preserve">      Instalação provisória de incêndio24</v>
      </c>
      <c r="B2031" s="957" t="s">
        <v>89</v>
      </c>
      <c r="C2031" s="957" t="s">
        <v>442</v>
      </c>
      <c r="D2031" s="957" t="s">
        <v>7</v>
      </c>
      <c r="E2031" s="139">
        <v>1</v>
      </c>
      <c r="F2031" s="144">
        <v>960</v>
      </c>
      <c r="G2031" s="145">
        <v>960</v>
      </c>
      <c r="H2031" s="219">
        <v>24</v>
      </c>
      <c r="I2031" s="957" t="s">
        <v>2391</v>
      </c>
    </row>
    <row r="2032" spans="1:9" ht="12.75" customHeight="1" x14ac:dyDescent="0.2">
      <c r="A2032" s="130" t="str">
        <f t="shared" si="9"/>
        <v xml:space="preserve">      Locação de Container25</v>
      </c>
      <c r="B2032" s="957" t="s">
        <v>1380</v>
      </c>
      <c r="C2032" s="957" t="s">
        <v>768</v>
      </c>
      <c r="D2032" s="957" t="s">
        <v>10</v>
      </c>
      <c r="E2032" s="139">
        <v>7</v>
      </c>
      <c r="F2032" s="142">
        <v>1200</v>
      </c>
      <c r="G2032" s="143">
        <v>8400</v>
      </c>
      <c r="H2032" s="219">
        <v>25</v>
      </c>
      <c r="I2032" s="957" t="s">
        <v>2392</v>
      </c>
    </row>
    <row r="2033" spans="1:9" ht="12.75" customHeight="1" x14ac:dyDescent="0.2">
      <c r="A2033" s="130" t="str">
        <f t="shared" si="9"/>
        <v xml:space="preserve">      Mobilização e desmobilização de container26</v>
      </c>
      <c r="B2033" s="957" t="s">
        <v>1381</v>
      </c>
      <c r="C2033" s="957" t="s">
        <v>1382</v>
      </c>
      <c r="D2033" s="957" t="s">
        <v>7</v>
      </c>
      <c r="E2033" s="139">
        <v>1</v>
      </c>
      <c r="F2033" s="142">
        <v>2000</v>
      </c>
      <c r="G2033" s="143">
        <v>2000</v>
      </c>
      <c r="H2033" s="219">
        <v>26</v>
      </c>
      <c r="I2033" s="957" t="s">
        <v>2393</v>
      </c>
    </row>
    <row r="2034" spans="1:9" ht="12.75" customHeight="1" x14ac:dyDescent="0.2">
      <c r="A2034" s="130" t="str">
        <f t="shared" si="9"/>
        <v xml:space="preserve">  - Barracões sobre laje27</v>
      </c>
      <c r="B2034" s="137" t="s">
        <v>596</v>
      </c>
      <c r="C2034" s="137" t="s">
        <v>599</v>
      </c>
      <c r="D2034" s="137"/>
      <c r="E2034" s="138"/>
      <c r="F2034" s="138"/>
      <c r="G2034" s="681">
        <v>13644.86</v>
      </c>
      <c r="H2034" s="219">
        <v>27</v>
      </c>
      <c r="I2034" s="137" t="s">
        <v>333</v>
      </c>
    </row>
    <row r="2035" spans="1:9" ht="12.75" customHeight="1" x14ac:dyDescent="0.2">
      <c r="A2035" s="130" t="str">
        <f t="shared" si="9"/>
        <v xml:space="preserve">      Almoxarifado (6 x5 m) - Sob laje28</v>
      </c>
      <c r="B2035" s="957" t="s">
        <v>597</v>
      </c>
      <c r="C2035" s="957" t="s">
        <v>2202</v>
      </c>
      <c r="D2035" s="957" t="s">
        <v>90</v>
      </c>
      <c r="E2035" s="146">
        <v>30</v>
      </c>
      <c r="F2035" s="144">
        <v>136.4667</v>
      </c>
      <c r="G2035" s="143">
        <v>4094</v>
      </c>
      <c r="H2035" s="219">
        <v>28</v>
      </c>
      <c r="I2035" s="957" t="s">
        <v>2395</v>
      </c>
    </row>
    <row r="2036" spans="1:9" ht="12.75" customHeight="1" x14ac:dyDescent="0.2">
      <c r="A2036" s="130" t="str">
        <f t="shared" si="9"/>
        <v xml:space="preserve">      Banheiro de obra ( 3 X 3 m) Sob laje29</v>
      </c>
      <c r="B2036" s="957" t="s">
        <v>769</v>
      </c>
      <c r="C2036" s="957" t="s">
        <v>2203</v>
      </c>
      <c r="D2036" s="957" t="s">
        <v>90</v>
      </c>
      <c r="E2036" s="139">
        <v>9</v>
      </c>
      <c r="F2036" s="144">
        <v>206.74549999999999</v>
      </c>
      <c r="G2036" s="143">
        <v>1860.71</v>
      </c>
      <c r="H2036" s="115">
        <v>29</v>
      </c>
      <c r="I2036" s="957" t="s">
        <v>2396</v>
      </c>
    </row>
    <row r="2037" spans="1:9" ht="12.75" customHeight="1" x14ac:dyDescent="0.2">
      <c r="A2037" s="130" t="str">
        <f t="shared" si="9"/>
        <v xml:space="preserve">      Escritório ( 3x3m) Sob Laje30</v>
      </c>
      <c r="B2037" s="957" t="s">
        <v>770</v>
      </c>
      <c r="C2037" s="957" t="s">
        <v>2204</v>
      </c>
      <c r="D2037" s="957" t="s">
        <v>90</v>
      </c>
      <c r="E2037" s="139">
        <v>9</v>
      </c>
      <c r="F2037" s="144">
        <v>155.6473</v>
      </c>
      <c r="G2037" s="143">
        <v>1400.83</v>
      </c>
      <c r="H2037" s="219">
        <v>30</v>
      </c>
      <c r="I2037" s="957" t="s">
        <v>2397</v>
      </c>
    </row>
    <row r="2038" spans="1:9" ht="12.75" customHeight="1" x14ac:dyDescent="0.2">
      <c r="A2038" s="130" t="str">
        <f t="shared" si="9"/>
        <v xml:space="preserve">      Refeitório ( 3 x 6 m ) sob laje31</v>
      </c>
      <c r="B2038" s="957" t="s">
        <v>1384</v>
      </c>
      <c r="C2038" s="957" t="s">
        <v>2205</v>
      </c>
      <c r="D2038" s="957" t="s">
        <v>90</v>
      </c>
      <c r="E2038" s="146">
        <v>18</v>
      </c>
      <c r="F2038" s="146">
        <v>70.384399999999999</v>
      </c>
      <c r="G2038" s="143">
        <v>1266.92</v>
      </c>
      <c r="H2038" s="219">
        <v>31</v>
      </c>
      <c r="I2038" s="957" t="s">
        <v>2398</v>
      </c>
    </row>
    <row r="2039" spans="1:9" ht="12.75" customHeight="1" x14ac:dyDescent="0.2">
      <c r="A2039" s="130" t="str">
        <f t="shared" si="9"/>
        <v xml:space="preserve">      Vestiário (5 x 3 m ) sob laje32</v>
      </c>
      <c r="B2039" s="957" t="s">
        <v>1386</v>
      </c>
      <c r="C2039" s="957" t="s">
        <v>2206</v>
      </c>
      <c r="D2039" s="957" t="s">
        <v>90</v>
      </c>
      <c r="E2039" s="146">
        <v>15</v>
      </c>
      <c r="F2039" s="144">
        <v>157.62729999999999</v>
      </c>
      <c r="G2039" s="143">
        <v>2364.41</v>
      </c>
      <c r="H2039" s="219">
        <v>32</v>
      </c>
      <c r="I2039" s="957" t="s">
        <v>2399</v>
      </c>
    </row>
    <row r="2040" spans="1:9" ht="12.75" customHeight="1" x14ac:dyDescent="0.2">
      <c r="A2040" s="130" t="str">
        <f t="shared" si="9"/>
        <v xml:space="preserve">      Centrais ( 2 x 3 m ) sob laje33</v>
      </c>
      <c r="B2040" s="957" t="s">
        <v>1387</v>
      </c>
      <c r="C2040" s="957" t="s">
        <v>2207</v>
      </c>
      <c r="D2040" s="957" t="s">
        <v>90</v>
      </c>
      <c r="E2040" s="139">
        <v>6</v>
      </c>
      <c r="F2040" s="146">
        <v>83.174700000000001</v>
      </c>
      <c r="G2040" s="145">
        <v>499.05</v>
      </c>
      <c r="H2040" s="219">
        <v>33</v>
      </c>
      <c r="I2040" s="957" t="s">
        <v>2400</v>
      </c>
    </row>
    <row r="2041" spans="1:9" ht="12.75" customHeight="1" x14ac:dyDescent="0.2">
      <c r="A2041" s="130" t="str">
        <f t="shared" si="9"/>
        <v xml:space="preserve">      Materiais complementares de Canteiro34</v>
      </c>
      <c r="B2041" s="957" t="s">
        <v>1388</v>
      </c>
      <c r="C2041" s="957" t="s">
        <v>424</v>
      </c>
      <c r="D2041" s="957" t="s">
        <v>7</v>
      </c>
      <c r="E2041" s="139">
        <v>1</v>
      </c>
      <c r="F2041" s="142">
        <v>2158.94</v>
      </c>
      <c r="G2041" s="143">
        <v>2158.94</v>
      </c>
      <c r="H2041" s="219">
        <v>34</v>
      </c>
      <c r="I2041" s="957" t="s">
        <v>2401</v>
      </c>
    </row>
    <row r="2042" spans="1:9" ht="12.75" customHeight="1" x14ac:dyDescent="0.2">
      <c r="A2042" s="130" t="str">
        <f t="shared" si="9"/>
        <v xml:space="preserve">  - Diversos35</v>
      </c>
      <c r="B2042" s="137" t="s">
        <v>598</v>
      </c>
      <c r="C2042" s="137" t="s">
        <v>117</v>
      </c>
      <c r="D2042" s="137"/>
      <c r="E2042" s="138"/>
      <c r="F2042" s="138"/>
      <c r="G2042" s="681">
        <v>11130.25</v>
      </c>
      <c r="H2042" s="219">
        <v>35</v>
      </c>
      <c r="I2042" s="137" t="s">
        <v>60</v>
      </c>
    </row>
    <row r="2043" spans="1:9" ht="12.75" customHeight="1" x14ac:dyDescent="0.2">
      <c r="A2043" s="130" t="str">
        <f t="shared" si="9"/>
        <v xml:space="preserve">      Placa de obra36</v>
      </c>
      <c r="B2043" s="957" t="s">
        <v>600</v>
      </c>
      <c r="C2043" s="957" t="s">
        <v>430</v>
      </c>
      <c r="D2043" s="957" t="s">
        <v>7</v>
      </c>
      <c r="E2043" s="139">
        <v>1</v>
      </c>
      <c r="F2043" s="144">
        <v>800</v>
      </c>
      <c r="G2043" s="145">
        <v>800</v>
      </c>
      <c r="H2043" s="219">
        <v>36</v>
      </c>
      <c r="I2043" s="957" t="s">
        <v>2402</v>
      </c>
    </row>
    <row r="2044" spans="1:9" ht="12.75" customHeight="1" x14ac:dyDescent="0.2">
      <c r="A2044" s="130" t="str">
        <f t="shared" si="9"/>
        <v xml:space="preserve">      Mobiliário de obra (mesa, cadeiras, armários)37</v>
      </c>
      <c r="B2044" s="957" t="s">
        <v>601</v>
      </c>
      <c r="C2044" s="957" t="s">
        <v>449</v>
      </c>
      <c r="D2044" s="957" t="s">
        <v>7</v>
      </c>
      <c r="E2044" s="139">
        <v>1</v>
      </c>
      <c r="F2044" s="142">
        <v>3039.1</v>
      </c>
      <c r="G2044" s="143">
        <v>3039.1</v>
      </c>
      <c r="H2044" s="219">
        <v>37</v>
      </c>
      <c r="I2044" s="957" t="s">
        <v>2403</v>
      </c>
    </row>
    <row r="2045" spans="1:9" ht="12.75" customHeight="1" x14ac:dyDescent="0.2">
      <c r="A2045" s="130" t="str">
        <f t="shared" si="9"/>
        <v xml:space="preserve">      Tapume h= 2,50m (frente do terreno)38</v>
      </c>
      <c r="B2045" s="957" t="s">
        <v>602</v>
      </c>
      <c r="C2045" s="957" t="s">
        <v>2040</v>
      </c>
      <c r="D2045" s="957" t="s">
        <v>90</v>
      </c>
      <c r="E2045" s="146">
        <v>60</v>
      </c>
      <c r="F2045" s="146">
        <v>75.224699999999999</v>
      </c>
      <c r="G2045" s="143">
        <v>4513.49</v>
      </c>
      <c r="H2045" s="115">
        <v>38</v>
      </c>
      <c r="I2045" s="957" t="s">
        <v>2404</v>
      </c>
    </row>
    <row r="2046" spans="1:9" ht="12.75" customHeight="1" x14ac:dyDescent="0.2">
      <c r="A2046" s="130" t="str">
        <f t="shared" si="9"/>
        <v xml:space="preserve">      Locação da obra39</v>
      </c>
      <c r="B2046" s="957" t="s">
        <v>603</v>
      </c>
      <c r="C2046" s="957" t="s">
        <v>451</v>
      </c>
      <c r="D2046" s="957" t="s">
        <v>90</v>
      </c>
      <c r="E2046" s="144">
        <v>816</v>
      </c>
      <c r="F2046" s="139">
        <v>3.4039999999999999</v>
      </c>
      <c r="G2046" s="143">
        <v>2777.66</v>
      </c>
      <c r="H2046" s="219">
        <v>39</v>
      </c>
      <c r="I2046" s="957" t="s">
        <v>2405</v>
      </c>
    </row>
    <row r="2047" spans="1:9" ht="12.75" customHeight="1" x14ac:dyDescent="0.2">
      <c r="A2047" s="130" t="str">
        <f t="shared" si="9"/>
        <v>- TERRAPLENAGEM40</v>
      </c>
      <c r="B2047" s="137" t="s">
        <v>91</v>
      </c>
      <c r="C2047" s="137" t="s">
        <v>604</v>
      </c>
      <c r="D2047" s="137"/>
      <c r="E2047" s="138"/>
      <c r="F2047" s="138"/>
      <c r="G2047" s="681">
        <v>39800</v>
      </c>
      <c r="H2047" s="219">
        <v>40</v>
      </c>
      <c r="I2047" s="137" t="s">
        <v>334</v>
      </c>
    </row>
    <row r="2048" spans="1:9" ht="12.75" customHeight="1" x14ac:dyDescent="0.2">
      <c r="A2048" s="130" t="str">
        <f t="shared" si="9"/>
        <v xml:space="preserve">      Serviço de Demolição41</v>
      </c>
      <c r="B2048" s="957" t="s">
        <v>92</v>
      </c>
      <c r="C2048" s="957" t="s">
        <v>2041</v>
      </c>
      <c r="D2048" s="957" t="s">
        <v>7</v>
      </c>
      <c r="E2048" s="139">
        <v>1</v>
      </c>
      <c r="F2048" s="140">
        <v>24000</v>
      </c>
      <c r="G2048" s="141">
        <v>24000</v>
      </c>
      <c r="H2048" s="219">
        <v>41</v>
      </c>
      <c r="I2048" s="957" t="s">
        <v>2406</v>
      </c>
    </row>
    <row r="2049" spans="1:9" ht="12.75" customHeight="1" x14ac:dyDescent="0.2">
      <c r="A2049" s="130" t="str">
        <f t="shared" si="9"/>
        <v xml:space="preserve">      Serviço de Terraplenagem42</v>
      </c>
      <c r="B2049" s="957" t="s">
        <v>93</v>
      </c>
      <c r="C2049" s="957" t="s">
        <v>1601</v>
      </c>
      <c r="D2049" s="957" t="s">
        <v>7</v>
      </c>
      <c r="E2049" s="139">
        <v>1</v>
      </c>
      <c r="F2049" s="140">
        <v>15800</v>
      </c>
      <c r="G2049" s="141">
        <v>15800</v>
      </c>
      <c r="H2049" s="219">
        <v>42</v>
      </c>
      <c r="I2049" s="957" t="s">
        <v>2407</v>
      </c>
    </row>
    <row r="2050" spans="1:9" ht="12.75" customHeight="1" x14ac:dyDescent="0.2">
      <c r="A2050" s="130" t="str">
        <f t="shared" si="9"/>
        <v>- FUNDAÇÃO43</v>
      </c>
      <c r="B2050" s="137" t="s">
        <v>95</v>
      </c>
      <c r="C2050" s="137" t="s">
        <v>605</v>
      </c>
      <c r="D2050" s="137"/>
      <c r="E2050" s="138"/>
      <c r="F2050" s="138"/>
      <c r="G2050" s="680">
        <v>570487.78</v>
      </c>
      <c r="H2050" s="115">
        <v>43</v>
      </c>
      <c r="I2050" s="137" t="s">
        <v>335</v>
      </c>
    </row>
    <row r="2051" spans="1:9" ht="12.75" customHeight="1" x14ac:dyDescent="0.2">
      <c r="A2051" s="130" t="str">
        <f t="shared" si="9"/>
        <v xml:space="preserve">  - Fundação Direta - Blocos e cintas44</v>
      </c>
      <c r="B2051" s="137" t="s">
        <v>96</v>
      </c>
      <c r="C2051" s="137" t="s">
        <v>606</v>
      </c>
      <c r="D2051" s="137"/>
      <c r="E2051" s="138"/>
      <c r="F2051" s="138"/>
      <c r="G2051" s="680">
        <v>121331.5</v>
      </c>
      <c r="H2051" s="219">
        <v>44</v>
      </c>
      <c r="I2051" s="137" t="s">
        <v>336</v>
      </c>
    </row>
    <row r="2052" spans="1:9" ht="12.75" customHeight="1" x14ac:dyDescent="0.2">
      <c r="A2052" s="130" t="str">
        <f t="shared" si="9"/>
        <v xml:space="preserve">      Escavação manual de valas até 2,00 m - Blocos e cintas45</v>
      </c>
      <c r="B2052" s="957" t="s">
        <v>97</v>
      </c>
      <c r="C2052" s="957" t="s">
        <v>2208</v>
      </c>
      <c r="D2052" s="957" t="s">
        <v>94</v>
      </c>
      <c r="E2052" s="144">
        <v>161.13999999999999</v>
      </c>
      <c r="F2052" s="146">
        <v>80</v>
      </c>
      <c r="G2052" s="141">
        <v>12891.2</v>
      </c>
      <c r="H2052" s="219">
        <v>45</v>
      </c>
      <c r="I2052" s="957" t="s">
        <v>2412</v>
      </c>
    </row>
    <row r="2053" spans="1:9" ht="12.75" customHeight="1" x14ac:dyDescent="0.2">
      <c r="A2053" s="130" t="str">
        <f t="shared" si="9"/>
        <v xml:space="preserve">      Apiloamento - Blocos e cintas46</v>
      </c>
      <c r="B2053" s="957" t="s">
        <v>98</v>
      </c>
      <c r="C2053" s="957" t="s">
        <v>2209</v>
      </c>
      <c r="D2053" s="957" t="s">
        <v>90</v>
      </c>
      <c r="E2053" s="144">
        <v>103.39</v>
      </c>
      <c r="F2053" s="146">
        <v>19.342300000000002</v>
      </c>
      <c r="G2053" s="143">
        <v>1999.8</v>
      </c>
      <c r="H2053" s="115">
        <v>46</v>
      </c>
      <c r="I2053" s="957" t="s">
        <v>2413</v>
      </c>
    </row>
    <row r="2054" spans="1:9" ht="12.75" customHeight="1" x14ac:dyDescent="0.2">
      <c r="A2054" s="130" t="str">
        <f t="shared" si="9"/>
        <v xml:space="preserve">      Lastro de concreto magro Fck = 9 MPa - Blocos e cintas47</v>
      </c>
      <c r="B2054" s="957" t="s">
        <v>99</v>
      </c>
      <c r="C2054" s="957" t="s">
        <v>2210</v>
      </c>
      <c r="D2054" s="957" t="s">
        <v>94</v>
      </c>
      <c r="E2054" s="139">
        <v>7.2</v>
      </c>
      <c r="F2054" s="144">
        <v>296.41149999999999</v>
      </c>
      <c r="G2054" s="143">
        <v>2134.17</v>
      </c>
      <c r="H2054" s="115">
        <v>47</v>
      </c>
      <c r="I2054" s="957" t="s">
        <v>2414</v>
      </c>
    </row>
    <row r="2055" spans="1:9" ht="12.75" customHeight="1" x14ac:dyDescent="0.2">
      <c r="A2055" s="130" t="str">
        <f t="shared" si="9"/>
        <v xml:space="preserve">      Forma para fundação em tabua - Blocos e cintas48</v>
      </c>
      <c r="B2055" s="957" t="s">
        <v>100</v>
      </c>
      <c r="C2055" s="957" t="s">
        <v>2211</v>
      </c>
      <c r="D2055" s="957" t="s">
        <v>90</v>
      </c>
      <c r="E2055" s="144">
        <v>433.37</v>
      </c>
      <c r="F2055" s="146">
        <v>60.5</v>
      </c>
      <c r="G2055" s="141">
        <v>26218.89</v>
      </c>
      <c r="H2055" s="219">
        <v>48</v>
      </c>
      <c r="I2055" s="957" t="s">
        <v>2415</v>
      </c>
    </row>
    <row r="2056" spans="1:9" ht="12.75" customHeight="1" x14ac:dyDescent="0.2">
      <c r="A2056" s="130" t="str">
        <f t="shared" si="9"/>
        <v xml:space="preserve">      Armação aço CA-50/60 - Blocos e cintas49</v>
      </c>
      <c r="B2056" s="957" t="s">
        <v>102</v>
      </c>
      <c r="C2056" s="957" t="s">
        <v>2212</v>
      </c>
      <c r="D2056" s="957" t="s">
        <v>101</v>
      </c>
      <c r="E2056" s="142">
        <v>6933.09</v>
      </c>
      <c r="F2056" s="139">
        <v>6.0964</v>
      </c>
      <c r="G2056" s="141">
        <v>42266.89</v>
      </c>
      <c r="H2056" s="219">
        <v>49</v>
      </c>
      <c r="I2056" s="957" t="s">
        <v>2416</v>
      </c>
    </row>
    <row r="2057" spans="1:9" ht="12.75" customHeight="1" x14ac:dyDescent="0.2">
      <c r="A2057" s="130" t="str">
        <f t="shared" si="9"/>
        <v xml:space="preserve">      Concreto usinado Fck = 30 Mpa Bombeado - Blocos e cintas50</v>
      </c>
      <c r="B2057" s="957" t="s">
        <v>607</v>
      </c>
      <c r="C2057" s="957" t="s">
        <v>2213</v>
      </c>
      <c r="D2057" s="957" t="s">
        <v>94</v>
      </c>
      <c r="E2057" s="146">
        <v>90.69</v>
      </c>
      <c r="F2057" s="144">
        <v>289.86669999999998</v>
      </c>
      <c r="G2057" s="141">
        <v>26288.01</v>
      </c>
      <c r="H2057" s="219">
        <v>50</v>
      </c>
      <c r="I2057" s="957" t="s">
        <v>2417</v>
      </c>
    </row>
    <row r="2058" spans="1:9" ht="12.75" customHeight="1" x14ac:dyDescent="0.2">
      <c r="A2058" s="130" t="str">
        <f t="shared" si="9"/>
        <v xml:space="preserve">      Reaterro compactado mecanizado - Blocos e cintas51</v>
      </c>
      <c r="B2058" s="957" t="s">
        <v>2214</v>
      </c>
      <c r="C2058" s="957" t="s">
        <v>2215</v>
      </c>
      <c r="D2058" s="957" t="s">
        <v>94</v>
      </c>
      <c r="E2058" s="146">
        <v>85.99</v>
      </c>
      <c r="F2058" s="146">
        <v>12.515599999999999</v>
      </c>
      <c r="G2058" s="143">
        <v>1076.22</v>
      </c>
      <c r="H2058" s="219">
        <v>51</v>
      </c>
      <c r="I2058" s="957" t="s">
        <v>2418</v>
      </c>
    </row>
    <row r="2059" spans="1:9" ht="12.75" customHeight="1" x14ac:dyDescent="0.2">
      <c r="A2059" s="130" t="str">
        <f t="shared" si="9"/>
        <v xml:space="preserve">      Carga e transporte de material excedente - Blocos e cintas52</v>
      </c>
      <c r="B2059" s="957" t="s">
        <v>2216</v>
      </c>
      <c r="C2059" s="957" t="s">
        <v>2217</v>
      </c>
      <c r="D2059" s="957" t="s">
        <v>94</v>
      </c>
      <c r="E2059" s="144">
        <v>123.55</v>
      </c>
      <c r="F2059" s="146">
        <v>68.444500000000005</v>
      </c>
      <c r="G2059" s="143">
        <v>8456.32</v>
      </c>
      <c r="H2059" s="219">
        <v>52</v>
      </c>
      <c r="I2059" s="957" t="s">
        <v>2419</v>
      </c>
    </row>
    <row r="2060" spans="1:9" ht="12.75" customHeight="1" x14ac:dyDescent="0.2">
      <c r="A2060" s="130" t="str">
        <f t="shared" si="9"/>
        <v xml:space="preserve">  - Fundação Indireta - Tubulão53</v>
      </c>
      <c r="B2060" s="137" t="s">
        <v>103</v>
      </c>
      <c r="C2060" s="137" t="s">
        <v>773</v>
      </c>
      <c r="D2060" s="137"/>
      <c r="E2060" s="138"/>
      <c r="F2060" s="138"/>
      <c r="G2060" s="680">
        <v>404143.14</v>
      </c>
      <c r="H2060" s="219">
        <v>53</v>
      </c>
      <c r="I2060" s="137" t="s">
        <v>840</v>
      </c>
    </row>
    <row r="2061" spans="1:9" ht="12.75" customHeight="1" x14ac:dyDescent="0.2">
      <c r="A2061" s="130" t="str">
        <f t="shared" si="9"/>
        <v xml:space="preserve">      Escavação manual de fustes em material de 1ª categoria54</v>
      </c>
      <c r="B2061" s="957" t="s">
        <v>104</v>
      </c>
      <c r="C2061" s="957" t="s">
        <v>774</v>
      </c>
      <c r="D2061" s="957" t="s">
        <v>94</v>
      </c>
      <c r="E2061" s="144">
        <v>251.9</v>
      </c>
      <c r="F2061" s="144">
        <v>170</v>
      </c>
      <c r="G2061" s="141">
        <v>42823</v>
      </c>
      <c r="H2061" s="115">
        <v>54</v>
      </c>
      <c r="I2061" s="957" t="s">
        <v>2421</v>
      </c>
    </row>
    <row r="2062" spans="1:9" ht="12.75" customHeight="1" x14ac:dyDescent="0.2">
      <c r="A2062" s="130" t="str">
        <f t="shared" si="9"/>
        <v xml:space="preserve">      Alargamento manual de bases em material de 1ª categoria55</v>
      </c>
      <c r="B2062" s="957" t="s">
        <v>608</v>
      </c>
      <c r="C2062" s="957" t="s">
        <v>775</v>
      </c>
      <c r="D2062" s="957" t="s">
        <v>94</v>
      </c>
      <c r="E2062" s="144">
        <v>334.38</v>
      </c>
      <c r="F2062" s="144">
        <v>200</v>
      </c>
      <c r="G2062" s="141">
        <v>66876</v>
      </c>
      <c r="H2062" s="219">
        <v>55</v>
      </c>
      <c r="I2062" s="957" t="s">
        <v>2422</v>
      </c>
    </row>
    <row r="2063" spans="1:9" ht="12.75" customHeight="1" x14ac:dyDescent="0.2">
      <c r="A2063" s="130" t="str">
        <f t="shared" si="9"/>
        <v xml:space="preserve">      Concreto usinado Fck = 20 Mpa Bombeado - Tubulão56</v>
      </c>
      <c r="B2063" s="957" t="s">
        <v>609</v>
      </c>
      <c r="C2063" s="957" t="s">
        <v>2218</v>
      </c>
      <c r="D2063" s="957" t="s">
        <v>94</v>
      </c>
      <c r="E2063" s="144">
        <v>586.28</v>
      </c>
      <c r="F2063" s="144">
        <v>296.39240000000001</v>
      </c>
      <c r="G2063" s="683">
        <v>173768.94</v>
      </c>
      <c r="H2063" s="219">
        <v>56</v>
      </c>
      <c r="I2063" s="957" t="s">
        <v>2423</v>
      </c>
    </row>
    <row r="2064" spans="1:9" ht="12.75" customHeight="1" x14ac:dyDescent="0.2">
      <c r="A2064" s="130" t="str">
        <f t="shared" si="9"/>
        <v xml:space="preserve">      Armação aço CA-50/60 - Tubulão57</v>
      </c>
      <c r="B2064" s="957" t="s">
        <v>610</v>
      </c>
      <c r="C2064" s="957" t="s">
        <v>2219</v>
      </c>
      <c r="D2064" s="957" t="s">
        <v>101</v>
      </c>
      <c r="E2064" s="140">
        <v>10565.05</v>
      </c>
      <c r="F2064" s="139">
        <v>5.8371000000000004</v>
      </c>
      <c r="G2064" s="141">
        <v>61669.26</v>
      </c>
      <c r="H2064" s="219">
        <v>57</v>
      </c>
      <c r="I2064" s="957" t="s">
        <v>2424</v>
      </c>
    </row>
    <row r="2065" spans="1:9" ht="12.75" customHeight="1" x14ac:dyDescent="0.2">
      <c r="A2065" s="130" t="str">
        <f t="shared" si="9"/>
        <v xml:space="preserve">      Arrasamento de cabeça de tubulão58</v>
      </c>
      <c r="B2065" s="957" t="s">
        <v>611</v>
      </c>
      <c r="C2065" s="957" t="s">
        <v>2042</v>
      </c>
      <c r="D2065" s="957" t="s">
        <v>8</v>
      </c>
      <c r="E2065" s="146">
        <v>71</v>
      </c>
      <c r="F2065" s="146">
        <v>39.822299999999998</v>
      </c>
      <c r="G2065" s="143">
        <v>2827.38</v>
      </c>
      <c r="H2065" s="219">
        <v>58</v>
      </c>
      <c r="I2065" s="957" t="s">
        <v>2425</v>
      </c>
    </row>
    <row r="2066" spans="1:9" ht="12.75" customHeight="1" x14ac:dyDescent="0.2">
      <c r="A2066" s="130" t="str">
        <f t="shared" si="9"/>
        <v xml:space="preserve">      Carga e transporte de material excedente - Tubulão59</v>
      </c>
      <c r="B2066" s="957" t="s">
        <v>612</v>
      </c>
      <c r="C2066" s="957" t="s">
        <v>2220</v>
      </c>
      <c r="D2066" s="957" t="s">
        <v>94</v>
      </c>
      <c r="E2066" s="144">
        <v>820.79</v>
      </c>
      <c r="F2066" s="146">
        <v>68.444500000000005</v>
      </c>
      <c r="G2066" s="141">
        <v>56178.559999999998</v>
      </c>
      <c r="H2066" s="219">
        <v>59</v>
      </c>
      <c r="I2066" s="957" t="s">
        <v>2426</v>
      </c>
    </row>
    <row r="2067" spans="1:9" ht="12.75" customHeight="1" x14ac:dyDescent="0.2">
      <c r="A2067" s="130" t="str">
        <f t="shared" si="9"/>
        <v xml:space="preserve">  - Contenções60</v>
      </c>
      <c r="B2067" s="137" t="s">
        <v>772</v>
      </c>
      <c r="C2067" s="137" t="s">
        <v>2221</v>
      </c>
      <c r="D2067" s="137"/>
      <c r="E2067" s="138"/>
      <c r="F2067" s="138"/>
      <c r="G2067" s="681">
        <v>45013.14</v>
      </c>
      <c r="H2067" s="219">
        <v>60</v>
      </c>
      <c r="I2067" s="137" t="s">
        <v>2427</v>
      </c>
    </row>
    <row r="2068" spans="1:9" ht="12.75" customHeight="1" x14ac:dyDescent="0.2">
      <c r="A2068" s="130" t="str">
        <f t="shared" si="9"/>
        <v xml:space="preserve">    - Retangulão/ Cortinas61</v>
      </c>
      <c r="B2068" s="137" t="s">
        <v>2222</v>
      </c>
      <c r="C2068" s="137" t="s">
        <v>2223</v>
      </c>
      <c r="D2068" s="137"/>
      <c r="E2068" s="138"/>
      <c r="F2068" s="138"/>
      <c r="G2068" s="681">
        <v>45013.14</v>
      </c>
      <c r="H2068" s="219">
        <v>61</v>
      </c>
      <c r="I2068" s="137" t="s">
        <v>2428</v>
      </c>
    </row>
    <row r="2069" spans="1:9" ht="12.75" customHeight="1" x14ac:dyDescent="0.2">
      <c r="A2069" s="130" t="str">
        <f t="shared" si="9"/>
        <v xml:space="preserve">      Escavação manual62</v>
      </c>
      <c r="B2069" s="957" t="s">
        <v>2224</v>
      </c>
      <c r="C2069" s="957" t="s">
        <v>776</v>
      </c>
      <c r="D2069" s="957" t="s">
        <v>94</v>
      </c>
      <c r="E2069" s="146">
        <v>46.83</v>
      </c>
      <c r="F2069" s="144">
        <v>170</v>
      </c>
      <c r="G2069" s="143">
        <v>7961.1</v>
      </c>
      <c r="H2069" s="219">
        <v>62</v>
      </c>
      <c r="I2069" s="957" t="s">
        <v>2429</v>
      </c>
    </row>
    <row r="2070" spans="1:9" ht="12.75" customHeight="1" x14ac:dyDescent="0.2">
      <c r="A2070" s="130" t="str">
        <f t="shared" si="9"/>
        <v xml:space="preserve">      Forma para Fundação63</v>
      </c>
      <c r="B2070" s="957" t="s">
        <v>2225</v>
      </c>
      <c r="C2070" s="957" t="s">
        <v>1394</v>
      </c>
      <c r="D2070" s="957" t="s">
        <v>90</v>
      </c>
      <c r="E2070" s="144">
        <v>246.49</v>
      </c>
      <c r="F2070" s="146">
        <v>60.5</v>
      </c>
      <c r="G2070" s="141">
        <v>14912.65</v>
      </c>
      <c r="H2070" s="115">
        <v>63</v>
      </c>
      <c r="I2070" s="957" t="s">
        <v>2430</v>
      </c>
    </row>
    <row r="2071" spans="1:9" ht="12.75" customHeight="1" x14ac:dyDescent="0.2">
      <c r="A2071" s="130" t="str">
        <f t="shared" si="9"/>
        <v xml:space="preserve">      Armação aço CA-50/60 (média dos diâmetros)64</v>
      </c>
      <c r="B2071" s="957" t="s">
        <v>2226</v>
      </c>
      <c r="C2071" s="957" t="s">
        <v>771</v>
      </c>
      <c r="D2071" s="957" t="s">
        <v>101</v>
      </c>
      <c r="E2071" s="142">
        <v>1873.32</v>
      </c>
      <c r="F2071" s="139">
        <v>5.9490999999999996</v>
      </c>
      <c r="G2071" s="141">
        <v>11144.57</v>
      </c>
      <c r="H2071" s="219">
        <v>64</v>
      </c>
      <c r="I2071" s="957" t="s">
        <v>2431</v>
      </c>
    </row>
    <row r="2072" spans="1:9" ht="12.75" customHeight="1" x14ac:dyDescent="0.2">
      <c r="A2072" s="130" t="str">
        <f t="shared" si="9"/>
        <v xml:space="preserve">      Concreto usinado Fck = 30 Mpa Bombeado65</v>
      </c>
      <c r="B2072" s="957" t="s">
        <v>2227</v>
      </c>
      <c r="C2072" s="957" t="s">
        <v>1389</v>
      </c>
      <c r="D2072" s="957" t="s">
        <v>94</v>
      </c>
      <c r="E2072" s="146">
        <v>23.41</v>
      </c>
      <c r="F2072" s="144">
        <v>277.95400000000001</v>
      </c>
      <c r="G2072" s="143">
        <v>6506.91</v>
      </c>
      <c r="H2072" s="219">
        <v>65</v>
      </c>
      <c r="I2072" s="957" t="s">
        <v>2432</v>
      </c>
    </row>
    <row r="2073" spans="1:9" ht="12.75" customHeight="1" x14ac:dyDescent="0.2">
      <c r="A2073" s="130" t="str">
        <f t="shared" ref="A2073:A2136" si="10">I2073&amp;H2073</f>
        <v xml:space="preserve">      Carga e transporte de material excedente66</v>
      </c>
      <c r="B2073" s="957" t="s">
        <v>2228</v>
      </c>
      <c r="C2073" s="957" t="s">
        <v>446</v>
      </c>
      <c r="D2073" s="957" t="s">
        <v>94</v>
      </c>
      <c r="E2073" s="146">
        <v>65.569999999999993</v>
      </c>
      <c r="F2073" s="146">
        <v>68.444500000000005</v>
      </c>
      <c r="G2073" s="143">
        <v>4487.91</v>
      </c>
      <c r="H2073" s="219">
        <v>66</v>
      </c>
      <c r="I2073" s="957" t="s">
        <v>2433</v>
      </c>
    </row>
    <row r="2074" spans="1:9" ht="12.75" customHeight="1" x14ac:dyDescent="0.2">
      <c r="A2074" s="130" t="str">
        <f t="shared" si="10"/>
        <v>- SUPER-ESTRUTURA67</v>
      </c>
      <c r="B2074" s="137" t="s">
        <v>105</v>
      </c>
      <c r="C2074" s="137" t="s">
        <v>613</v>
      </c>
      <c r="D2074" s="137"/>
      <c r="E2074" s="138"/>
      <c r="F2074" s="138"/>
      <c r="G2074" s="682">
        <v>1069382.3799999999</v>
      </c>
      <c r="H2074" s="219">
        <v>67</v>
      </c>
      <c r="I2074" s="137" t="s">
        <v>337</v>
      </c>
    </row>
    <row r="2075" spans="1:9" ht="12.75" customHeight="1" x14ac:dyDescent="0.2">
      <c r="A2075" s="130" t="str">
        <f t="shared" si="10"/>
        <v xml:space="preserve">      Forma compensado plastificado 18 mm. - reap. 10X68</v>
      </c>
      <c r="B2075" s="957" t="s">
        <v>106</v>
      </c>
      <c r="C2075" s="957" t="s">
        <v>460</v>
      </c>
      <c r="D2075" s="957" t="s">
        <v>90</v>
      </c>
      <c r="E2075" s="142">
        <v>7237.57</v>
      </c>
      <c r="F2075" s="146">
        <v>60.5</v>
      </c>
      <c r="G2075" s="683">
        <v>437872.99</v>
      </c>
      <c r="H2075" s="219">
        <v>68</v>
      </c>
      <c r="I2075" s="957" t="s">
        <v>2434</v>
      </c>
    </row>
    <row r="2076" spans="1:9" ht="12.75" customHeight="1" x14ac:dyDescent="0.2">
      <c r="A2076" s="130" t="str">
        <f t="shared" si="10"/>
        <v xml:space="preserve">      Armação aço CA-50/60 (média dos diâmetros)69</v>
      </c>
      <c r="B2076" s="957" t="s">
        <v>107</v>
      </c>
      <c r="C2076" s="957" t="s">
        <v>771</v>
      </c>
      <c r="D2076" s="957" t="s">
        <v>101</v>
      </c>
      <c r="E2076" s="140">
        <v>64466.71</v>
      </c>
      <c r="F2076" s="139">
        <v>6.0964</v>
      </c>
      <c r="G2076" s="683">
        <v>393014.85</v>
      </c>
      <c r="H2076" s="219">
        <v>69</v>
      </c>
      <c r="I2076" s="957" t="s">
        <v>2431</v>
      </c>
    </row>
    <row r="2077" spans="1:9" ht="12.75" customHeight="1" x14ac:dyDescent="0.2">
      <c r="A2077" s="130" t="str">
        <f t="shared" si="10"/>
        <v xml:space="preserve">      Concreto usinado Fck = 30 MPa Bombeado70</v>
      </c>
      <c r="B2077" s="957" t="s">
        <v>614</v>
      </c>
      <c r="C2077" s="957" t="s">
        <v>1395</v>
      </c>
      <c r="D2077" s="957" t="s">
        <v>94</v>
      </c>
      <c r="E2077" s="144">
        <v>805.83</v>
      </c>
      <c r="F2077" s="144">
        <v>272.8</v>
      </c>
      <c r="G2077" s="683">
        <v>219830.42</v>
      </c>
      <c r="H2077" s="219">
        <v>70</v>
      </c>
      <c r="I2077" s="957" t="s">
        <v>2435</v>
      </c>
    </row>
    <row r="2078" spans="1:9" ht="12.75" customHeight="1" x14ac:dyDescent="0.2">
      <c r="A2078" s="130" t="str">
        <f t="shared" si="10"/>
        <v xml:space="preserve">      Lançamento e sarrafeamento de piso71</v>
      </c>
      <c r="B2078" s="957" t="s">
        <v>615</v>
      </c>
      <c r="C2078" s="957" t="s">
        <v>459</v>
      </c>
      <c r="D2078" s="957" t="s">
        <v>90</v>
      </c>
      <c r="E2078" s="142">
        <v>2934.61</v>
      </c>
      <c r="F2078" s="139">
        <v>6.36</v>
      </c>
      <c r="G2078" s="141">
        <v>18664.12</v>
      </c>
      <c r="H2078" s="219">
        <v>71</v>
      </c>
      <c r="I2078" s="957" t="s">
        <v>2436</v>
      </c>
    </row>
    <row r="2079" spans="1:9" ht="12.75" customHeight="1" x14ac:dyDescent="0.2">
      <c r="A2079" s="130" t="str">
        <f t="shared" si="10"/>
        <v>- ALVENARIA / FECHAMENTO72</v>
      </c>
      <c r="B2079" s="137" t="s">
        <v>108</v>
      </c>
      <c r="C2079" s="137" t="s">
        <v>616</v>
      </c>
      <c r="D2079" s="137"/>
      <c r="E2079" s="138"/>
      <c r="F2079" s="138"/>
      <c r="G2079" s="680">
        <v>217000.26</v>
      </c>
      <c r="H2079" s="115">
        <v>72</v>
      </c>
      <c r="I2079" s="137" t="s">
        <v>338</v>
      </c>
    </row>
    <row r="2080" spans="1:9" ht="12.75" customHeight="1" x14ac:dyDescent="0.2">
      <c r="A2080" s="130" t="str">
        <f t="shared" si="10"/>
        <v xml:space="preserve">  - Alvenaria73</v>
      </c>
      <c r="B2080" s="137" t="s">
        <v>617</v>
      </c>
      <c r="C2080" s="137" t="s">
        <v>618</v>
      </c>
      <c r="D2080" s="137"/>
      <c r="E2080" s="138"/>
      <c r="F2080" s="138"/>
      <c r="G2080" s="680">
        <v>131453.79999999999</v>
      </c>
      <c r="H2080" s="219">
        <v>73</v>
      </c>
      <c r="I2080" s="137" t="s">
        <v>339</v>
      </c>
    </row>
    <row r="2081" spans="1:9" ht="12.75" customHeight="1" x14ac:dyDescent="0.2">
      <c r="A2081" s="130" t="str">
        <f t="shared" si="10"/>
        <v xml:space="preserve">      Alvenaria em tijolo cerâmico - 09x19x29 cm74</v>
      </c>
      <c r="B2081" s="957" t="s">
        <v>619</v>
      </c>
      <c r="C2081" s="957" t="s">
        <v>777</v>
      </c>
      <c r="D2081" s="957" t="s">
        <v>90</v>
      </c>
      <c r="E2081" s="144">
        <v>285.58999999999997</v>
      </c>
      <c r="F2081" s="146">
        <v>14.001099999999999</v>
      </c>
      <c r="G2081" s="143">
        <v>3998.57</v>
      </c>
      <c r="H2081" s="219">
        <v>74</v>
      </c>
      <c r="I2081" s="957" t="s">
        <v>2438</v>
      </c>
    </row>
    <row r="2082" spans="1:9" ht="12.75" customHeight="1" x14ac:dyDescent="0.2">
      <c r="A2082" s="130" t="str">
        <f t="shared" si="10"/>
        <v xml:space="preserve">      Alvenaria em tijolo cerâmico - 14x19x29 cm75</v>
      </c>
      <c r="B2082" s="957" t="s">
        <v>620</v>
      </c>
      <c r="C2082" s="957" t="s">
        <v>778</v>
      </c>
      <c r="D2082" s="957" t="s">
        <v>90</v>
      </c>
      <c r="E2082" s="142">
        <v>2731.92</v>
      </c>
      <c r="F2082" s="146">
        <v>21.100100000000001</v>
      </c>
      <c r="G2082" s="141">
        <v>57643.79</v>
      </c>
      <c r="H2082" s="219">
        <v>75</v>
      </c>
      <c r="I2082" s="957" t="s">
        <v>2439</v>
      </c>
    </row>
    <row r="2083" spans="1:9" ht="12.75" customHeight="1" x14ac:dyDescent="0.2">
      <c r="A2083" s="130" t="str">
        <f t="shared" si="10"/>
        <v xml:space="preserve">      Alvenaria de bloco cerâmico - 19x19x29 cm76</v>
      </c>
      <c r="B2083" s="957" t="s">
        <v>621</v>
      </c>
      <c r="C2083" s="957" t="s">
        <v>779</v>
      </c>
      <c r="D2083" s="957" t="s">
        <v>90</v>
      </c>
      <c r="E2083" s="144">
        <v>632.16999999999996</v>
      </c>
      <c r="F2083" s="146">
        <v>31.061499999999999</v>
      </c>
      <c r="G2083" s="141">
        <v>19636.150000000001</v>
      </c>
      <c r="H2083" s="219">
        <v>76</v>
      </c>
      <c r="I2083" s="957" t="s">
        <v>2440</v>
      </c>
    </row>
    <row r="2084" spans="1:9" ht="12.75" customHeight="1" x14ac:dyDescent="0.2">
      <c r="A2084" s="130" t="str">
        <f t="shared" si="10"/>
        <v xml:space="preserve">      Mão de obra alvenaria de bloco cerâmico77</v>
      </c>
      <c r="B2084" s="957" t="s">
        <v>622</v>
      </c>
      <c r="C2084" s="957" t="s">
        <v>469</v>
      </c>
      <c r="D2084" s="957" t="s">
        <v>90</v>
      </c>
      <c r="E2084" s="142">
        <v>3991.67</v>
      </c>
      <c r="F2084" s="146">
        <v>12.57</v>
      </c>
      <c r="G2084" s="141">
        <v>50175.29</v>
      </c>
      <c r="H2084" s="219">
        <v>77</v>
      </c>
      <c r="I2084" s="957" t="s">
        <v>2441</v>
      </c>
    </row>
    <row r="2085" spans="1:9" ht="12.75" customHeight="1" x14ac:dyDescent="0.2">
      <c r="A2085" s="130" t="str">
        <f t="shared" si="10"/>
        <v xml:space="preserve">  - Muros78</v>
      </c>
      <c r="B2085" s="137" t="s">
        <v>623</v>
      </c>
      <c r="C2085" s="137" t="s">
        <v>2229</v>
      </c>
      <c r="D2085" s="137"/>
      <c r="E2085" s="138"/>
      <c r="F2085" s="138"/>
      <c r="G2085" s="681">
        <v>21354.28</v>
      </c>
      <c r="H2085" s="219">
        <v>78</v>
      </c>
      <c r="I2085" s="137" t="s">
        <v>2442</v>
      </c>
    </row>
    <row r="2086" spans="1:9" ht="12.75" customHeight="1" x14ac:dyDescent="0.2">
      <c r="A2086" s="130" t="str">
        <f t="shared" si="10"/>
        <v xml:space="preserve">      Muro sobre laje esp.: 14 cm79</v>
      </c>
      <c r="B2086" s="957" t="s">
        <v>624</v>
      </c>
      <c r="C2086" s="957" t="s">
        <v>473</v>
      </c>
      <c r="D2086" s="957" t="s">
        <v>90</v>
      </c>
      <c r="E2086" s="144">
        <v>188.95</v>
      </c>
      <c r="F2086" s="146">
        <v>52.879199999999997</v>
      </c>
      <c r="G2086" s="143">
        <v>9991.52</v>
      </c>
      <c r="H2086" s="219">
        <v>79</v>
      </c>
      <c r="I2086" s="957" t="s">
        <v>2443</v>
      </c>
    </row>
    <row r="2087" spans="1:9" ht="12.75" customHeight="1" x14ac:dyDescent="0.2">
      <c r="A2087" s="130" t="str">
        <f t="shared" si="10"/>
        <v xml:space="preserve">      Mão de obra alvenaria de Muro sobre laje80</v>
      </c>
      <c r="B2087" s="957" t="s">
        <v>2043</v>
      </c>
      <c r="C2087" s="957" t="s">
        <v>2044</v>
      </c>
      <c r="D2087" s="957" t="s">
        <v>90</v>
      </c>
      <c r="E2087" s="144">
        <v>188.95</v>
      </c>
      <c r="F2087" s="146">
        <v>22.8644</v>
      </c>
      <c r="G2087" s="143">
        <v>4320.2299999999996</v>
      </c>
      <c r="H2087" s="219">
        <v>80</v>
      </c>
      <c r="I2087" s="957" t="s">
        <v>2444</v>
      </c>
    </row>
    <row r="2088" spans="1:9" ht="12.75" customHeight="1" x14ac:dyDescent="0.2">
      <c r="A2088" s="130" t="str">
        <f t="shared" si="10"/>
        <v xml:space="preserve">      Muro sobre solo esp.: 14 cm81</v>
      </c>
      <c r="B2088" s="957" t="s">
        <v>2045</v>
      </c>
      <c r="C2088" s="957" t="s">
        <v>2046</v>
      </c>
      <c r="D2088" s="957" t="s">
        <v>90</v>
      </c>
      <c r="E2088" s="146">
        <v>48.2</v>
      </c>
      <c r="F2088" s="146">
        <v>54.453000000000003</v>
      </c>
      <c r="G2088" s="143">
        <v>2624.63</v>
      </c>
      <c r="H2088" s="219">
        <v>81</v>
      </c>
      <c r="I2088" s="957" t="s">
        <v>2445</v>
      </c>
    </row>
    <row r="2089" spans="1:9" ht="12.75" customHeight="1" x14ac:dyDescent="0.2">
      <c r="A2089" s="130" t="str">
        <f t="shared" si="10"/>
        <v xml:space="preserve">      Mão de obra alvenaria de Muro sobre solo82</v>
      </c>
      <c r="B2089" s="957" t="s">
        <v>2047</v>
      </c>
      <c r="C2089" s="957" t="s">
        <v>2048</v>
      </c>
      <c r="D2089" s="957" t="s">
        <v>90</v>
      </c>
      <c r="E2089" s="146">
        <v>48.2</v>
      </c>
      <c r="F2089" s="146">
        <v>91.657600000000002</v>
      </c>
      <c r="G2089" s="143">
        <v>4417.8999999999996</v>
      </c>
      <c r="H2089" s="219">
        <v>82</v>
      </c>
      <c r="I2089" s="957" t="s">
        <v>2446</v>
      </c>
    </row>
    <row r="2090" spans="1:9" ht="12.75" customHeight="1" x14ac:dyDescent="0.2">
      <c r="A2090" s="130" t="str">
        <f t="shared" si="10"/>
        <v xml:space="preserve">  - Diversos Alvenaria83</v>
      </c>
      <c r="B2090" s="137" t="s">
        <v>625</v>
      </c>
      <c r="C2090" s="137" t="s">
        <v>626</v>
      </c>
      <c r="D2090" s="137"/>
      <c r="E2090" s="138"/>
      <c r="F2090" s="138"/>
      <c r="G2090" s="681">
        <v>25695.18</v>
      </c>
      <c r="H2090" s="219">
        <v>83</v>
      </c>
      <c r="I2090" s="137" t="s">
        <v>340</v>
      </c>
    </row>
    <row r="2091" spans="1:9" ht="12.75" customHeight="1" x14ac:dyDescent="0.2">
      <c r="A2091" s="130" t="str">
        <f t="shared" si="10"/>
        <v xml:space="preserve">      Encunhamento84</v>
      </c>
      <c r="B2091" s="957" t="s">
        <v>627</v>
      </c>
      <c r="C2091" s="957" t="s">
        <v>109</v>
      </c>
      <c r="D2091" s="957" t="s">
        <v>94</v>
      </c>
      <c r="E2091" s="139">
        <v>4.71</v>
      </c>
      <c r="F2091" s="142">
        <v>1344</v>
      </c>
      <c r="G2091" s="143">
        <v>6330.24</v>
      </c>
      <c r="H2091" s="115">
        <v>84</v>
      </c>
      <c r="I2091" s="957" t="s">
        <v>2447</v>
      </c>
    </row>
    <row r="2092" spans="1:9" ht="12.75" customHeight="1" x14ac:dyDescent="0.2">
      <c r="A2092" s="130" t="str">
        <f t="shared" si="10"/>
        <v xml:space="preserve">      Mão de obra de encunhamento85</v>
      </c>
      <c r="B2092" s="957" t="s">
        <v>628</v>
      </c>
      <c r="C2092" s="957" t="s">
        <v>1397</v>
      </c>
      <c r="D2092" s="957" t="s">
        <v>15</v>
      </c>
      <c r="E2092" s="142">
        <v>1572.72</v>
      </c>
      <c r="F2092" s="139">
        <v>3.93</v>
      </c>
      <c r="G2092" s="143">
        <v>6180.79</v>
      </c>
      <c r="H2092" s="219">
        <v>85</v>
      </c>
      <c r="I2092" s="957" t="s">
        <v>2449</v>
      </c>
    </row>
    <row r="2093" spans="1:9" ht="12.75" customHeight="1" x14ac:dyDescent="0.2">
      <c r="A2093" s="130" t="str">
        <f t="shared" si="10"/>
        <v xml:space="preserve">      Vergas e contra-vergas86</v>
      </c>
      <c r="B2093" s="957" t="s">
        <v>629</v>
      </c>
      <c r="C2093" s="957" t="s">
        <v>471</v>
      </c>
      <c r="D2093" s="957" t="s">
        <v>94</v>
      </c>
      <c r="E2093" s="146">
        <v>14.24</v>
      </c>
      <c r="F2093" s="144">
        <v>925.8528</v>
      </c>
      <c r="G2093" s="141">
        <v>13184.15</v>
      </c>
      <c r="H2093" s="219">
        <v>86</v>
      </c>
      <c r="I2093" s="957" t="s">
        <v>2450</v>
      </c>
    </row>
    <row r="2094" spans="1:9" ht="12.75" customHeight="1" x14ac:dyDescent="0.2">
      <c r="A2094" s="130" t="str">
        <f t="shared" si="10"/>
        <v xml:space="preserve">  - Shafts87</v>
      </c>
      <c r="B2094" s="137" t="s">
        <v>1398</v>
      </c>
      <c r="C2094" s="137" t="s">
        <v>1399</v>
      </c>
      <c r="D2094" s="137"/>
      <c r="E2094" s="138"/>
      <c r="F2094" s="138"/>
      <c r="G2094" s="681">
        <v>38497</v>
      </c>
      <c r="H2094" s="219">
        <v>87</v>
      </c>
      <c r="I2094" s="137" t="s">
        <v>1556</v>
      </c>
    </row>
    <row r="2095" spans="1:9" ht="12.75" customHeight="1" x14ac:dyDescent="0.2">
      <c r="A2095" s="130" t="str">
        <f t="shared" si="10"/>
        <v xml:space="preserve">      Fechamento de shaft em drywall - Placa Standart88</v>
      </c>
      <c r="B2095" s="957" t="s">
        <v>1400</v>
      </c>
      <c r="C2095" s="957" t="s">
        <v>1401</v>
      </c>
      <c r="D2095" s="957" t="s">
        <v>8</v>
      </c>
      <c r="E2095" s="146">
        <v>10</v>
      </c>
      <c r="F2095" s="144">
        <v>140</v>
      </c>
      <c r="G2095" s="143">
        <v>1400</v>
      </c>
      <c r="H2095" s="219">
        <v>88</v>
      </c>
      <c r="I2095" s="957" t="s">
        <v>2451</v>
      </c>
    </row>
    <row r="2096" spans="1:9" ht="12.75" customHeight="1" x14ac:dyDescent="0.2">
      <c r="A2096" s="130" t="str">
        <f t="shared" si="10"/>
        <v xml:space="preserve">      Fechamento de shaft em drywall - Placa hidrofugante89</v>
      </c>
      <c r="B2096" s="957" t="s">
        <v>1402</v>
      </c>
      <c r="C2096" s="957" t="s">
        <v>1403</v>
      </c>
      <c r="D2096" s="957" t="s">
        <v>8</v>
      </c>
      <c r="E2096" s="146">
        <v>46</v>
      </c>
      <c r="F2096" s="144">
        <v>140</v>
      </c>
      <c r="G2096" s="143">
        <v>6440</v>
      </c>
      <c r="H2096" s="115">
        <v>89</v>
      </c>
      <c r="I2096" s="957" t="s">
        <v>2452</v>
      </c>
    </row>
    <row r="2097" spans="1:9" ht="12.75" customHeight="1" x14ac:dyDescent="0.2">
      <c r="A2097" s="130" t="str">
        <f t="shared" si="10"/>
        <v xml:space="preserve">      Painel em MDF - Armário medidor individual90</v>
      </c>
      <c r="B2097" s="957" t="s">
        <v>2230</v>
      </c>
      <c r="C2097" s="957" t="s">
        <v>2049</v>
      </c>
      <c r="D2097" s="957" t="s">
        <v>90</v>
      </c>
      <c r="E2097" s="146">
        <v>31.32</v>
      </c>
      <c r="F2097" s="144">
        <v>350</v>
      </c>
      <c r="G2097" s="141">
        <v>10962</v>
      </c>
      <c r="H2097" s="115">
        <v>90</v>
      </c>
      <c r="I2097" s="957" t="s">
        <v>2454</v>
      </c>
    </row>
    <row r="2098" spans="1:9" ht="12.75" customHeight="1" x14ac:dyDescent="0.2">
      <c r="A2098" s="130" t="str">
        <f t="shared" si="10"/>
        <v xml:space="preserve">      Placa cimentícia - Estrutura pergolado91</v>
      </c>
      <c r="B2098" s="957" t="s">
        <v>2231</v>
      </c>
      <c r="C2098" s="957" t="s">
        <v>2232</v>
      </c>
      <c r="D2098" s="957" t="s">
        <v>90</v>
      </c>
      <c r="E2098" s="144">
        <v>151.5</v>
      </c>
      <c r="F2098" s="144">
        <v>130</v>
      </c>
      <c r="G2098" s="141">
        <v>19695</v>
      </c>
      <c r="H2098" s="219">
        <v>91</v>
      </c>
      <c r="I2098" s="957" t="s">
        <v>2455</v>
      </c>
    </row>
    <row r="2099" spans="1:9" ht="12.75" customHeight="1" x14ac:dyDescent="0.2">
      <c r="A2099" s="130" t="str">
        <f t="shared" si="10"/>
        <v>- IMPERMEABILIZAÇÃO / ISOLAMENTO92</v>
      </c>
      <c r="B2099" s="137" t="s">
        <v>110</v>
      </c>
      <c r="C2099" s="137" t="s">
        <v>630</v>
      </c>
      <c r="D2099" s="137"/>
      <c r="E2099" s="138"/>
      <c r="F2099" s="138"/>
      <c r="G2099" s="681">
        <v>82737.070000000007</v>
      </c>
      <c r="H2099" s="219">
        <v>92</v>
      </c>
      <c r="I2099" s="137" t="s">
        <v>341</v>
      </c>
    </row>
    <row r="2100" spans="1:9" ht="12.75" customHeight="1" x14ac:dyDescent="0.2">
      <c r="A2100" s="130" t="str">
        <f t="shared" si="10"/>
        <v xml:space="preserve">      Impermeabilização com manta - área externo 4 mm93</v>
      </c>
      <c r="B2100" s="957" t="s">
        <v>631</v>
      </c>
      <c r="C2100" s="957" t="s">
        <v>483</v>
      </c>
      <c r="D2100" s="957" t="s">
        <v>90</v>
      </c>
      <c r="E2100" s="144">
        <v>785.39</v>
      </c>
      <c r="F2100" s="146">
        <v>68.696700000000007</v>
      </c>
      <c r="G2100" s="141">
        <v>53953.7</v>
      </c>
      <c r="H2100" s="219">
        <v>93</v>
      </c>
      <c r="I2100" s="957" t="s">
        <v>2456</v>
      </c>
    </row>
    <row r="2101" spans="1:9" ht="12.75" customHeight="1" x14ac:dyDescent="0.2">
      <c r="A2101" s="130" t="str">
        <f t="shared" si="10"/>
        <v xml:space="preserve">      Impermeabilização de áreas frias com cimento polimérico94</v>
      </c>
      <c r="B2101" s="957" t="s">
        <v>632</v>
      </c>
      <c r="C2101" s="957" t="s">
        <v>486</v>
      </c>
      <c r="D2101" s="957" t="s">
        <v>90</v>
      </c>
      <c r="E2101" s="144">
        <v>559.57000000000005</v>
      </c>
      <c r="F2101" s="139">
        <v>8</v>
      </c>
      <c r="G2101" s="143">
        <v>4476.5600000000004</v>
      </c>
      <c r="H2101" s="219">
        <v>94</v>
      </c>
      <c r="I2101" s="957" t="s">
        <v>2457</v>
      </c>
    </row>
    <row r="2102" spans="1:9" ht="12.75" customHeight="1" x14ac:dyDescent="0.2">
      <c r="A2102" s="130" t="str">
        <f t="shared" si="10"/>
        <v xml:space="preserve">      Impermeabilização de cortina95</v>
      </c>
      <c r="B2102" s="957" t="s">
        <v>633</v>
      </c>
      <c r="C2102" s="957" t="s">
        <v>1406</v>
      </c>
      <c r="D2102" s="957" t="s">
        <v>90</v>
      </c>
      <c r="E2102" s="146">
        <v>70.38</v>
      </c>
      <c r="F2102" s="146">
        <v>32.515900000000002</v>
      </c>
      <c r="G2102" s="143">
        <v>2288.46</v>
      </c>
      <c r="H2102" s="115">
        <v>95</v>
      </c>
      <c r="I2102" s="957" t="s">
        <v>2459</v>
      </c>
    </row>
    <row r="2103" spans="1:9" ht="12.75" customHeight="1" x14ac:dyDescent="0.2">
      <c r="A2103" s="130" t="str">
        <f t="shared" si="10"/>
        <v xml:space="preserve">      Impermeabilização poço elevador96</v>
      </c>
      <c r="B2103" s="957" t="s">
        <v>634</v>
      </c>
      <c r="C2103" s="957" t="s">
        <v>111</v>
      </c>
      <c r="D2103" s="957" t="s">
        <v>90</v>
      </c>
      <c r="E2103" s="146">
        <v>27.56</v>
      </c>
      <c r="F2103" s="146">
        <v>12.29</v>
      </c>
      <c r="G2103" s="145">
        <v>338.71</v>
      </c>
      <c r="H2103" s="219">
        <v>96</v>
      </c>
      <c r="I2103" s="957" t="s">
        <v>2460</v>
      </c>
    </row>
    <row r="2104" spans="1:9" ht="12.75" customHeight="1" x14ac:dyDescent="0.2">
      <c r="A2104" s="130" t="str">
        <f t="shared" si="10"/>
        <v xml:space="preserve">      Impermeabilização de jardineira97</v>
      </c>
      <c r="B2104" s="957" t="s">
        <v>635</v>
      </c>
      <c r="C2104" s="957" t="s">
        <v>484</v>
      </c>
      <c r="D2104" s="957" t="s">
        <v>90</v>
      </c>
      <c r="E2104" s="144">
        <v>214.68</v>
      </c>
      <c r="F2104" s="146">
        <v>81.255899999999997</v>
      </c>
      <c r="G2104" s="141">
        <v>17444.009999999998</v>
      </c>
      <c r="H2104" s="219">
        <v>97</v>
      </c>
      <c r="I2104" s="957" t="s">
        <v>2461</v>
      </c>
    </row>
    <row r="2105" spans="1:9" ht="12.75" customHeight="1" x14ac:dyDescent="0.2">
      <c r="A2105" s="130" t="str">
        <f t="shared" si="10"/>
        <v xml:space="preserve">      Impermeabilização de piscina (manta + tela)98</v>
      </c>
      <c r="B2105" s="957" t="s">
        <v>1407</v>
      </c>
      <c r="C2105" s="957" t="s">
        <v>1408</v>
      </c>
      <c r="D2105" s="957" t="s">
        <v>90</v>
      </c>
      <c r="E2105" s="146">
        <v>59.04</v>
      </c>
      <c r="F2105" s="146">
        <v>71.741699999999994</v>
      </c>
      <c r="G2105" s="143">
        <v>4235.63</v>
      </c>
      <c r="H2105" s="219">
        <v>98</v>
      </c>
      <c r="I2105" s="957" t="s">
        <v>2462</v>
      </c>
    </row>
    <row r="2106" spans="1:9" ht="12.75" customHeight="1" x14ac:dyDescent="0.2">
      <c r="A2106" s="130" t="str">
        <f t="shared" si="10"/>
        <v>- REVESTIMENTO DE PISO99</v>
      </c>
      <c r="B2106" s="137" t="s">
        <v>112</v>
      </c>
      <c r="C2106" s="137" t="s">
        <v>636</v>
      </c>
      <c r="D2106" s="137"/>
      <c r="E2106" s="138"/>
      <c r="F2106" s="138"/>
      <c r="G2106" s="680">
        <v>344752.42</v>
      </c>
      <c r="H2106" s="219">
        <v>99</v>
      </c>
      <c r="I2106" s="137" t="s">
        <v>342</v>
      </c>
    </row>
    <row r="2107" spans="1:9" ht="12.75" customHeight="1" x14ac:dyDescent="0.2">
      <c r="A2107" s="130" t="str">
        <f t="shared" si="10"/>
        <v xml:space="preserve">  - Base/Concreto/Cimentado100</v>
      </c>
      <c r="B2107" s="137" t="s">
        <v>113</v>
      </c>
      <c r="C2107" s="137" t="s">
        <v>2050</v>
      </c>
      <c r="D2107" s="137"/>
      <c r="E2107" s="138"/>
      <c r="F2107" s="138"/>
      <c r="G2107" s="681">
        <v>66056.83</v>
      </c>
      <c r="H2107" s="116">
        <v>100</v>
      </c>
      <c r="I2107" s="137" t="s">
        <v>2017</v>
      </c>
    </row>
    <row r="2108" spans="1:9" ht="12.75" customHeight="1" x14ac:dyDescent="0.2">
      <c r="A2108" s="130" t="str">
        <f t="shared" si="10"/>
        <v xml:space="preserve">      Nivelamento / Compactação de piso101</v>
      </c>
      <c r="B2108" s="957" t="s">
        <v>2051</v>
      </c>
      <c r="C2108" s="957" t="s">
        <v>464</v>
      </c>
      <c r="D2108" s="957" t="s">
        <v>90</v>
      </c>
      <c r="E2108" s="144">
        <v>177.65</v>
      </c>
      <c r="F2108" s="139">
        <v>6.8266999999999998</v>
      </c>
      <c r="G2108" s="143">
        <v>1212.76</v>
      </c>
      <c r="H2108" s="707">
        <v>101</v>
      </c>
      <c r="I2108" s="957" t="s">
        <v>2463</v>
      </c>
    </row>
    <row r="2109" spans="1:9" ht="12.75" customHeight="1" x14ac:dyDescent="0.2">
      <c r="A2109" s="130" t="str">
        <f t="shared" si="10"/>
        <v xml:space="preserve">      Lastro de brita102</v>
      </c>
      <c r="B2109" s="957" t="s">
        <v>2052</v>
      </c>
      <c r="C2109" s="957" t="s">
        <v>114</v>
      </c>
      <c r="D2109" s="957" t="s">
        <v>90</v>
      </c>
      <c r="E2109" s="144">
        <v>124.03</v>
      </c>
      <c r="F2109" s="139">
        <v>5.8312999999999997</v>
      </c>
      <c r="G2109" s="145">
        <v>723.25</v>
      </c>
      <c r="H2109" s="707">
        <v>102</v>
      </c>
      <c r="I2109" s="957" t="s">
        <v>2464</v>
      </c>
    </row>
    <row r="2110" spans="1:9" ht="12.75" customHeight="1" x14ac:dyDescent="0.2">
      <c r="A2110" s="130" t="str">
        <f t="shared" si="10"/>
        <v xml:space="preserve">      Contrapiso em concreto 4 cm103</v>
      </c>
      <c r="B2110" s="957" t="s">
        <v>2053</v>
      </c>
      <c r="C2110" s="957" t="s">
        <v>2233</v>
      </c>
      <c r="D2110" s="957" t="s">
        <v>90</v>
      </c>
      <c r="E2110" s="144">
        <v>169.73</v>
      </c>
      <c r="F2110" s="146">
        <v>21.388300000000001</v>
      </c>
      <c r="G2110" s="143">
        <v>3630.23</v>
      </c>
      <c r="H2110" s="707">
        <v>103</v>
      </c>
      <c r="I2110" s="957" t="s">
        <v>2465</v>
      </c>
    </row>
    <row r="2111" spans="1:9" ht="12.75" customHeight="1" x14ac:dyDescent="0.2">
      <c r="A2111" s="130" t="str">
        <f t="shared" si="10"/>
        <v xml:space="preserve">      Contrapiso argamassa 4 cm104</v>
      </c>
      <c r="B2111" s="957" t="s">
        <v>2054</v>
      </c>
      <c r="C2111" s="957" t="s">
        <v>2234</v>
      </c>
      <c r="D2111" s="957" t="s">
        <v>90</v>
      </c>
      <c r="E2111" s="142">
        <v>1902.37</v>
      </c>
      <c r="F2111" s="146">
        <v>22.600899999999999</v>
      </c>
      <c r="G2111" s="141">
        <v>42995.28</v>
      </c>
      <c r="H2111" s="116">
        <v>104</v>
      </c>
      <c r="I2111" s="957" t="s">
        <v>2466</v>
      </c>
    </row>
    <row r="2112" spans="1:9" ht="12.75" customHeight="1" x14ac:dyDescent="0.2">
      <c r="A2112" s="130" t="str">
        <f t="shared" si="10"/>
        <v xml:space="preserve">      Contrapiso argamassa 4 cm - banheiros105</v>
      </c>
      <c r="B2112" s="957" t="s">
        <v>2055</v>
      </c>
      <c r="C2112" s="957" t="s">
        <v>2235</v>
      </c>
      <c r="D2112" s="957" t="s">
        <v>90</v>
      </c>
      <c r="E2112" s="144">
        <v>182.48</v>
      </c>
      <c r="F2112" s="146">
        <v>26.500900000000001</v>
      </c>
      <c r="G2112" s="143">
        <v>4835.88</v>
      </c>
      <c r="H2112" s="707">
        <v>105</v>
      </c>
      <c r="I2112" s="957" t="s">
        <v>2468</v>
      </c>
    </row>
    <row r="2113" spans="1:9" ht="12.75" customHeight="1" x14ac:dyDescent="0.2">
      <c r="A2113" s="130" t="str">
        <f t="shared" si="10"/>
        <v xml:space="preserve">      Enchimento de piso (sóculo)106</v>
      </c>
      <c r="B2113" s="957" t="s">
        <v>2056</v>
      </c>
      <c r="C2113" s="957" t="s">
        <v>1412</v>
      </c>
      <c r="D2113" s="957" t="s">
        <v>90</v>
      </c>
      <c r="E2113" s="146">
        <v>26.04</v>
      </c>
      <c r="F2113" s="146">
        <v>78.67</v>
      </c>
      <c r="G2113" s="143">
        <v>2048.56</v>
      </c>
      <c r="H2113" s="707">
        <v>106</v>
      </c>
      <c r="I2113" s="957" t="s">
        <v>2470</v>
      </c>
    </row>
    <row r="2114" spans="1:9" ht="12.75" customHeight="1" x14ac:dyDescent="0.2">
      <c r="A2114" s="130" t="str">
        <f t="shared" si="10"/>
        <v xml:space="preserve">      Piso cimentado desempenado107</v>
      </c>
      <c r="B2114" s="957" t="s">
        <v>2057</v>
      </c>
      <c r="C2114" s="957" t="s">
        <v>2058</v>
      </c>
      <c r="D2114" s="957" t="s">
        <v>90</v>
      </c>
      <c r="E2114" s="144">
        <v>132.28</v>
      </c>
      <c r="F2114" s="146">
        <v>20.137</v>
      </c>
      <c r="G2114" s="143">
        <v>2663.72</v>
      </c>
      <c r="H2114" s="116">
        <v>107</v>
      </c>
      <c r="I2114" s="957" t="s">
        <v>2472</v>
      </c>
    </row>
    <row r="2115" spans="1:9" ht="12.75" customHeight="1" x14ac:dyDescent="0.2">
      <c r="A2115" s="130" t="str">
        <f t="shared" si="10"/>
        <v xml:space="preserve">      Polimento de piso108</v>
      </c>
      <c r="B2115" s="957" t="s">
        <v>2059</v>
      </c>
      <c r="C2115" s="957" t="s">
        <v>475</v>
      </c>
      <c r="D2115" s="957" t="s">
        <v>90</v>
      </c>
      <c r="E2115" s="144">
        <v>768.87</v>
      </c>
      <c r="F2115" s="139">
        <v>7.35</v>
      </c>
      <c r="G2115" s="143">
        <v>5651.19</v>
      </c>
      <c r="H2115" s="707">
        <v>108</v>
      </c>
      <c r="I2115" s="957" t="s">
        <v>2473</v>
      </c>
    </row>
    <row r="2116" spans="1:9" ht="12.75" customHeight="1" x14ac:dyDescent="0.2">
      <c r="A2116" s="130" t="str">
        <f t="shared" si="10"/>
        <v xml:space="preserve">      Piso em concreto armado polido h=14cm109</v>
      </c>
      <c r="B2116" s="957" t="s">
        <v>2060</v>
      </c>
      <c r="C2116" s="957" t="s">
        <v>2061</v>
      </c>
      <c r="D2116" s="957" t="s">
        <v>90</v>
      </c>
      <c r="E2116" s="146">
        <v>53</v>
      </c>
      <c r="F2116" s="146">
        <v>43.32</v>
      </c>
      <c r="G2116" s="143">
        <v>2295.96</v>
      </c>
      <c r="H2116" s="707">
        <v>109</v>
      </c>
      <c r="I2116" s="957" t="s">
        <v>2474</v>
      </c>
    </row>
    <row r="2117" spans="1:9" ht="12.75" customHeight="1" x14ac:dyDescent="0.2">
      <c r="A2117" s="130" t="str">
        <f t="shared" si="10"/>
        <v xml:space="preserve">  - Cerâmica110</v>
      </c>
      <c r="B2117" s="137" t="s">
        <v>118</v>
      </c>
      <c r="C2117" s="137" t="s">
        <v>2062</v>
      </c>
      <c r="D2117" s="137"/>
      <c r="E2117" s="138"/>
      <c r="F2117" s="138"/>
      <c r="G2117" s="685">
        <v>1518.28</v>
      </c>
      <c r="H2117" s="707">
        <v>110</v>
      </c>
      <c r="I2117" s="137" t="s">
        <v>2018</v>
      </c>
    </row>
    <row r="2118" spans="1:9" ht="12.75" customHeight="1" x14ac:dyDescent="0.2">
      <c r="A2118" s="130" t="str">
        <f t="shared" si="10"/>
        <v xml:space="preserve">      Piso em cerâmica 60x60 cm - ars., is. Garagem, is. Serviço111</v>
      </c>
      <c r="B2118" s="957" t="s">
        <v>119</v>
      </c>
      <c r="C2118" s="957" t="s">
        <v>2236</v>
      </c>
      <c r="D2118" s="957" t="s">
        <v>90</v>
      </c>
      <c r="E2118" s="146">
        <v>23.17</v>
      </c>
      <c r="F2118" s="146">
        <v>32.802</v>
      </c>
      <c r="G2118" s="145">
        <v>760.02</v>
      </c>
      <c r="H2118" s="707">
        <v>111</v>
      </c>
      <c r="I2118" s="957" t="s">
        <v>2475</v>
      </c>
    </row>
    <row r="2119" spans="1:9" ht="12.75" customHeight="1" x14ac:dyDescent="0.2">
      <c r="A2119" s="130" t="str">
        <f t="shared" si="10"/>
        <v xml:space="preserve">      Mão de obra  Piso em Cerâmica112</v>
      </c>
      <c r="B2119" s="957" t="s">
        <v>120</v>
      </c>
      <c r="C2119" s="957" t="s">
        <v>2063</v>
      </c>
      <c r="D2119" s="957" t="s">
        <v>90</v>
      </c>
      <c r="E2119" s="146">
        <v>23.17</v>
      </c>
      <c r="F2119" s="146">
        <v>26.21</v>
      </c>
      <c r="G2119" s="145">
        <v>607.29</v>
      </c>
      <c r="H2119" s="707">
        <v>112</v>
      </c>
      <c r="I2119" s="957" t="s">
        <v>2477</v>
      </c>
    </row>
    <row r="2120" spans="1:9" ht="12.75" customHeight="1" x14ac:dyDescent="0.2">
      <c r="A2120" s="130" t="str">
        <f t="shared" si="10"/>
        <v xml:space="preserve">    - Rejunte em piso Cerâmico113</v>
      </c>
      <c r="B2120" s="137" t="s">
        <v>2064</v>
      </c>
      <c r="C2120" s="137" t="s">
        <v>2067</v>
      </c>
      <c r="D2120" s="137"/>
      <c r="E2120" s="138"/>
      <c r="F2120" s="138"/>
      <c r="G2120" s="684">
        <v>150.97</v>
      </c>
      <c r="H2120" s="707">
        <v>113</v>
      </c>
      <c r="I2120" s="137" t="s">
        <v>2019</v>
      </c>
    </row>
    <row r="2121" spans="1:9" ht="12.75" customHeight="1" x14ac:dyDescent="0.2">
      <c r="A2121" s="130" t="str">
        <f t="shared" si="10"/>
        <v xml:space="preserve">      Rejunte em piso Cerâmico 60x60 cm114</v>
      </c>
      <c r="B2121" s="957" t="s">
        <v>2065</v>
      </c>
      <c r="C2121" s="957" t="s">
        <v>2237</v>
      </c>
      <c r="D2121" s="957" t="s">
        <v>90</v>
      </c>
      <c r="E2121" s="146">
        <v>23.17</v>
      </c>
      <c r="F2121" s="139">
        <v>1.3160000000000001</v>
      </c>
      <c r="G2121" s="147">
        <v>30.49</v>
      </c>
      <c r="H2121" s="707">
        <v>114</v>
      </c>
      <c r="I2121" s="957" t="s">
        <v>2479</v>
      </c>
    </row>
    <row r="2122" spans="1:9" ht="12.75" customHeight="1" x14ac:dyDescent="0.2">
      <c r="A2122" s="130" t="str">
        <f t="shared" si="10"/>
        <v xml:space="preserve">      Mão de obra para piso cerâmico115</v>
      </c>
      <c r="B2122" s="957" t="s">
        <v>2066</v>
      </c>
      <c r="C2122" s="957" t="s">
        <v>2238</v>
      </c>
      <c r="D2122" s="957" t="s">
        <v>90</v>
      </c>
      <c r="E2122" s="146">
        <v>23.17</v>
      </c>
      <c r="F2122" s="139">
        <v>5.2</v>
      </c>
      <c r="G2122" s="145">
        <v>120.48</v>
      </c>
      <c r="H2122" s="707">
        <v>115</v>
      </c>
      <c r="I2122" s="957" t="s">
        <v>2480</v>
      </c>
    </row>
    <row r="2123" spans="1:9" ht="12.75" customHeight="1" x14ac:dyDescent="0.2">
      <c r="A2123" s="130" t="str">
        <f t="shared" si="10"/>
        <v xml:space="preserve">  - Porcelanato116</v>
      </c>
      <c r="B2123" s="137" t="s">
        <v>121</v>
      </c>
      <c r="C2123" s="137" t="s">
        <v>115</v>
      </c>
      <c r="D2123" s="137"/>
      <c r="E2123" s="138"/>
      <c r="F2123" s="138"/>
      <c r="G2123" s="680">
        <v>146901.59</v>
      </c>
      <c r="H2123" s="116">
        <v>116</v>
      </c>
      <c r="I2123" s="137" t="s">
        <v>343</v>
      </c>
    </row>
    <row r="2124" spans="1:9" ht="12.75" customHeight="1" x14ac:dyDescent="0.2">
      <c r="A2124" s="130" t="str">
        <f t="shared" si="10"/>
        <v xml:space="preserve">    - Piso em Porcelanato117</v>
      </c>
      <c r="B2124" s="137" t="s">
        <v>2068</v>
      </c>
      <c r="C2124" s="137" t="s">
        <v>1415</v>
      </c>
      <c r="D2124" s="137"/>
      <c r="E2124" s="138"/>
      <c r="F2124" s="138"/>
      <c r="G2124" s="680">
        <v>127583.35</v>
      </c>
      <c r="H2124" s="116">
        <v>117</v>
      </c>
      <c r="I2124" s="137" t="s">
        <v>1558</v>
      </c>
    </row>
    <row r="2125" spans="1:9" ht="12.75" customHeight="1" x14ac:dyDescent="0.2">
      <c r="A2125" s="130" t="str">
        <f t="shared" si="10"/>
        <v xml:space="preserve">      Piso em porcelanato 90x90 cm  - cozinha, sala (Urban Concreto Retificado Portinari)118</v>
      </c>
      <c r="B2125" s="957" t="s">
        <v>2069</v>
      </c>
      <c r="C2125" s="957" t="s">
        <v>2239</v>
      </c>
      <c r="D2125" s="957" t="s">
        <v>90</v>
      </c>
      <c r="E2125" s="144">
        <v>712.77</v>
      </c>
      <c r="F2125" s="146">
        <v>55.528500000000001</v>
      </c>
      <c r="G2125" s="141">
        <v>39579.050000000003</v>
      </c>
      <c r="H2125" s="707">
        <v>118</v>
      </c>
      <c r="I2125" s="957" t="s">
        <v>2481</v>
      </c>
    </row>
    <row r="2126" spans="1:9" ht="12.75" customHeight="1" x14ac:dyDescent="0.2">
      <c r="A2126" s="130" t="str">
        <f t="shared" si="10"/>
        <v xml:space="preserve">      Piso em porcelanato 60x60 cm - lavabo, is. , hall, lavabo, área serv. (Porcelanato Cemento Avório Biancogres)119</v>
      </c>
      <c r="B2126" s="957" t="s">
        <v>2070</v>
      </c>
      <c r="C2126" s="957" t="s">
        <v>2240</v>
      </c>
      <c r="D2126" s="957" t="s">
        <v>90</v>
      </c>
      <c r="E2126" s="144">
        <v>263.70999999999998</v>
      </c>
      <c r="F2126" s="146">
        <v>35.619999999999997</v>
      </c>
      <c r="G2126" s="143">
        <v>9393.35</v>
      </c>
      <c r="H2126" s="707">
        <v>119</v>
      </c>
      <c r="I2126" s="957" t="s">
        <v>2482</v>
      </c>
    </row>
    <row r="2127" spans="1:9" ht="12.75" customHeight="1" x14ac:dyDescent="0.2">
      <c r="A2127" s="130" t="str">
        <f t="shared" si="10"/>
        <v xml:space="preserve">      Piso em porcelanato 60x60 cm anti-derrapante  - Terraço, varanda (Vitoria Basaltina Beige Biancogres)120</v>
      </c>
      <c r="B2127" s="957" t="s">
        <v>2071</v>
      </c>
      <c r="C2127" s="957" t="s">
        <v>2241</v>
      </c>
      <c r="D2127" s="957" t="s">
        <v>90</v>
      </c>
      <c r="E2127" s="144">
        <v>433.79</v>
      </c>
      <c r="F2127" s="146">
        <v>77.052999999999997</v>
      </c>
      <c r="G2127" s="141">
        <v>33424.82</v>
      </c>
      <c r="H2127" s="707">
        <v>120</v>
      </c>
      <c r="I2127" s="957" t="s">
        <v>2484</v>
      </c>
    </row>
    <row r="2128" spans="1:9" ht="12.75" customHeight="1" x14ac:dyDescent="0.2">
      <c r="A2128" s="130" t="str">
        <f t="shared" si="10"/>
        <v xml:space="preserve">      Mão de obra Piso em Porcelanato121</v>
      </c>
      <c r="B2128" s="957" t="s">
        <v>2072</v>
      </c>
      <c r="C2128" s="957" t="s">
        <v>1425</v>
      </c>
      <c r="D2128" s="957" t="s">
        <v>90</v>
      </c>
      <c r="E2128" s="142">
        <v>1410.27</v>
      </c>
      <c r="F2128" s="146">
        <v>26.21</v>
      </c>
      <c r="G2128" s="141">
        <v>36963.18</v>
      </c>
      <c r="H2128" s="707">
        <v>121</v>
      </c>
      <c r="I2128" s="957" t="s">
        <v>1559</v>
      </c>
    </row>
    <row r="2129" spans="1:9" ht="12.75" customHeight="1" x14ac:dyDescent="0.2">
      <c r="A2129" s="130" t="str">
        <f t="shared" si="10"/>
        <v xml:space="preserve">      Piso Porcelanato Barlavento portobello gris 29,5x29,5 - piscina, sauna122</v>
      </c>
      <c r="B2129" s="957" t="s">
        <v>2073</v>
      </c>
      <c r="C2129" s="957" t="s">
        <v>2096</v>
      </c>
      <c r="D2129" s="957" t="s">
        <v>90</v>
      </c>
      <c r="E2129" s="146">
        <v>29.08</v>
      </c>
      <c r="F2129" s="144">
        <v>249.77</v>
      </c>
      <c r="G2129" s="143">
        <v>7263.31</v>
      </c>
      <c r="H2129" s="116">
        <v>122</v>
      </c>
      <c r="I2129" s="957" t="s">
        <v>2485</v>
      </c>
    </row>
    <row r="2130" spans="1:9" ht="12.75" customHeight="1" x14ac:dyDescent="0.2">
      <c r="A2130" s="130" t="str">
        <f t="shared" si="10"/>
        <v xml:space="preserve">      Mão de obra Piso em Pastilha 123</v>
      </c>
      <c r="B2130" s="957" t="s">
        <v>2074</v>
      </c>
      <c r="C2130" s="957" t="s">
        <v>2242</v>
      </c>
      <c r="D2130" s="957" t="s">
        <v>90</v>
      </c>
      <c r="E2130" s="146">
        <v>29.08</v>
      </c>
      <c r="F2130" s="146">
        <v>33</v>
      </c>
      <c r="G2130" s="145">
        <v>959.64</v>
      </c>
      <c r="H2130" s="707">
        <v>123</v>
      </c>
      <c r="I2130" s="957" t="s">
        <v>2486</v>
      </c>
    </row>
    <row r="2131" spans="1:9" ht="12.75" customHeight="1" x14ac:dyDescent="0.2">
      <c r="A2131" s="130" t="str">
        <f t="shared" si="10"/>
        <v xml:space="preserve">    - Rodapé em Porcelanato124</v>
      </c>
      <c r="B2131" s="137" t="s">
        <v>2075</v>
      </c>
      <c r="C2131" s="137" t="s">
        <v>1427</v>
      </c>
      <c r="D2131" s="137"/>
      <c r="E2131" s="138"/>
      <c r="F2131" s="138"/>
      <c r="G2131" s="681">
        <v>11687.88</v>
      </c>
      <c r="H2131" s="707">
        <v>124</v>
      </c>
      <c r="I2131" s="137" t="s">
        <v>1560</v>
      </c>
    </row>
    <row r="2132" spans="1:9" ht="12.75" customHeight="1" x14ac:dyDescent="0.2">
      <c r="A2132" s="130" t="str">
        <f t="shared" si="10"/>
        <v xml:space="preserve">      Rodapé em porcelanato 90x90 cm - h= 10 cm - sala (Urban Concreto Retificado Portinari)125</v>
      </c>
      <c r="B2132" s="957" t="s">
        <v>2076</v>
      </c>
      <c r="C2132" s="957" t="s">
        <v>2243</v>
      </c>
      <c r="D2132" s="957" t="s">
        <v>15</v>
      </c>
      <c r="E2132" s="144">
        <v>233.77</v>
      </c>
      <c r="F2132" s="139">
        <v>6.1220999999999997</v>
      </c>
      <c r="G2132" s="143">
        <v>1431.16</v>
      </c>
      <c r="H2132" s="707">
        <v>125</v>
      </c>
      <c r="I2132" s="957" t="s">
        <v>2487</v>
      </c>
    </row>
    <row r="2133" spans="1:9" ht="12.75" customHeight="1" x14ac:dyDescent="0.2">
      <c r="A2133" s="130" t="str">
        <f t="shared" si="10"/>
        <v xml:space="preserve">      Rodapé em porcelanato 60x60 cm - h= 10 cm  - lavabo, is. , hall, lavabo, (Porcelanato Cemento Avório Biancogres)126</v>
      </c>
      <c r="B2133" s="957" t="s">
        <v>2077</v>
      </c>
      <c r="C2133" s="957" t="s">
        <v>2244</v>
      </c>
      <c r="D2133" s="957" t="s">
        <v>15</v>
      </c>
      <c r="E2133" s="144">
        <v>179.68</v>
      </c>
      <c r="F2133" s="139">
        <v>4.1563999999999997</v>
      </c>
      <c r="G2133" s="145">
        <v>746.82</v>
      </c>
      <c r="H2133" s="707">
        <v>126</v>
      </c>
      <c r="I2133" s="957" t="s">
        <v>2488</v>
      </c>
    </row>
    <row r="2134" spans="1:9" ht="12.75" customHeight="1" x14ac:dyDescent="0.2">
      <c r="A2134" s="130" t="str">
        <f t="shared" si="10"/>
        <v xml:space="preserve">      Rodapé em porcelanato 60x60 cm anti-derrapante - h= 10 cm  Terraço, varanda (Vitoria Basaltina Beige Biancogres)127</v>
      </c>
      <c r="B2134" s="957" t="s">
        <v>2078</v>
      </c>
      <c r="C2134" s="957" t="s">
        <v>2245</v>
      </c>
      <c r="D2134" s="957" t="s">
        <v>15</v>
      </c>
      <c r="E2134" s="144">
        <v>193.4</v>
      </c>
      <c r="F2134" s="139">
        <v>8.0670000000000002</v>
      </c>
      <c r="G2134" s="143">
        <v>1560.16</v>
      </c>
      <c r="H2134" s="707">
        <v>127</v>
      </c>
      <c r="I2134" s="957" t="s">
        <v>2489</v>
      </c>
    </row>
    <row r="2135" spans="1:9" ht="12.75" customHeight="1" x14ac:dyDescent="0.2">
      <c r="A2135" s="130" t="str">
        <f t="shared" si="10"/>
        <v xml:space="preserve">      Mão de obra Rodapé em Porcelanato128</v>
      </c>
      <c r="B2135" s="957" t="s">
        <v>2079</v>
      </c>
      <c r="C2135" s="957" t="s">
        <v>1431</v>
      </c>
      <c r="D2135" s="957" t="s">
        <v>15</v>
      </c>
      <c r="E2135" s="144">
        <v>606.85</v>
      </c>
      <c r="F2135" s="146">
        <v>13.1</v>
      </c>
      <c r="G2135" s="143">
        <v>7949.74</v>
      </c>
      <c r="H2135" s="707">
        <v>128</v>
      </c>
      <c r="I2135" s="957" t="s">
        <v>1561</v>
      </c>
    </row>
    <row r="2136" spans="1:9" ht="12.75" customHeight="1" x14ac:dyDescent="0.2">
      <c r="A2136" s="130" t="str">
        <f t="shared" si="10"/>
        <v xml:space="preserve">    - Rejunte em piso Porcelanato129</v>
      </c>
      <c r="B2136" s="137" t="s">
        <v>2080</v>
      </c>
      <c r="C2136" s="137" t="s">
        <v>1433</v>
      </c>
      <c r="D2136" s="137"/>
      <c r="E2136" s="138"/>
      <c r="F2136" s="138"/>
      <c r="G2136" s="685">
        <v>7630.36</v>
      </c>
      <c r="H2136" s="707">
        <v>129</v>
      </c>
      <c r="I2136" s="137" t="s">
        <v>1562</v>
      </c>
    </row>
    <row r="2137" spans="1:9" ht="12.75" customHeight="1" x14ac:dyDescent="0.2">
      <c r="A2137" s="130" t="str">
        <f t="shared" ref="A2137:A2200" si="11">I2137&amp;H2137</f>
        <v xml:space="preserve">      Rejunte de porcelanato 90x90 cm130</v>
      </c>
      <c r="B2137" s="957" t="s">
        <v>2081</v>
      </c>
      <c r="C2137" s="957" t="s">
        <v>2085</v>
      </c>
      <c r="D2137" s="957" t="s">
        <v>90</v>
      </c>
      <c r="E2137" s="144">
        <v>712.77</v>
      </c>
      <c r="F2137" s="139">
        <v>7.9899999999999999E-2</v>
      </c>
      <c r="G2137" s="147">
        <v>56.95</v>
      </c>
      <c r="H2137" s="707">
        <v>130</v>
      </c>
      <c r="I2137" s="957" t="s">
        <v>2021</v>
      </c>
    </row>
    <row r="2138" spans="1:9" ht="12.75" customHeight="1" x14ac:dyDescent="0.2">
      <c r="A2138" s="130" t="str">
        <f t="shared" si="11"/>
        <v xml:space="preserve">      Rejunte de porcelanato 60x60 cm131</v>
      </c>
      <c r="B2138" s="957" t="s">
        <v>2083</v>
      </c>
      <c r="C2138" s="957" t="s">
        <v>1960</v>
      </c>
      <c r="D2138" s="957" t="s">
        <v>90</v>
      </c>
      <c r="E2138" s="144">
        <v>697.5</v>
      </c>
      <c r="F2138" s="139">
        <v>0.11749999999999999</v>
      </c>
      <c r="G2138" s="147">
        <v>81.96</v>
      </c>
      <c r="H2138" s="707">
        <v>131</v>
      </c>
      <c r="I2138" s="957" t="s">
        <v>1953</v>
      </c>
    </row>
    <row r="2139" spans="1:9" ht="12.75" customHeight="1" x14ac:dyDescent="0.2">
      <c r="A2139" s="130" t="str">
        <f t="shared" si="11"/>
        <v xml:space="preserve">      Rejunte de porcelanato 29,5x29,5 cm132</v>
      </c>
      <c r="B2139" s="957" t="s">
        <v>2084</v>
      </c>
      <c r="C2139" s="957" t="s">
        <v>2082</v>
      </c>
      <c r="D2139" s="957" t="s">
        <v>90</v>
      </c>
      <c r="E2139" s="146">
        <v>29.08</v>
      </c>
      <c r="F2139" s="139">
        <v>0.23499999999999999</v>
      </c>
      <c r="G2139" s="148">
        <v>6.83</v>
      </c>
      <c r="H2139" s="116">
        <v>132</v>
      </c>
      <c r="I2139" s="957" t="s">
        <v>2020</v>
      </c>
    </row>
    <row r="2140" spans="1:9" ht="12.75" customHeight="1" x14ac:dyDescent="0.2">
      <c r="A2140" s="130" t="str">
        <f t="shared" si="11"/>
        <v xml:space="preserve">      Mão de obra para rejunte133</v>
      </c>
      <c r="B2140" s="957" t="s">
        <v>2086</v>
      </c>
      <c r="C2140" s="957" t="s">
        <v>2246</v>
      </c>
      <c r="D2140" s="957" t="s">
        <v>90</v>
      </c>
      <c r="E2140" s="142">
        <v>1439.35</v>
      </c>
      <c r="F2140" s="139">
        <v>5.2</v>
      </c>
      <c r="G2140" s="143">
        <v>7484.62</v>
      </c>
      <c r="H2140" s="707">
        <v>133</v>
      </c>
      <c r="I2140" s="957" t="s">
        <v>2490</v>
      </c>
    </row>
    <row r="2141" spans="1:9" ht="12.75" customHeight="1" x14ac:dyDescent="0.2">
      <c r="A2141" s="130" t="str">
        <f t="shared" si="11"/>
        <v xml:space="preserve">  - Granito/Mármore134</v>
      </c>
      <c r="B2141" s="137" t="s">
        <v>637</v>
      </c>
      <c r="C2141" s="137" t="s">
        <v>639</v>
      </c>
      <c r="D2141" s="137"/>
      <c r="E2141" s="138"/>
      <c r="F2141" s="138"/>
      <c r="G2141" s="681">
        <v>60765.27</v>
      </c>
      <c r="H2141" s="707">
        <v>134</v>
      </c>
      <c r="I2141" s="137" t="s">
        <v>344</v>
      </c>
    </row>
    <row r="2142" spans="1:9" ht="12.75" customHeight="1" x14ac:dyDescent="0.2">
      <c r="A2142" s="130" t="str">
        <f t="shared" si="11"/>
        <v xml:space="preserve">    - Piso em Granito/Mármore135</v>
      </c>
      <c r="B2142" s="137" t="s">
        <v>1414</v>
      </c>
      <c r="C2142" s="137" t="s">
        <v>1436</v>
      </c>
      <c r="D2142" s="137"/>
      <c r="E2142" s="138"/>
      <c r="F2142" s="138"/>
      <c r="G2142" s="685">
        <v>5623.11</v>
      </c>
      <c r="H2142" s="116">
        <v>135</v>
      </c>
      <c r="I2142" s="137" t="s">
        <v>1563</v>
      </c>
    </row>
    <row r="2143" spans="1:9" ht="12.75" customHeight="1" x14ac:dyDescent="0.2">
      <c r="A2143" s="130" t="str">
        <f t="shared" si="11"/>
        <v xml:space="preserve">      Piso em granito Preto São Gabriel - Elevador136</v>
      </c>
      <c r="B2143" s="957" t="s">
        <v>1416</v>
      </c>
      <c r="C2143" s="957" t="s">
        <v>783</v>
      </c>
      <c r="D2143" s="957" t="s">
        <v>90</v>
      </c>
      <c r="E2143" s="139">
        <v>4.4800000000000004</v>
      </c>
      <c r="F2143" s="144">
        <v>337.46199999999999</v>
      </c>
      <c r="G2143" s="143">
        <v>1511.83</v>
      </c>
      <c r="H2143" s="707">
        <v>136</v>
      </c>
      <c r="I2143" s="957" t="s">
        <v>1564</v>
      </c>
    </row>
    <row r="2144" spans="1:9" ht="12.75" customHeight="1" x14ac:dyDescent="0.2">
      <c r="A2144" s="130" t="str">
        <f t="shared" si="11"/>
        <v xml:space="preserve">      Piso em granito Branco Siena137</v>
      </c>
      <c r="B2144" s="957" t="s">
        <v>1418</v>
      </c>
      <c r="C2144" s="957" t="s">
        <v>1437</v>
      </c>
      <c r="D2144" s="957" t="s">
        <v>90</v>
      </c>
      <c r="E2144" s="146">
        <v>10.29</v>
      </c>
      <c r="F2144" s="144">
        <v>337.46199999999999</v>
      </c>
      <c r="G2144" s="143">
        <v>3472.48</v>
      </c>
      <c r="H2144" s="707">
        <v>137</v>
      </c>
      <c r="I2144" s="957" t="s">
        <v>1565</v>
      </c>
    </row>
    <row r="2145" spans="1:9" ht="12.75" customHeight="1" x14ac:dyDescent="0.2">
      <c r="A2145" s="130" t="str">
        <f t="shared" si="11"/>
        <v xml:space="preserve">      Mão de obra Piso Granito138</v>
      </c>
      <c r="B2145" s="957" t="s">
        <v>1420</v>
      </c>
      <c r="C2145" s="957" t="s">
        <v>2247</v>
      </c>
      <c r="D2145" s="957" t="s">
        <v>90</v>
      </c>
      <c r="E2145" s="146">
        <v>14.77</v>
      </c>
      <c r="F2145" s="146">
        <v>43.25</v>
      </c>
      <c r="G2145" s="145">
        <v>638.79999999999995</v>
      </c>
      <c r="H2145" s="116">
        <v>138</v>
      </c>
      <c r="I2145" s="957" t="s">
        <v>2493</v>
      </c>
    </row>
    <row r="2146" spans="1:9" ht="12.75" customHeight="1" x14ac:dyDescent="0.2">
      <c r="A2146" s="130" t="str">
        <f t="shared" si="11"/>
        <v xml:space="preserve">    - Rodapé em Granito/Mármore139</v>
      </c>
      <c r="B2146" s="137" t="s">
        <v>1426</v>
      </c>
      <c r="C2146" s="137" t="s">
        <v>1438</v>
      </c>
      <c r="D2146" s="137"/>
      <c r="E2146" s="138"/>
      <c r="F2146" s="138"/>
      <c r="G2146" s="685">
        <v>4871.62</v>
      </c>
      <c r="H2146" s="707">
        <v>139</v>
      </c>
      <c r="I2146" s="137" t="s">
        <v>1566</v>
      </c>
    </row>
    <row r="2147" spans="1:9" ht="12.75" customHeight="1" x14ac:dyDescent="0.2">
      <c r="A2147" s="130" t="str">
        <f t="shared" si="11"/>
        <v xml:space="preserve">      Rodapé em granito Branco Siena h= 14 cm140</v>
      </c>
      <c r="B2147" s="957" t="s">
        <v>1428</v>
      </c>
      <c r="C2147" s="957" t="s">
        <v>2248</v>
      </c>
      <c r="D2147" s="957" t="s">
        <v>15</v>
      </c>
      <c r="E2147" s="146">
        <v>26.22</v>
      </c>
      <c r="F2147" s="146">
        <v>48.396999999999998</v>
      </c>
      <c r="G2147" s="143">
        <v>1268.97</v>
      </c>
      <c r="H2147" s="116">
        <v>140</v>
      </c>
      <c r="I2147" s="957" t="s">
        <v>2494</v>
      </c>
    </row>
    <row r="2148" spans="1:9" ht="12.75" customHeight="1" x14ac:dyDescent="0.2">
      <c r="A2148" s="130" t="str">
        <f t="shared" si="11"/>
        <v xml:space="preserve">      Rodapé em granito Preto São Gabriel h= 14 cm141</v>
      </c>
      <c r="B2148" s="957" t="s">
        <v>1429</v>
      </c>
      <c r="C2148" s="957" t="s">
        <v>2249</v>
      </c>
      <c r="D2148" s="957" t="s">
        <v>15</v>
      </c>
      <c r="E2148" s="146">
        <v>54.44</v>
      </c>
      <c r="F2148" s="146">
        <v>48.396999999999998</v>
      </c>
      <c r="G2148" s="143">
        <v>2634.73</v>
      </c>
      <c r="H2148" s="116">
        <v>141</v>
      </c>
      <c r="I2148" s="957" t="s">
        <v>2495</v>
      </c>
    </row>
    <row r="2149" spans="1:9" ht="12.75" customHeight="1" x14ac:dyDescent="0.2">
      <c r="A2149" s="130" t="str">
        <f t="shared" si="11"/>
        <v xml:space="preserve">      Mão de obra Rodapé em granito142</v>
      </c>
      <c r="B2149" s="957" t="s">
        <v>1430</v>
      </c>
      <c r="C2149" s="957" t="s">
        <v>1439</v>
      </c>
      <c r="D2149" s="957" t="s">
        <v>15</v>
      </c>
      <c r="E2149" s="146">
        <v>80.66</v>
      </c>
      <c r="F2149" s="146">
        <v>12</v>
      </c>
      <c r="G2149" s="145">
        <v>967.92</v>
      </c>
      <c r="H2149" s="707">
        <v>142</v>
      </c>
      <c r="I2149" s="957" t="s">
        <v>1567</v>
      </c>
    </row>
    <row r="2150" spans="1:9" ht="12.75" customHeight="1" x14ac:dyDescent="0.2">
      <c r="A2150" s="130" t="str">
        <f t="shared" si="11"/>
        <v xml:space="preserve">    - Rejunte em Granito/Mármore143</v>
      </c>
      <c r="B2150" s="137" t="s">
        <v>1432</v>
      </c>
      <c r="C2150" s="137" t="s">
        <v>1440</v>
      </c>
      <c r="D2150" s="137"/>
      <c r="E2150" s="138"/>
      <c r="F2150" s="138"/>
      <c r="G2150" s="958">
        <v>78.430000000000007</v>
      </c>
      <c r="H2150" s="707">
        <v>143</v>
      </c>
      <c r="I2150" s="137" t="s">
        <v>1568</v>
      </c>
    </row>
    <row r="2151" spans="1:9" ht="12.75" customHeight="1" x14ac:dyDescent="0.2">
      <c r="A2151" s="130" t="str">
        <f t="shared" si="11"/>
        <v xml:space="preserve">      Rejunte em granito144</v>
      </c>
      <c r="B2151" s="957" t="s">
        <v>1434</v>
      </c>
      <c r="C2151" s="957" t="s">
        <v>496</v>
      </c>
      <c r="D2151" s="957" t="s">
        <v>90</v>
      </c>
      <c r="E2151" s="146">
        <v>14.77</v>
      </c>
      <c r="F2151" s="139">
        <v>0.1105</v>
      </c>
      <c r="G2151" s="148">
        <v>1.63</v>
      </c>
      <c r="H2151" s="707">
        <v>144</v>
      </c>
      <c r="I2151" s="957" t="s">
        <v>1569</v>
      </c>
    </row>
    <row r="2152" spans="1:9" ht="12.75" customHeight="1" x14ac:dyDescent="0.2">
      <c r="A2152" s="130" t="str">
        <f t="shared" si="11"/>
        <v xml:space="preserve">      Mão de obra rejunte em granito145</v>
      </c>
      <c r="B2152" s="957" t="s">
        <v>1435</v>
      </c>
      <c r="C2152" s="957" t="s">
        <v>2250</v>
      </c>
      <c r="D2152" s="957" t="s">
        <v>90</v>
      </c>
      <c r="E2152" s="146">
        <v>14.77</v>
      </c>
      <c r="F2152" s="139">
        <v>5.2</v>
      </c>
      <c r="G2152" s="147">
        <v>76.8</v>
      </c>
      <c r="H2152" s="707">
        <v>145</v>
      </c>
      <c r="I2152" s="957" t="s">
        <v>2496</v>
      </c>
    </row>
    <row r="2153" spans="1:9" ht="12.75" customHeight="1" x14ac:dyDescent="0.2">
      <c r="A2153" s="130" t="str">
        <f t="shared" si="11"/>
        <v xml:space="preserve">    - Soleira/Peitoril em Granito/Mármore146</v>
      </c>
      <c r="B2153" s="137" t="s">
        <v>2087</v>
      </c>
      <c r="C2153" s="137" t="s">
        <v>1441</v>
      </c>
      <c r="D2153" s="137"/>
      <c r="E2153" s="138"/>
      <c r="F2153" s="138"/>
      <c r="G2153" s="681">
        <v>49075.14</v>
      </c>
      <c r="H2153" s="707">
        <v>146</v>
      </c>
      <c r="I2153" s="137" t="s">
        <v>1570</v>
      </c>
    </row>
    <row r="2154" spans="1:9" ht="12.75" customHeight="1" x14ac:dyDescent="0.2">
      <c r="A2154" s="130" t="str">
        <f t="shared" si="11"/>
        <v xml:space="preserve">      Soleira em granito Branco Siena L= 15cm147</v>
      </c>
      <c r="B2154" s="957" t="s">
        <v>2088</v>
      </c>
      <c r="C2154" s="957" t="s">
        <v>1442</v>
      </c>
      <c r="D2154" s="957" t="s">
        <v>15</v>
      </c>
      <c r="E2154" s="144">
        <v>188.51</v>
      </c>
      <c r="F2154" s="146">
        <v>84.234899999999996</v>
      </c>
      <c r="G2154" s="141">
        <v>15879.12</v>
      </c>
      <c r="H2154" s="707">
        <v>147</v>
      </c>
      <c r="I2154" s="957" t="s">
        <v>1571</v>
      </c>
    </row>
    <row r="2155" spans="1:9" ht="12.75" customHeight="1" x14ac:dyDescent="0.2">
      <c r="A2155" s="130" t="str">
        <f t="shared" si="11"/>
        <v xml:space="preserve">      Filete em granito Branco Siena - degrau escada de incêndio148</v>
      </c>
      <c r="B2155" s="957" t="s">
        <v>2089</v>
      </c>
      <c r="C2155" s="957" t="s">
        <v>2251</v>
      </c>
      <c r="D2155" s="957" t="s">
        <v>15</v>
      </c>
      <c r="E2155" s="144">
        <v>141.6</v>
      </c>
      <c r="F2155" s="146">
        <v>38.909999999999997</v>
      </c>
      <c r="G2155" s="143">
        <v>5509.66</v>
      </c>
      <c r="H2155" s="707">
        <v>148</v>
      </c>
      <c r="I2155" s="957" t="s">
        <v>2497</v>
      </c>
    </row>
    <row r="2156" spans="1:9" ht="12.75" customHeight="1" x14ac:dyDescent="0.2">
      <c r="A2156" s="130" t="str">
        <f t="shared" si="11"/>
        <v xml:space="preserve">      Filete em granito Branco Siena149</v>
      </c>
      <c r="B2156" s="957" t="s">
        <v>2090</v>
      </c>
      <c r="C2156" s="957" t="s">
        <v>2252</v>
      </c>
      <c r="D2156" s="957" t="s">
        <v>15</v>
      </c>
      <c r="E2156" s="146">
        <v>76.7</v>
      </c>
      <c r="F2156" s="146">
        <v>38.909999999999997</v>
      </c>
      <c r="G2156" s="143">
        <v>2984.4</v>
      </c>
      <c r="H2156" s="707">
        <v>149</v>
      </c>
      <c r="I2156" s="957" t="s">
        <v>2498</v>
      </c>
    </row>
    <row r="2157" spans="1:9" ht="12.75" customHeight="1" x14ac:dyDescent="0.2">
      <c r="A2157" s="130" t="str">
        <f t="shared" si="11"/>
        <v xml:space="preserve">      Peitoril em Mármore Branco l= 20 cm150</v>
      </c>
      <c r="B2157" s="957" t="s">
        <v>2091</v>
      </c>
      <c r="C2157" s="957" t="s">
        <v>485</v>
      </c>
      <c r="D2157" s="957" t="s">
        <v>15</v>
      </c>
      <c r="E2157" s="144">
        <v>302.14999999999998</v>
      </c>
      <c r="F2157" s="146">
        <v>62.315600000000003</v>
      </c>
      <c r="G2157" s="141">
        <v>18828.650000000001</v>
      </c>
      <c r="H2157" s="707">
        <v>150</v>
      </c>
      <c r="I2157" s="957" t="s">
        <v>1572</v>
      </c>
    </row>
    <row r="2158" spans="1:9" ht="12.75" customHeight="1" x14ac:dyDescent="0.2">
      <c r="A2158" s="130" t="str">
        <f t="shared" si="11"/>
        <v xml:space="preserve">      Chapim em mármore branco comum151</v>
      </c>
      <c r="B2158" s="957" t="s">
        <v>2092</v>
      </c>
      <c r="C2158" s="957" t="s">
        <v>781</v>
      </c>
      <c r="D2158" s="957" t="s">
        <v>15</v>
      </c>
      <c r="E2158" s="146">
        <v>73.209999999999994</v>
      </c>
      <c r="F2158" s="146">
        <v>80.2256</v>
      </c>
      <c r="G2158" s="143">
        <v>5873.31</v>
      </c>
      <c r="H2158" s="116">
        <v>151</v>
      </c>
      <c r="I2158" s="957" t="s">
        <v>1573</v>
      </c>
    </row>
    <row r="2159" spans="1:9" ht="12.75" customHeight="1" x14ac:dyDescent="0.2">
      <c r="A2159" s="130" t="str">
        <f t="shared" si="11"/>
        <v xml:space="preserve">    - Diversos em Granito/Mármore152</v>
      </c>
      <c r="B2159" s="137" t="s">
        <v>2253</v>
      </c>
      <c r="C2159" s="137" t="s">
        <v>2254</v>
      </c>
      <c r="D2159" s="137"/>
      <c r="E2159" s="138"/>
      <c r="F2159" s="138"/>
      <c r="G2159" s="685">
        <v>1116.97</v>
      </c>
      <c r="H2159" s="707">
        <v>152</v>
      </c>
      <c r="I2159" s="137" t="s">
        <v>2501</v>
      </c>
    </row>
    <row r="2160" spans="1:9" ht="12.75" customHeight="1" x14ac:dyDescent="0.2">
      <c r="A2160" s="130" t="str">
        <f t="shared" si="11"/>
        <v xml:space="preserve">      Banco em granito Branco Siena h = 40 cm153</v>
      </c>
      <c r="B2160" s="957" t="s">
        <v>2255</v>
      </c>
      <c r="C2160" s="957" t="s">
        <v>2256</v>
      </c>
      <c r="D2160" s="957" t="s">
        <v>15</v>
      </c>
      <c r="E2160" s="139">
        <v>2.8</v>
      </c>
      <c r="F2160" s="144">
        <v>398.91860000000003</v>
      </c>
      <c r="G2160" s="143">
        <v>1116.97</v>
      </c>
      <c r="H2160" s="707">
        <v>153</v>
      </c>
      <c r="I2160" s="957" t="s">
        <v>2502</v>
      </c>
    </row>
    <row r="2161" spans="1:9" ht="12.75" customHeight="1" x14ac:dyDescent="0.2">
      <c r="A2161" s="130" t="str">
        <f t="shared" si="11"/>
        <v xml:space="preserve">  - Madeira154</v>
      </c>
      <c r="B2161" s="137" t="s">
        <v>638</v>
      </c>
      <c r="C2161" s="137" t="s">
        <v>116</v>
      </c>
      <c r="D2161" s="137"/>
      <c r="E2161" s="138"/>
      <c r="F2161" s="138"/>
      <c r="G2161" s="681">
        <v>44137.38</v>
      </c>
      <c r="H2161" s="707">
        <v>154</v>
      </c>
      <c r="I2161" s="137" t="s">
        <v>264</v>
      </c>
    </row>
    <row r="2162" spans="1:9" ht="12.75" customHeight="1" x14ac:dyDescent="0.2">
      <c r="A2162" s="130" t="str">
        <f t="shared" si="11"/>
        <v xml:space="preserve">      Piso Laminado Durafloor Linha Ritz instalado com rodapé (linha New Way, Petrópolis)155</v>
      </c>
      <c r="B2162" s="957" t="s">
        <v>2093</v>
      </c>
      <c r="C2162" s="957" t="s">
        <v>1961</v>
      </c>
      <c r="D2162" s="957" t="s">
        <v>90</v>
      </c>
      <c r="E2162" s="144">
        <v>568.64</v>
      </c>
      <c r="F2162" s="146">
        <v>57.456000000000003</v>
      </c>
      <c r="G2162" s="141">
        <v>32671.78</v>
      </c>
      <c r="H2162" s="707">
        <v>155</v>
      </c>
      <c r="I2162" s="957" t="s">
        <v>2503</v>
      </c>
    </row>
    <row r="2163" spans="1:9" ht="12.75" customHeight="1" x14ac:dyDescent="0.2">
      <c r="A2163" s="130" t="str">
        <f t="shared" si="11"/>
        <v xml:space="preserve">      Mão de obra Piso laminado156</v>
      </c>
      <c r="B2163" s="957" t="s">
        <v>2094</v>
      </c>
      <c r="C2163" s="957" t="s">
        <v>1962</v>
      </c>
      <c r="D2163" s="957" t="s">
        <v>90</v>
      </c>
      <c r="E2163" s="144">
        <v>568.64</v>
      </c>
      <c r="F2163" s="146">
        <v>10</v>
      </c>
      <c r="G2163" s="143">
        <v>5686.4</v>
      </c>
      <c r="H2163" s="707">
        <v>156</v>
      </c>
      <c r="I2163" s="957" t="s">
        <v>2504</v>
      </c>
    </row>
    <row r="2164" spans="1:9" ht="12.75" customHeight="1" x14ac:dyDescent="0.2">
      <c r="A2164" s="130" t="str">
        <f t="shared" si="11"/>
        <v xml:space="preserve">      Deck em madeira157</v>
      </c>
      <c r="B2164" s="957" t="s">
        <v>2095</v>
      </c>
      <c r="C2164" s="957" t="s">
        <v>784</v>
      </c>
      <c r="D2164" s="957" t="s">
        <v>90</v>
      </c>
      <c r="E2164" s="146">
        <v>13.76</v>
      </c>
      <c r="F2164" s="144">
        <v>420</v>
      </c>
      <c r="G2164" s="143">
        <v>5779.2</v>
      </c>
      <c r="H2164" s="116">
        <v>157</v>
      </c>
      <c r="I2164" s="957" t="s">
        <v>2505</v>
      </c>
    </row>
    <row r="2165" spans="1:9" ht="12.75" customHeight="1" x14ac:dyDescent="0.2">
      <c r="A2165" s="130" t="str">
        <f t="shared" si="11"/>
        <v xml:space="preserve">  - Outros158</v>
      </c>
      <c r="B2165" s="137" t="s">
        <v>640</v>
      </c>
      <c r="C2165" s="137" t="s">
        <v>238</v>
      </c>
      <c r="D2165" s="137"/>
      <c r="E2165" s="138"/>
      <c r="F2165" s="138"/>
      <c r="G2165" s="681">
        <v>25373.07</v>
      </c>
      <c r="H2165" s="707">
        <v>158</v>
      </c>
      <c r="I2165" s="137" t="s">
        <v>265</v>
      </c>
    </row>
    <row r="2166" spans="1:9" ht="12.75" customHeight="1" x14ac:dyDescent="0.2">
      <c r="A2166" s="130" t="str">
        <f t="shared" si="11"/>
        <v xml:space="preserve">      Meio-fio em concreto159</v>
      </c>
      <c r="B2166" s="957" t="s">
        <v>641</v>
      </c>
      <c r="C2166" s="957" t="s">
        <v>503</v>
      </c>
      <c r="D2166" s="957" t="s">
        <v>15</v>
      </c>
      <c r="E2166" s="139">
        <v>7.2</v>
      </c>
      <c r="F2166" s="146">
        <v>25.9117</v>
      </c>
      <c r="G2166" s="145">
        <v>186.56</v>
      </c>
      <c r="H2166" s="707">
        <v>159</v>
      </c>
      <c r="I2166" s="957" t="s">
        <v>2506</v>
      </c>
    </row>
    <row r="2167" spans="1:9" ht="12.75" customHeight="1" x14ac:dyDescent="0.2">
      <c r="A2167" s="130" t="str">
        <f t="shared" si="11"/>
        <v xml:space="preserve">      Ladrilho hidráulico tátil direcional cor vermelha160</v>
      </c>
      <c r="B2167" s="957" t="s">
        <v>642</v>
      </c>
      <c r="C2167" s="957" t="s">
        <v>1409</v>
      </c>
      <c r="D2167" s="957" t="s">
        <v>90</v>
      </c>
      <c r="E2167" s="139">
        <v>7.32</v>
      </c>
      <c r="F2167" s="146">
        <v>76.728300000000004</v>
      </c>
      <c r="G2167" s="145">
        <v>561.65</v>
      </c>
      <c r="H2167" s="707">
        <v>160</v>
      </c>
      <c r="I2167" s="957" t="s">
        <v>2509</v>
      </c>
    </row>
    <row r="2168" spans="1:9" ht="12.75" customHeight="1" x14ac:dyDescent="0.2">
      <c r="A2168" s="130" t="str">
        <f t="shared" si="11"/>
        <v xml:space="preserve">      Ladrilho hidráulico tátil alerta cor vermelha161</v>
      </c>
      <c r="B2168" s="957" t="s">
        <v>1963</v>
      </c>
      <c r="C2168" s="957" t="s">
        <v>1410</v>
      </c>
      <c r="D2168" s="957" t="s">
        <v>90</v>
      </c>
      <c r="E2168" s="139">
        <v>3.42</v>
      </c>
      <c r="F2168" s="146">
        <v>76.728300000000004</v>
      </c>
      <c r="G2168" s="145">
        <v>262.41000000000003</v>
      </c>
      <c r="H2168" s="707">
        <v>161</v>
      </c>
      <c r="I2168" s="957" t="s">
        <v>2510</v>
      </c>
    </row>
    <row r="2169" spans="1:9" ht="12.75" customHeight="1" x14ac:dyDescent="0.2">
      <c r="A2169" s="130" t="str">
        <f t="shared" si="11"/>
        <v xml:space="preserve">      Ladrilho hidráulico 16 quadros cor natural162</v>
      </c>
      <c r="B2169" s="957" t="s">
        <v>2098</v>
      </c>
      <c r="C2169" s="957" t="s">
        <v>1411</v>
      </c>
      <c r="D2169" s="957" t="s">
        <v>90</v>
      </c>
      <c r="E2169" s="139">
        <v>9.6</v>
      </c>
      <c r="F2169" s="146">
        <v>76.728300000000004</v>
      </c>
      <c r="G2169" s="145">
        <v>736.59</v>
      </c>
      <c r="H2169" s="707">
        <v>162</v>
      </c>
      <c r="I2169" s="957" t="s">
        <v>2511</v>
      </c>
    </row>
    <row r="2170" spans="1:9" ht="12.75" customHeight="1" x14ac:dyDescent="0.2">
      <c r="A2170" s="130" t="str">
        <f t="shared" si="11"/>
        <v xml:space="preserve">      Ladrilho hidráulico 16 quadros xadrez cor preta e natural163</v>
      </c>
      <c r="B2170" s="957" t="s">
        <v>2099</v>
      </c>
      <c r="C2170" s="957" t="s">
        <v>2257</v>
      </c>
      <c r="D2170" s="957" t="s">
        <v>90</v>
      </c>
      <c r="E2170" s="146">
        <v>43.2</v>
      </c>
      <c r="F2170" s="146">
        <v>76.728300000000004</v>
      </c>
      <c r="G2170" s="143">
        <v>3314.66</v>
      </c>
      <c r="H2170" s="707">
        <v>163</v>
      </c>
      <c r="I2170" s="957" t="s">
        <v>2512</v>
      </c>
    </row>
    <row r="2171" spans="1:9" ht="12.75" customHeight="1" x14ac:dyDescent="0.2">
      <c r="A2171" s="130" t="str">
        <f t="shared" si="11"/>
        <v xml:space="preserve">      Piso para alto tráfego - Inpact Roll alta performance -  fitness164</v>
      </c>
      <c r="B2171" s="957" t="s">
        <v>2100</v>
      </c>
      <c r="C2171" s="957" t="s">
        <v>2097</v>
      </c>
      <c r="D2171" s="957" t="s">
        <v>90</v>
      </c>
      <c r="E2171" s="146">
        <v>22.41</v>
      </c>
      <c r="F2171" s="144">
        <v>135.54</v>
      </c>
      <c r="G2171" s="143">
        <v>3037.45</v>
      </c>
      <c r="H2171" s="116">
        <v>164</v>
      </c>
      <c r="I2171" s="957" t="s">
        <v>2513</v>
      </c>
    </row>
    <row r="2172" spans="1:9" ht="12.75" customHeight="1" x14ac:dyDescent="0.2">
      <c r="A2172" s="130" t="str">
        <f t="shared" si="11"/>
        <v xml:space="preserve">      Rodapé Durafloor branco h= 10 cm  - quartos, circulação165</v>
      </c>
      <c r="B2172" s="957" t="s">
        <v>2101</v>
      </c>
      <c r="C2172" s="957" t="s">
        <v>2258</v>
      </c>
      <c r="D2172" s="957" t="s">
        <v>15</v>
      </c>
      <c r="E2172" s="144">
        <v>607.07000000000005</v>
      </c>
      <c r="F2172" s="146">
        <v>13.148999999999999</v>
      </c>
      <c r="G2172" s="143">
        <v>7982.36</v>
      </c>
      <c r="H2172" s="116">
        <v>165</v>
      </c>
      <c r="I2172" s="957" t="s">
        <v>2514</v>
      </c>
    </row>
    <row r="2173" spans="1:9" ht="12.75" customHeight="1" x14ac:dyDescent="0.2">
      <c r="A2173" s="130" t="str">
        <f t="shared" si="11"/>
        <v xml:space="preserve">      Mão de obra para instalação de Rodapé em Poliestireno166</v>
      </c>
      <c r="B2173" s="957" t="s">
        <v>2259</v>
      </c>
      <c r="C2173" s="957" t="s">
        <v>2260</v>
      </c>
      <c r="D2173" s="957" t="s">
        <v>15</v>
      </c>
      <c r="E2173" s="144">
        <v>607.07000000000005</v>
      </c>
      <c r="F2173" s="146">
        <v>11</v>
      </c>
      <c r="G2173" s="143">
        <v>6677.77</v>
      </c>
      <c r="H2173" s="707">
        <v>166</v>
      </c>
      <c r="I2173" s="957" t="s">
        <v>2515</v>
      </c>
    </row>
    <row r="2174" spans="1:9" ht="12.75" customHeight="1" x14ac:dyDescent="0.2">
      <c r="A2174" s="130" t="str">
        <f t="shared" si="11"/>
        <v xml:space="preserve">      Rejunte em Rodapé Santa Luzia - quartos, circulação167</v>
      </c>
      <c r="B2174" s="957" t="s">
        <v>2261</v>
      </c>
      <c r="C2174" s="957" t="s">
        <v>2262</v>
      </c>
      <c r="D2174" s="957" t="s">
        <v>15</v>
      </c>
      <c r="E2174" s="144">
        <v>607.07000000000005</v>
      </c>
      <c r="F2174" s="139">
        <v>4.3052999999999999</v>
      </c>
      <c r="G2174" s="143">
        <v>2613.62</v>
      </c>
      <c r="H2174" s="707">
        <v>167</v>
      </c>
      <c r="I2174" s="957" t="s">
        <v>2516</v>
      </c>
    </row>
    <row r="2175" spans="1:9" ht="12.75" customHeight="1" x14ac:dyDescent="0.2">
      <c r="A2175" s="130" t="str">
        <f t="shared" si="11"/>
        <v>- REVESTIMENTO DE PAREDE168</v>
      </c>
      <c r="B2175" s="137" t="s">
        <v>122</v>
      </c>
      <c r="C2175" s="137" t="s">
        <v>643</v>
      </c>
      <c r="D2175" s="137"/>
      <c r="E2175" s="138"/>
      <c r="F2175" s="138"/>
      <c r="G2175" s="680">
        <v>281145.40000000002</v>
      </c>
      <c r="H2175" s="707">
        <v>168</v>
      </c>
      <c r="I2175" s="137" t="s">
        <v>345</v>
      </c>
    </row>
    <row r="2176" spans="1:9" ht="12.75" customHeight="1" x14ac:dyDescent="0.2">
      <c r="A2176" s="130" t="str">
        <f t="shared" si="11"/>
        <v xml:space="preserve">  - Chapisco169</v>
      </c>
      <c r="B2176" s="137" t="s">
        <v>123</v>
      </c>
      <c r="C2176" s="137" t="s">
        <v>644</v>
      </c>
      <c r="D2176" s="137"/>
      <c r="E2176" s="138"/>
      <c r="F2176" s="138"/>
      <c r="G2176" s="681">
        <v>16055.04</v>
      </c>
      <c r="H2176" s="707">
        <v>169</v>
      </c>
      <c r="I2176" s="137" t="s">
        <v>346</v>
      </c>
    </row>
    <row r="2177" spans="1:9" ht="12.75" customHeight="1" x14ac:dyDescent="0.2">
      <c r="A2177" s="130" t="str">
        <f t="shared" si="11"/>
        <v xml:space="preserve">      Chapisco interno com argamassa170</v>
      </c>
      <c r="B2177" s="957" t="s">
        <v>124</v>
      </c>
      <c r="C2177" s="957" t="s">
        <v>785</v>
      </c>
      <c r="D2177" s="957" t="s">
        <v>90</v>
      </c>
      <c r="E2177" s="142">
        <v>1926.16</v>
      </c>
      <c r="F2177" s="139">
        <v>5.0818000000000003</v>
      </c>
      <c r="G2177" s="143">
        <v>9788.36</v>
      </c>
      <c r="H2177" s="116">
        <v>170</v>
      </c>
      <c r="I2177" s="957" t="s">
        <v>2518</v>
      </c>
    </row>
    <row r="2178" spans="1:9" ht="12.75" customHeight="1" x14ac:dyDescent="0.2">
      <c r="A2178" s="130" t="str">
        <f t="shared" si="11"/>
        <v xml:space="preserve">      Chapisco rolado - Parede171</v>
      </c>
      <c r="B2178" s="957" t="s">
        <v>1449</v>
      </c>
      <c r="C2178" s="957" t="s">
        <v>1450</v>
      </c>
      <c r="D2178" s="957" t="s">
        <v>90</v>
      </c>
      <c r="E2178" s="142">
        <v>1106.21</v>
      </c>
      <c r="F2178" s="139">
        <v>5.665</v>
      </c>
      <c r="G2178" s="143">
        <v>6266.68</v>
      </c>
      <c r="H2178" s="707">
        <v>171</v>
      </c>
      <c r="I2178" s="957" t="s">
        <v>2519</v>
      </c>
    </row>
    <row r="2179" spans="1:9" ht="12.75" customHeight="1" x14ac:dyDescent="0.2">
      <c r="A2179" s="130" t="str">
        <f t="shared" si="11"/>
        <v xml:space="preserve">  - Emboço172</v>
      </c>
      <c r="B2179" s="137" t="s">
        <v>125</v>
      </c>
      <c r="C2179" s="137" t="s">
        <v>645</v>
      </c>
      <c r="D2179" s="137"/>
      <c r="E2179" s="138"/>
      <c r="F2179" s="138"/>
      <c r="G2179" s="681">
        <v>28858.78</v>
      </c>
      <c r="H2179" s="707">
        <v>172</v>
      </c>
      <c r="I2179" s="137" t="s">
        <v>347</v>
      </c>
    </row>
    <row r="2180" spans="1:9" ht="12.75" customHeight="1" x14ac:dyDescent="0.2">
      <c r="A2180" s="130" t="str">
        <f t="shared" si="11"/>
        <v xml:space="preserve">      Emboco interno usinado173</v>
      </c>
      <c r="B2180" s="957" t="s">
        <v>126</v>
      </c>
      <c r="C2180" s="957" t="s">
        <v>1964</v>
      </c>
      <c r="D2180" s="957" t="s">
        <v>90</v>
      </c>
      <c r="E2180" s="142">
        <v>1223.6300000000001</v>
      </c>
      <c r="F2180" s="139">
        <v>6.5039999999999996</v>
      </c>
      <c r="G2180" s="143">
        <v>7958.49</v>
      </c>
      <c r="H2180" s="707">
        <v>173</v>
      </c>
      <c r="I2180" s="957" t="s">
        <v>2520</v>
      </c>
    </row>
    <row r="2181" spans="1:9" ht="12.75" customHeight="1" x14ac:dyDescent="0.2">
      <c r="A2181" s="130" t="str">
        <f t="shared" si="11"/>
        <v xml:space="preserve">      Mão de obra emboço interno174</v>
      </c>
      <c r="B2181" s="957" t="s">
        <v>127</v>
      </c>
      <c r="C2181" s="957" t="s">
        <v>1451</v>
      </c>
      <c r="D2181" s="957" t="s">
        <v>90</v>
      </c>
      <c r="E2181" s="142">
        <v>1341.17</v>
      </c>
      <c r="F2181" s="146">
        <v>15.5</v>
      </c>
      <c r="G2181" s="141">
        <v>20788.14</v>
      </c>
      <c r="H2181" s="116">
        <v>174</v>
      </c>
      <c r="I2181" s="957" t="s">
        <v>2521</v>
      </c>
    </row>
    <row r="2182" spans="1:9" ht="12.75" customHeight="1" x14ac:dyDescent="0.2">
      <c r="A2182" s="130" t="str">
        <f t="shared" si="11"/>
        <v xml:space="preserve">      Espala em emboço  interno175</v>
      </c>
      <c r="B2182" s="957" t="s">
        <v>128</v>
      </c>
      <c r="C2182" s="957" t="s">
        <v>2102</v>
      </c>
      <c r="D2182" s="957" t="s">
        <v>15</v>
      </c>
      <c r="E2182" s="146">
        <v>10.72</v>
      </c>
      <c r="F2182" s="146">
        <v>10.462</v>
      </c>
      <c r="G2182" s="145">
        <v>112.15</v>
      </c>
      <c r="H2182" s="707">
        <v>175</v>
      </c>
      <c r="I2182" s="957" t="s">
        <v>2522</v>
      </c>
    </row>
    <row r="2183" spans="1:9" ht="12.75" customHeight="1" x14ac:dyDescent="0.2">
      <c r="A2183" s="130" t="str">
        <f t="shared" si="11"/>
        <v xml:space="preserve">  - Reboco176</v>
      </c>
      <c r="B2183" s="137" t="s">
        <v>129</v>
      </c>
      <c r="C2183" s="137" t="s">
        <v>646</v>
      </c>
      <c r="D2183" s="137"/>
      <c r="E2183" s="138"/>
      <c r="F2183" s="138"/>
      <c r="G2183" s="681">
        <v>15029.64</v>
      </c>
      <c r="H2183" s="707">
        <v>176</v>
      </c>
      <c r="I2183" s="137" t="s">
        <v>348</v>
      </c>
    </row>
    <row r="2184" spans="1:9" ht="12.75" customHeight="1" x14ac:dyDescent="0.2">
      <c r="A2184" s="130" t="str">
        <f t="shared" si="11"/>
        <v xml:space="preserve">      Reboco interno  usinado177</v>
      </c>
      <c r="B2184" s="957" t="s">
        <v>130</v>
      </c>
      <c r="C2184" s="957" t="s">
        <v>1965</v>
      </c>
      <c r="D2184" s="957" t="s">
        <v>90</v>
      </c>
      <c r="E2184" s="144">
        <v>668.46</v>
      </c>
      <c r="F2184" s="139">
        <v>6.5039999999999996</v>
      </c>
      <c r="G2184" s="143">
        <v>4347.66</v>
      </c>
      <c r="H2184" s="116">
        <v>177</v>
      </c>
      <c r="I2184" s="957" t="s">
        <v>2523</v>
      </c>
    </row>
    <row r="2185" spans="1:9" ht="12.75" customHeight="1" x14ac:dyDescent="0.2">
      <c r="A2185" s="130" t="str">
        <f t="shared" si="11"/>
        <v xml:space="preserve">      Mão de obra reboco interno178</v>
      </c>
      <c r="B2185" s="957" t="s">
        <v>647</v>
      </c>
      <c r="C2185" s="957" t="s">
        <v>1453</v>
      </c>
      <c r="D2185" s="957" t="s">
        <v>90</v>
      </c>
      <c r="E2185" s="144">
        <v>689.16</v>
      </c>
      <c r="F2185" s="146">
        <v>15.5</v>
      </c>
      <c r="G2185" s="141">
        <v>10681.98</v>
      </c>
      <c r="H2185" s="707">
        <v>178</v>
      </c>
      <c r="I2185" s="957" t="s">
        <v>2524</v>
      </c>
    </row>
    <row r="2186" spans="1:9" ht="12.75" customHeight="1" x14ac:dyDescent="0.2">
      <c r="A2186" s="130" t="str">
        <f t="shared" si="11"/>
        <v xml:space="preserve">  - Revestimento de Gesso179</v>
      </c>
      <c r="B2186" s="137" t="s">
        <v>131</v>
      </c>
      <c r="C2186" s="137" t="s">
        <v>648</v>
      </c>
      <c r="D2186" s="137"/>
      <c r="E2186" s="138"/>
      <c r="F2186" s="138"/>
      <c r="G2186" s="681">
        <v>99877.18</v>
      </c>
      <c r="H2186" s="707">
        <v>179</v>
      </c>
      <c r="I2186" s="137" t="s">
        <v>349</v>
      </c>
    </row>
    <row r="2187" spans="1:9" ht="12.75" customHeight="1" x14ac:dyDescent="0.2">
      <c r="A2187" s="130" t="str">
        <f t="shared" si="11"/>
        <v xml:space="preserve">      Gesso liso parede e teto180</v>
      </c>
      <c r="B2187" s="957" t="s">
        <v>132</v>
      </c>
      <c r="C2187" s="957" t="s">
        <v>2263</v>
      </c>
      <c r="D2187" s="957" t="s">
        <v>90</v>
      </c>
      <c r="E2187" s="142">
        <v>4781.1000000000004</v>
      </c>
      <c r="F2187" s="146">
        <v>20.89</v>
      </c>
      <c r="G2187" s="141">
        <v>99877.18</v>
      </c>
      <c r="H2187" s="707">
        <v>180</v>
      </c>
      <c r="I2187" s="957" t="s">
        <v>2525</v>
      </c>
    </row>
    <row r="2188" spans="1:9" ht="12.75" customHeight="1" x14ac:dyDescent="0.2">
      <c r="A2188" s="130" t="str">
        <f t="shared" si="11"/>
        <v xml:space="preserve">  - Cerâmica/Porcelanato181</v>
      </c>
      <c r="B2188" s="137" t="s">
        <v>649</v>
      </c>
      <c r="C2188" s="137" t="s">
        <v>650</v>
      </c>
      <c r="D2188" s="137"/>
      <c r="E2188" s="138"/>
      <c r="F2188" s="138"/>
      <c r="G2188" s="681">
        <v>95130.77</v>
      </c>
      <c r="H2188" s="707">
        <v>181</v>
      </c>
      <c r="I2188" s="137" t="s">
        <v>350</v>
      </c>
    </row>
    <row r="2189" spans="1:9" ht="12.75" customHeight="1" x14ac:dyDescent="0.2">
      <c r="A2189" s="130" t="str">
        <f t="shared" si="11"/>
        <v xml:space="preserve">    - Revestimento parede Cerâmica/Porcelanato182</v>
      </c>
      <c r="B2189" s="137" t="s">
        <v>1454</v>
      </c>
      <c r="C2189" s="137" t="s">
        <v>1455</v>
      </c>
      <c r="D2189" s="137"/>
      <c r="E2189" s="138"/>
      <c r="F2189" s="138"/>
      <c r="G2189" s="681">
        <v>87444.89</v>
      </c>
      <c r="H2189" s="707">
        <v>182</v>
      </c>
      <c r="I2189" s="137" t="s">
        <v>1574</v>
      </c>
    </row>
    <row r="2190" spans="1:9" ht="12.75" customHeight="1" x14ac:dyDescent="0.2">
      <c r="A2190" s="130" t="str">
        <f t="shared" si="11"/>
        <v xml:space="preserve">      Revestimento em Porcelanato 32x60 cm - ars, lavabo, cozinha, área serv., is. (Originale Bianco Retificado Biancogres)183</v>
      </c>
      <c r="B2190" s="957" t="s">
        <v>1456</v>
      </c>
      <c r="C2190" s="957" t="s">
        <v>2264</v>
      </c>
      <c r="D2190" s="957" t="s">
        <v>90</v>
      </c>
      <c r="E2190" s="142">
        <v>1191.24</v>
      </c>
      <c r="F2190" s="146">
        <v>27.378499999999999</v>
      </c>
      <c r="G2190" s="141">
        <v>32614.36</v>
      </c>
      <c r="H2190" s="116">
        <v>183</v>
      </c>
      <c r="I2190" s="957" t="s">
        <v>2526</v>
      </c>
    </row>
    <row r="2191" spans="1:9" ht="12.75" customHeight="1" x14ac:dyDescent="0.2">
      <c r="A2191" s="130" t="str">
        <f t="shared" si="11"/>
        <v xml:space="preserve">      Revestimento em tijolinho texturizado 10x21 cm - salão de festas, espaço gourmet184</v>
      </c>
      <c r="B2191" s="957" t="s">
        <v>1458</v>
      </c>
      <c r="C2191" s="957" t="s">
        <v>2265</v>
      </c>
      <c r="D2191" s="957" t="s">
        <v>90</v>
      </c>
      <c r="E2191" s="146">
        <v>65.5</v>
      </c>
      <c r="F2191" s="146">
        <v>33.976700000000001</v>
      </c>
      <c r="G2191" s="143">
        <v>2225.4699999999998</v>
      </c>
      <c r="H2191" s="707">
        <v>184</v>
      </c>
      <c r="I2191" s="957" t="s">
        <v>2527</v>
      </c>
    </row>
    <row r="2192" spans="1:9" ht="12.75" customHeight="1" x14ac:dyDescent="0.2">
      <c r="A2192" s="130" t="str">
        <f t="shared" si="11"/>
        <v xml:space="preserve">      Revestimento Max focus white nat 20x20 cm - salão de festas, espaço gourmet185</v>
      </c>
      <c r="B2192" s="957" t="s">
        <v>1459</v>
      </c>
      <c r="C2192" s="957" t="s">
        <v>2266</v>
      </c>
      <c r="D2192" s="957" t="s">
        <v>90</v>
      </c>
      <c r="E2192" s="146">
        <v>25.2</v>
      </c>
      <c r="F2192" s="144">
        <v>183.572</v>
      </c>
      <c r="G2192" s="143">
        <v>4626.01</v>
      </c>
      <c r="H2192" s="707">
        <v>185</v>
      </c>
      <c r="I2192" s="957" t="s">
        <v>2528</v>
      </c>
    </row>
    <row r="2193" spans="1:9" ht="12.75" customHeight="1" x14ac:dyDescent="0.2">
      <c r="A2193" s="130" t="str">
        <f t="shared" si="11"/>
        <v xml:space="preserve">      Revestimento Porcelanato branco 10x20 cm - lavabos térreo186</v>
      </c>
      <c r="B2193" s="957" t="s">
        <v>2103</v>
      </c>
      <c r="C2193" s="957" t="s">
        <v>2267</v>
      </c>
      <c r="D2193" s="957" t="s">
        <v>90</v>
      </c>
      <c r="E2193" s="146">
        <v>15.16</v>
      </c>
      <c r="F2193" s="146">
        <v>37.667000000000002</v>
      </c>
      <c r="G2193" s="145">
        <v>571.03</v>
      </c>
      <c r="H2193" s="707">
        <v>186</v>
      </c>
      <c r="I2193" s="957" t="s">
        <v>2529</v>
      </c>
    </row>
    <row r="2194" spans="1:9" ht="12.75" customHeight="1" x14ac:dyDescent="0.2">
      <c r="A2194" s="130" t="str">
        <f t="shared" si="11"/>
        <v xml:space="preserve">      Mão de obra de revestimento cerâmico/azulejado187</v>
      </c>
      <c r="B2194" s="957" t="s">
        <v>2104</v>
      </c>
      <c r="C2194" s="957" t="s">
        <v>482</v>
      </c>
      <c r="D2194" s="957" t="s">
        <v>90</v>
      </c>
      <c r="E2194" s="142">
        <v>1411.7</v>
      </c>
      <c r="F2194" s="146">
        <v>26.21</v>
      </c>
      <c r="G2194" s="141">
        <v>37000.660000000003</v>
      </c>
      <c r="H2194" s="116">
        <v>187</v>
      </c>
      <c r="I2194" s="957" t="s">
        <v>1575</v>
      </c>
    </row>
    <row r="2195" spans="1:9" ht="12.75" customHeight="1" x14ac:dyDescent="0.2">
      <c r="A2195" s="130" t="str">
        <f t="shared" si="11"/>
        <v xml:space="preserve">      Revestimento em pastilha Barlavento portobello gris 29,5x29,5   - piscina188</v>
      </c>
      <c r="B2195" s="957" t="s">
        <v>2268</v>
      </c>
      <c r="C2195" s="957" t="s">
        <v>2110</v>
      </c>
      <c r="D2195" s="957" t="s">
        <v>90</v>
      </c>
      <c r="E2195" s="146">
        <v>29.96</v>
      </c>
      <c r="F2195" s="144">
        <v>216.77</v>
      </c>
      <c r="G2195" s="143">
        <v>6494.43</v>
      </c>
      <c r="H2195" s="707">
        <v>188</v>
      </c>
      <c r="I2195" s="957" t="s">
        <v>2530</v>
      </c>
    </row>
    <row r="2196" spans="1:9" ht="12.75" customHeight="1" x14ac:dyDescent="0.2">
      <c r="A2196" s="130" t="str">
        <f t="shared" si="11"/>
        <v xml:space="preserve">      Espala Revestimento Porcelanato Barlavento portobello gris 29,5x29,5 - piscina,sauna189</v>
      </c>
      <c r="B2196" s="957" t="s">
        <v>2269</v>
      </c>
      <c r="C2196" s="957" t="s">
        <v>2111</v>
      </c>
      <c r="D2196" s="957" t="s">
        <v>15</v>
      </c>
      <c r="E2196" s="146">
        <v>29.96</v>
      </c>
      <c r="F2196" s="146">
        <v>97.605000000000004</v>
      </c>
      <c r="G2196" s="143">
        <v>2924.25</v>
      </c>
      <c r="H2196" s="707">
        <v>189</v>
      </c>
      <c r="I2196" s="957" t="s">
        <v>2531</v>
      </c>
    </row>
    <row r="2197" spans="1:9" ht="12.75" customHeight="1" x14ac:dyDescent="0.2">
      <c r="A2197" s="130" t="str">
        <f t="shared" si="11"/>
        <v xml:space="preserve">      Mão de obra de revestimento pastilha parede190</v>
      </c>
      <c r="B2197" s="957" t="s">
        <v>2270</v>
      </c>
      <c r="C2197" s="957" t="s">
        <v>2271</v>
      </c>
      <c r="D2197" s="957" t="s">
        <v>90</v>
      </c>
      <c r="E2197" s="146">
        <v>29.96</v>
      </c>
      <c r="F2197" s="146">
        <v>33</v>
      </c>
      <c r="G2197" s="145">
        <v>988.68</v>
      </c>
      <c r="H2197" s="707">
        <v>190</v>
      </c>
      <c r="I2197" s="957" t="s">
        <v>2532</v>
      </c>
    </row>
    <row r="2198" spans="1:9" ht="12.75" customHeight="1" x14ac:dyDescent="0.2">
      <c r="A2198" s="130" t="str">
        <f t="shared" si="11"/>
        <v xml:space="preserve">    - Espala parede Cerâmica/Porcelanato191</v>
      </c>
      <c r="B2198" s="137" t="s">
        <v>1460</v>
      </c>
      <c r="C2198" s="137" t="s">
        <v>1461</v>
      </c>
      <c r="D2198" s="137"/>
      <c r="E2198" s="138"/>
      <c r="F2198" s="138"/>
      <c r="G2198" s="684">
        <v>253.48</v>
      </c>
      <c r="H2198" s="707">
        <v>191</v>
      </c>
      <c r="I2198" s="137" t="s">
        <v>1576</v>
      </c>
    </row>
    <row r="2199" spans="1:9" ht="12.75" customHeight="1" x14ac:dyDescent="0.2">
      <c r="A2199" s="130" t="str">
        <f t="shared" si="11"/>
        <v xml:space="preserve">      Espala em Porcelanato 32x60 cm - Biancogrês Originale192</v>
      </c>
      <c r="B2199" s="957" t="s">
        <v>1462</v>
      </c>
      <c r="C2199" s="957" t="s">
        <v>1966</v>
      </c>
      <c r="D2199" s="957" t="s">
        <v>15</v>
      </c>
      <c r="E2199" s="146">
        <v>10.72</v>
      </c>
      <c r="F2199" s="146">
        <v>10.446099999999999</v>
      </c>
      <c r="G2199" s="145">
        <v>111.98</v>
      </c>
      <c r="H2199" s="707">
        <v>192</v>
      </c>
      <c r="I2199" s="957" t="s">
        <v>1956</v>
      </c>
    </row>
    <row r="2200" spans="1:9" ht="12.75" customHeight="1" x14ac:dyDescent="0.2">
      <c r="A2200" s="130" t="str">
        <f t="shared" si="11"/>
        <v xml:space="preserve">      Mão de obra de Espala revestimento cerâmico/azulejado193</v>
      </c>
      <c r="B2200" s="957" t="s">
        <v>2105</v>
      </c>
      <c r="C2200" s="957" t="s">
        <v>2106</v>
      </c>
      <c r="D2200" s="957" t="s">
        <v>15</v>
      </c>
      <c r="E2200" s="146">
        <v>10.72</v>
      </c>
      <c r="F2200" s="146">
        <v>13.2</v>
      </c>
      <c r="G2200" s="145">
        <v>141.5</v>
      </c>
      <c r="H2200" s="707">
        <v>193</v>
      </c>
      <c r="I2200" s="957" t="s">
        <v>2022</v>
      </c>
    </row>
    <row r="2201" spans="1:9" ht="12.75" customHeight="1" x14ac:dyDescent="0.2">
      <c r="A2201" s="130" t="str">
        <f t="shared" ref="A2201:A2264" si="12">I2201&amp;H2201</f>
        <v xml:space="preserve">    - Rejunte parede Cerâmica/Porcelanato194</v>
      </c>
      <c r="B2201" s="137" t="s">
        <v>1464</v>
      </c>
      <c r="C2201" s="137" t="s">
        <v>1465</v>
      </c>
      <c r="D2201" s="137"/>
      <c r="E2201" s="138"/>
      <c r="F2201" s="138"/>
      <c r="G2201" s="685">
        <v>7182.88</v>
      </c>
      <c r="H2201" s="707">
        <v>194</v>
      </c>
      <c r="I2201" s="137" t="s">
        <v>1577</v>
      </c>
    </row>
    <row r="2202" spans="1:9" ht="12.75" customHeight="1" x14ac:dyDescent="0.2">
      <c r="A2202" s="130" t="str">
        <f t="shared" si="12"/>
        <v xml:space="preserve">      Rejunte de cerâmica 32x60 cm195</v>
      </c>
      <c r="B2202" s="957" t="s">
        <v>1466</v>
      </c>
      <c r="C2202" s="957" t="s">
        <v>1967</v>
      </c>
      <c r="D2202" s="957" t="s">
        <v>90</v>
      </c>
      <c r="E2202" s="142">
        <v>1191.24</v>
      </c>
      <c r="F2202" s="139">
        <v>0.188</v>
      </c>
      <c r="G2202" s="145">
        <v>223.95</v>
      </c>
      <c r="H2202" s="116">
        <v>195</v>
      </c>
      <c r="I2202" s="957" t="s">
        <v>1957</v>
      </c>
    </row>
    <row r="2203" spans="1:9" ht="12.75" customHeight="1" x14ac:dyDescent="0.2">
      <c r="A2203" s="130" t="str">
        <f t="shared" si="12"/>
        <v xml:space="preserve">      Rejunte de porcelanato 29,5x29,5 cm196</v>
      </c>
      <c r="B2203" s="957" t="s">
        <v>1467</v>
      </c>
      <c r="C2203" s="957" t="s">
        <v>2082</v>
      </c>
      <c r="D2203" s="957" t="s">
        <v>90</v>
      </c>
      <c r="E2203" s="146">
        <v>29.96</v>
      </c>
      <c r="F2203" s="139">
        <v>0.23499999999999999</v>
      </c>
      <c r="G2203" s="148">
        <v>7.04</v>
      </c>
      <c r="H2203" s="116">
        <v>196</v>
      </c>
      <c r="I2203" s="957" t="s">
        <v>2020</v>
      </c>
    </row>
    <row r="2204" spans="1:9" ht="12.75" customHeight="1" x14ac:dyDescent="0.2">
      <c r="A2204" s="130" t="str">
        <f t="shared" si="12"/>
        <v xml:space="preserve">      Rejunte de Porcelanato 20x20 cm197</v>
      </c>
      <c r="B2204" s="957" t="s">
        <v>2107</v>
      </c>
      <c r="C2204" s="957" t="s">
        <v>2272</v>
      </c>
      <c r="D2204" s="957" t="s">
        <v>90</v>
      </c>
      <c r="E2204" s="146">
        <v>25.2</v>
      </c>
      <c r="F2204" s="139">
        <v>0.376</v>
      </c>
      <c r="G2204" s="148">
        <v>9.48</v>
      </c>
      <c r="H2204" s="707">
        <v>197</v>
      </c>
      <c r="I2204" s="957" t="s">
        <v>2533</v>
      </c>
    </row>
    <row r="2205" spans="1:9" ht="12.75" customHeight="1" x14ac:dyDescent="0.2">
      <c r="A2205" s="130" t="str">
        <f t="shared" si="12"/>
        <v xml:space="preserve">      Rejunte de Porcelanato 10x20 cm198</v>
      </c>
      <c r="B2205" s="957" t="s">
        <v>2108</v>
      </c>
      <c r="C2205" s="957" t="s">
        <v>2273</v>
      </c>
      <c r="D2205" s="957" t="s">
        <v>90</v>
      </c>
      <c r="E2205" s="146">
        <v>80.66</v>
      </c>
      <c r="F2205" s="139">
        <v>0.51700000000000002</v>
      </c>
      <c r="G2205" s="147">
        <v>41.7</v>
      </c>
      <c r="H2205" s="707">
        <v>198</v>
      </c>
      <c r="I2205" s="957" t="s">
        <v>2534</v>
      </c>
    </row>
    <row r="2206" spans="1:9" ht="12.75" customHeight="1" x14ac:dyDescent="0.2">
      <c r="A2206" s="130" t="str">
        <f t="shared" si="12"/>
        <v xml:space="preserve">      Mão de obra rejunte porcelanato parede199</v>
      </c>
      <c r="B2206" s="957" t="s">
        <v>2109</v>
      </c>
      <c r="C2206" s="957" t="s">
        <v>2274</v>
      </c>
      <c r="D2206" s="957" t="s">
        <v>90</v>
      </c>
      <c r="E2206" s="142">
        <v>1327.06</v>
      </c>
      <c r="F2206" s="139">
        <v>5.2</v>
      </c>
      <c r="G2206" s="143">
        <v>6900.71</v>
      </c>
      <c r="H2206" s="116">
        <v>199</v>
      </c>
      <c r="I2206" s="957" t="s">
        <v>2535</v>
      </c>
    </row>
    <row r="2207" spans="1:9" ht="12.75" customHeight="1" x14ac:dyDescent="0.2">
      <c r="A2207" s="130" t="str">
        <f t="shared" si="12"/>
        <v xml:space="preserve">    - Outros parede Cerâmica/Porcelanato200</v>
      </c>
      <c r="B2207" s="137" t="s">
        <v>1468</v>
      </c>
      <c r="C2207" s="137" t="s">
        <v>1469</v>
      </c>
      <c r="D2207" s="137"/>
      <c r="E2207" s="138"/>
      <c r="F2207" s="138"/>
      <c r="G2207" s="684">
        <v>249.52</v>
      </c>
      <c r="H2207" s="707">
        <v>200</v>
      </c>
      <c r="I2207" s="137" t="s">
        <v>1578</v>
      </c>
    </row>
    <row r="2208" spans="1:9" ht="12.75" customHeight="1" x14ac:dyDescent="0.2">
      <c r="A2208" s="130" t="str">
        <f t="shared" si="12"/>
        <v xml:space="preserve">      Cantoneira em PVC para quinas vivas201</v>
      </c>
      <c r="B2208" s="957" t="s">
        <v>1470</v>
      </c>
      <c r="C2208" s="957" t="s">
        <v>1471</v>
      </c>
      <c r="D2208" s="957" t="s">
        <v>15</v>
      </c>
      <c r="E2208" s="146">
        <v>33.36</v>
      </c>
      <c r="F2208" s="139">
        <v>7.4798</v>
      </c>
      <c r="G2208" s="145">
        <v>249.52</v>
      </c>
      <c r="H2208" s="707">
        <v>201</v>
      </c>
      <c r="I2208" s="957" t="s">
        <v>1579</v>
      </c>
    </row>
    <row r="2209" spans="1:9" ht="12.75" customHeight="1" x14ac:dyDescent="0.2">
      <c r="A2209" s="130" t="str">
        <f t="shared" si="12"/>
        <v xml:space="preserve">  - Mármore/ Granito202</v>
      </c>
      <c r="B2209" s="137" t="s">
        <v>651</v>
      </c>
      <c r="C2209" s="137" t="s">
        <v>652</v>
      </c>
      <c r="D2209" s="137"/>
      <c r="E2209" s="138"/>
      <c r="F2209" s="138"/>
      <c r="G2209" s="681">
        <v>11445.46</v>
      </c>
      <c r="H2209" s="707">
        <v>202</v>
      </c>
      <c r="I2209" s="137" t="s">
        <v>351</v>
      </c>
    </row>
    <row r="2210" spans="1:9" ht="12.75" customHeight="1" x14ac:dyDescent="0.2">
      <c r="A2210" s="130" t="str">
        <f t="shared" si="12"/>
        <v xml:space="preserve">      Moldura em mármore Bege Bahia - elevador203</v>
      </c>
      <c r="B2210" s="957" t="s">
        <v>653</v>
      </c>
      <c r="C2210" s="957" t="s">
        <v>1473</v>
      </c>
      <c r="D2210" s="957" t="s">
        <v>15</v>
      </c>
      <c r="E2210" s="146">
        <v>98.1</v>
      </c>
      <c r="F2210" s="144">
        <v>116.67140000000001</v>
      </c>
      <c r="G2210" s="141">
        <v>11445.46</v>
      </c>
      <c r="H2210" s="116">
        <v>203</v>
      </c>
      <c r="I2210" s="957" t="s">
        <v>2536</v>
      </c>
    </row>
    <row r="2211" spans="1:9" ht="12.75" customHeight="1" x14ac:dyDescent="0.2">
      <c r="A2211" s="130" t="str">
        <f t="shared" si="12"/>
        <v xml:space="preserve">  - Madeira204</v>
      </c>
      <c r="B2211" s="137" t="s">
        <v>1474</v>
      </c>
      <c r="C2211" s="137" t="s">
        <v>116</v>
      </c>
      <c r="D2211" s="137"/>
      <c r="E2211" s="138"/>
      <c r="F2211" s="138"/>
      <c r="G2211" s="681">
        <v>14748.53</v>
      </c>
      <c r="H2211" s="707">
        <v>204</v>
      </c>
      <c r="I2211" s="137" t="s">
        <v>264</v>
      </c>
    </row>
    <row r="2212" spans="1:9" ht="12.75" customHeight="1" x14ac:dyDescent="0.2">
      <c r="A2212" s="130" t="str">
        <f t="shared" si="12"/>
        <v xml:space="preserve">      Revestimento de parede acústico em madeira -  portaria205</v>
      </c>
      <c r="B2212" s="957" t="s">
        <v>1475</v>
      </c>
      <c r="C2212" s="957" t="s">
        <v>2275</v>
      </c>
      <c r="D2212" s="957" t="s">
        <v>90</v>
      </c>
      <c r="E2212" s="146">
        <v>18.899999999999999</v>
      </c>
      <c r="F2212" s="144">
        <v>424.91390000000001</v>
      </c>
      <c r="G2212" s="143">
        <v>8030.87</v>
      </c>
      <c r="H2212" s="707">
        <v>205</v>
      </c>
      <c r="I2212" s="957" t="s">
        <v>2537</v>
      </c>
    </row>
    <row r="2213" spans="1:9" ht="12.75" customHeight="1" x14ac:dyDescent="0.2">
      <c r="A2213" s="130" t="str">
        <f t="shared" si="12"/>
        <v xml:space="preserve">      Revestimento de parede acústico em madeira Ambi Brasil Ambi 32.3 -  fitness206</v>
      </c>
      <c r="B2213" s="957" t="s">
        <v>1476</v>
      </c>
      <c r="C2213" s="957" t="s">
        <v>2276</v>
      </c>
      <c r="D2213" s="957" t="s">
        <v>90</v>
      </c>
      <c r="E2213" s="146">
        <v>29.29</v>
      </c>
      <c r="F2213" s="144">
        <v>229.34989999999999</v>
      </c>
      <c r="G2213" s="143">
        <v>6717.66</v>
      </c>
      <c r="H2213" s="707">
        <v>206</v>
      </c>
      <c r="I2213" s="957" t="s">
        <v>2538</v>
      </c>
    </row>
    <row r="2214" spans="1:9" ht="12.75" customHeight="1" x14ac:dyDescent="0.2">
      <c r="A2214" s="130" t="str">
        <f t="shared" si="12"/>
        <v>- REVESTIMENTO DE TETO207</v>
      </c>
      <c r="B2214" s="137" t="s">
        <v>133</v>
      </c>
      <c r="C2214" s="137" t="s">
        <v>654</v>
      </c>
      <c r="D2214" s="137"/>
      <c r="E2214" s="138"/>
      <c r="F2214" s="138"/>
      <c r="G2214" s="681">
        <v>43276.78</v>
      </c>
      <c r="H2214" s="116">
        <v>207</v>
      </c>
      <c r="I2214" s="137" t="s">
        <v>352</v>
      </c>
    </row>
    <row r="2215" spans="1:9" ht="12.75" customHeight="1" x14ac:dyDescent="0.2">
      <c r="A2215" s="130" t="str">
        <f t="shared" si="12"/>
        <v xml:space="preserve">  - Gesso208</v>
      </c>
      <c r="B2215" s="137" t="s">
        <v>239</v>
      </c>
      <c r="C2215" s="137" t="s">
        <v>655</v>
      </c>
      <c r="D2215" s="137"/>
      <c r="E2215" s="138"/>
      <c r="F2215" s="138"/>
      <c r="G2215" s="681">
        <v>43276.78</v>
      </c>
      <c r="H2215" s="707">
        <v>208</v>
      </c>
      <c r="I2215" s="137" t="s">
        <v>353</v>
      </c>
    </row>
    <row r="2216" spans="1:9" ht="12.75" customHeight="1" x14ac:dyDescent="0.2">
      <c r="A2216" s="130" t="str">
        <f t="shared" si="12"/>
        <v xml:space="preserve">      Forro de gesso acartonado209</v>
      </c>
      <c r="B2216" s="957" t="s">
        <v>240</v>
      </c>
      <c r="C2216" s="957" t="s">
        <v>2112</v>
      </c>
      <c r="D2216" s="957" t="s">
        <v>90</v>
      </c>
      <c r="E2216" s="144">
        <v>501.94</v>
      </c>
      <c r="F2216" s="146">
        <v>37</v>
      </c>
      <c r="G2216" s="141">
        <v>18571.78</v>
      </c>
      <c r="H2216" s="116">
        <v>209</v>
      </c>
      <c r="I2216" s="957" t="s">
        <v>2539</v>
      </c>
    </row>
    <row r="2217" spans="1:9" ht="12.75" customHeight="1" x14ac:dyDescent="0.2">
      <c r="A2217" s="130" t="str">
        <f t="shared" si="12"/>
        <v xml:space="preserve">      Forro de gesso  com manta acústica210</v>
      </c>
      <c r="B2217" s="957" t="s">
        <v>241</v>
      </c>
      <c r="C2217" s="957" t="s">
        <v>2277</v>
      </c>
      <c r="D2217" s="957" t="s">
        <v>90</v>
      </c>
      <c r="E2217" s="146">
        <v>65.36</v>
      </c>
      <c r="F2217" s="144">
        <v>190</v>
      </c>
      <c r="G2217" s="141">
        <v>12418.4</v>
      </c>
      <c r="H2217" s="116">
        <v>210</v>
      </c>
      <c r="I2217" s="957" t="s">
        <v>2540</v>
      </c>
    </row>
    <row r="2218" spans="1:9" ht="12.75" customHeight="1" x14ac:dyDescent="0.2">
      <c r="A2218" s="130" t="str">
        <f t="shared" si="12"/>
        <v xml:space="preserve">      Junta metálica para forro211</v>
      </c>
      <c r="B2218" s="957" t="s">
        <v>656</v>
      </c>
      <c r="C2218" s="957" t="s">
        <v>489</v>
      </c>
      <c r="D2218" s="957" t="s">
        <v>15</v>
      </c>
      <c r="E2218" s="144">
        <v>955.66</v>
      </c>
      <c r="F2218" s="146">
        <v>10</v>
      </c>
      <c r="G2218" s="143">
        <v>9556.6</v>
      </c>
      <c r="H2218" s="707">
        <v>211</v>
      </c>
      <c r="I2218" s="957" t="s">
        <v>2541</v>
      </c>
    </row>
    <row r="2219" spans="1:9" ht="12.75" customHeight="1" x14ac:dyDescent="0.2">
      <c r="A2219" s="130" t="str">
        <f t="shared" si="12"/>
        <v xml:space="preserve">      Caixote em gesso212</v>
      </c>
      <c r="B2219" s="957" t="s">
        <v>657</v>
      </c>
      <c r="C2219" s="957" t="s">
        <v>2278</v>
      </c>
      <c r="D2219" s="957" t="s">
        <v>15</v>
      </c>
      <c r="E2219" s="146">
        <v>78</v>
      </c>
      <c r="F2219" s="146">
        <v>35</v>
      </c>
      <c r="G2219" s="143">
        <v>2730</v>
      </c>
      <c r="H2219" s="707">
        <v>212</v>
      </c>
      <c r="I2219" s="957" t="s">
        <v>2542</v>
      </c>
    </row>
    <row r="2220" spans="1:9" ht="12.75" customHeight="1" x14ac:dyDescent="0.2">
      <c r="A2220" s="130" t="str">
        <f t="shared" si="12"/>
        <v>- REVESTIMENTO EXTERNO213</v>
      </c>
      <c r="B2220" s="137" t="s">
        <v>134</v>
      </c>
      <c r="C2220" s="137" t="s">
        <v>1</v>
      </c>
      <c r="D2220" s="137"/>
      <c r="E2220" s="138"/>
      <c r="F2220" s="138"/>
      <c r="G2220" s="680">
        <v>385076.31</v>
      </c>
      <c r="H2220" s="707">
        <v>213</v>
      </c>
      <c r="I2220" s="137" t="s">
        <v>59</v>
      </c>
    </row>
    <row r="2221" spans="1:9" ht="12.75" customHeight="1" x14ac:dyDescent="0.2">
      <c r="A2221" s="130" t="str">
        <f t="shared" si="12"/>
        <v xml:space="preserve">  - Chapisco externo214</v>
      </c>
      <c r="B2221" s="137" t="s">
        <v>135</v>
      </c>
      <c r="C2221" s="137" t="s">
        <v>478</v>
      </c>
      <c r="D2221" s="137"/>
      <c r="E2221" s="138"/>
      <c r="F2221" s="138"/>
      <c r="G2221" s="681">
        <v>10117.76</v>
      </c>
      <c r="H2221" s="707">
        <v>214</v>
      </c>
      <c r="I2221" s="137" t="s">
        <v>1580</v>
      </c>
    </row>
    <row r="2222" spans="1:9" ht="12.75" customHeight="1" x14ac:dyDescent="0.2">
      <c r="A2222" s="130" t="str">
        <f t="shared" si="12"/>
        <v xml:space="preserve">      Chapisco externo215</v>
      </c>
      <c r="B2222" s="957" t="s">
        <v>136</v>
      </c>
      <c r="C2222" s="957" t="s">
        <v>478</v>
      </c>
      <c r="D2222" s="957" t="s">
        <v>90</v>
      </c>
      <c r="E2222" s="142">
        <v>1154.52</v>
      </c>
      <c r="F2222" s="139">
        <v>7.0453999999999999</v>
      </c>
      <c r="G2222" s="143">
        <v>8134.06</v>
      </c>
      <c r="H2222" s="707">
        <v>215</v>
      </c>
      <c r="I2222" s="957" t="s">
        <v>2544</v>
      </c>
    </row>
    <row r="2223" spans="1:9" ht="12.75" customHeight="1" x14ac:dyDescent="0.2">
      <c r="A2223" s="130" t="str">
        <f t="shared" si="12"/>
        <v xml:space="preserve">      Chapisco externo - muros216</v>
      </c>
      <c r="B2223" s="957" t="s">
        <v>2279</v>
      </c>
      <c r="C2223" s="957" t="s">
        <v>2280</v>
      </c>
      <c r="D2223" s="957" t="s">
        <v>90</v>
      </c>
      <c r="E2223" s="144">
        <v>281.56</v>
      </c>
      <c r="F2223" s="139">
        <v>7.0453999999999999</v>
      </c>
      <c r="G2223" s="143">
        <v>1983.7</v>
      </c>
      <c r="H2223" s="116">
        <v>216</v>
      </c>
      <c r="I2223" s="957" t="s">
        <v>2545</v>
      </c>
    </row>
    <row r="2224" spans="1:9" ht="12.75" customHeight="1" x14ac:dyDescent="0.2">
      <c r="A2224" s="130" t="str">
        <f t="shared" si="12"/>
        <v xml:space="preserve">  - Reboco externo217</v>
      </c>
      <c r="B2224" s="137" t="s">
        <v>137</v>
      </c>
      <c r="C2224" s="137" t="s">
        <v>480</v>
      </c>
      <c r="D2224" s="137"/>
      <c r="E2224" s="138"/>
      <c r="F2224" s="138"/>
      <c r="G2224" s="681">
        <v>66488.11</v>
      </c>
      <c r="H2224" s="707">
        <v>217</v>
      </c>
      <c r="I2224" s="137" t="s">
        <v>354</v>
      </c>
    </row>
    <row r="2225" spans="1:9" ht="12.75" customHeight="1" x14ac:dyDescent="0.2">
      <c r="A2225" s="130" t="str">
        <f t="shared" si="12"/>
        <v xml:space="preserve">      Reboco externo usinado218</v>
      </c>
      <c r="B2225" s="957" t="s">
        <v>138</v>
      </c>
      <c r="C2225" s="957" t="s">
        <v>1968</v>
      </c>
      <c r="D2225" s="957" t="s">
        <v>90</v>
      </c>
      <c r="E2225" s="142">
        <v>1484.62</v>
      </c>
      <c r="F2225" s="139">
        <v>7.65</v>
      </c>
      <c r="G2225" s="141">
        <v>11357.34</v>
      </c>
      <c r="H2225" s="707">
        <v>218</v>
      </c>
      <c r="I2225" s="957" t="s">
        <v>2546</v>
      </c>
    </row>
    <row r="2226" spans="1:9" ht="12.75" customHeight="1" x14ac:dyDescent="0.2">
      <c r="A2226" s="130" t="str">
        <f t="shared" si="12"/>
        <v xml:space="preserve">      Reboco externo usinado - muros219</v>
      </c>
      <c r="B2226" s="957" t="s">
        <v>139</v>
      </c>
      <c r="C2226" s="957" t="s">
        <v>2281</v>
      </c>
      <c r="D2226" s="957" t="s">
        <v>90</v>
      </c>
      <c r="E2226" s="144">
        <v>286</v>
      </c>
      <c r="F2226" s="146">
        <v>76.5</v>
      </c>
      <c r="G2226" s="141">
        <v>21879</v>
      </c>
      <c r="H2226" s="707">
        <v>219</v>
      </c>
      <c r="I2226" s="957" t="s">
        <v>2547</v>
      </c>
    </row>
    <row r="2227" spans="1:9" ht="12.75" customHeight="1" x14ac:dyDescent="0.2">
      <c r="A2227" s="130" t="str">
        <f t="shared" si="12"/>
        <v xml:space="preserve">      Mão de obra reboco externo220</v>
      </c>
      <c r="B2227" s="957" t="s">
        <v>243</v>
      </c>
      <c r="C2227" s="957" t="s">
        <v>479</v>
      </c>
      <c r="D2227" s="957" t="s">
        <v>90</v>
      </c>
      <c r="E2227" s="142">
        <v>1485.7</v>
      </c>
      <c r="F2227" s="146">
        <v>17.87</v>
      </c>
      <c r="G2227" s="141">
        <v>26549.46</v>
      </c>
      <c r="H2227" s="707">
        <v>220</v>
      </c>
      <c r="I2227" s="957" t="s">
        <v>2548</v>
      </c>
    </row>
    <row r="2228" spans="1:9" ht="12.75" customHeight="1" x14ac:dyDescent="0.2">
      <c r="A2228" s="130" t="str">
        <f t="shared" si="12"/>
        <v xml:space="preserve">      Espala em reboco externo221</v>
      </c>
      <c r="B2228" s="957" t="s">
        <v>2282</v>
      </c>
      <c r="C2228" s="957" t="s">
        <v>2350</v>
      </c>
      <c r="D2228" s="957" t="s">
        <v>15</v>
      </c>
      <c r="E2228" s="144">
        <v>493.87</v>
      </c>
      <c r="F2228" s="146">
        <v>13.571</v>
      </c>
      <c r="G2228" s="143">
        <v>6702.31</v>
      </c>
      <c r="H2228" s="116">
        <v>221</v>
      </c>
      <c r="I2228" s="957" t="s">
        <v>2549</v>
      </c>
    </row>
    <row r="2229" spans="1:9" ht="12.75" customHeight="1" x14ac:dyDescent="0.2">
      <c r="A2229" s="130" t="str">
        <f t="shared" si="12"/>
        <v xml:space="preserve">  - Revestimentos de Fachada Aerada222</v>
      </c>
      <c r="B2229" s="137" t="s">
        <v>658</v>
      </c>
      <c r="C2229" s="137" t="s">
        <v>786</v>
      </c>
      <c r="D2229" s="137"/>
      <c r="E2229" s="138"/>
      <c r="F2229" s="138"/>
      <c r="G2229" s="680">
        <v>177194.21</v>
      </c>
      <c r="H2229" s="707">
        <v>222</v>
      </c>
      <c r="I2229" s="137" t="s">
        <v>841</v>
      </c>
    </row>
    <row r="2230" spans="1:9" ht="12.75" customHeight="1" x14ac:dyDescent="0.2">
      <c r="A2230" s="130" t="str">
        <f t="shared" si="12"/>
        <v xml:space="preserve">      Porcelanato Fachada Aerada - 60x60 cm Cemento Grigio Biancogrês223</v>
      </c>
      <c r="B2230" s="957" t="s">
        <v>659</v>
      </c>
      <c r="C2230" s="957" t="s">
        <v>2351</v>
      </c>
      <c r="D2230" s="957" t="s">
        <v>90</v>
      </c>
      <c r="E2230" s="144">
        <v>693.34</v>
      </c>
      <c r="F2230" s="146">
        <v>69.157200000000003</v>
      </c>
      <c r="G2230" s="141">
        <v>47949.45</v>
      </c>
      <c r="H2230" s="707">
        <v>223</v>
      </c>
      <c r="I2230" s="957" t="s">
        <v>2550</v>
      </c>
    </row>
    <row r="2231" spans="1:9" ht="12.75" customHeight="1" x14ac:dyDescent="0.2">
      <c r="A2231" s="130" t="str">
        <f t="shared" si="12"/>
        <v xml:space="preserve">      Espala em Porcelanato Fachada Aerada - 60x60 cm Cemento Grigio Biancogrês224</v>
      </c>
      <c r="B2231" s="957" t="s">
        <v>660</v>
      </c>
      <c r="C2231" s="957" t="s">
        <v>2352</v>
      </c>
      <c r="D2231" s="957" t="s">
        <v>15</v>
      </c>
      <c r="E2231" s="144">
        <v>952.43</v>
      </c>
      <c r="F2231" s="146">
        <v>31.322600000000001</v>
      </c>
      <c r="G2231" s="141">
        <v>29832.58</v>
      </c>
      <c r="H2231" s="707">
        <v>224</v>
      </c>
      <c r="I2231" s="957" t="s">
        <v>2551</v>
      </c>
    </row>
    <row r="2232" spans="1:9" ht="12.75" customHeight="1" x14ac:dyDescent="0.2">
      <c r="A2232" s="130" t="str">
        <f t="shared" si="12"/>
        <v xml:space="preserve">      Mão de Obra  Porcelanato aerado rejuntado225</v>
      </c>
      <c r="B2232" s="957" t="s">
        <v>2283</v>
      </c>
      <c r="C2232" s="957" t="s">
        <v>2285</v>
      </c>
      <c r="D2232" s="957" t="s">
        <v>90</v>
      </c>
      <c r="E2232" s="144">
        <v>693.34</v>
      </c>
      <c r="F2232" s="146">
        <v>85</v>
      </c>
      <c r="G2232" s="141">
        <v>58933.9</v>
      </c>
      <c r="H2232" s="707">
        <v>225</v>
      </c>
      <c r="I2232" s="957" t="s">
        <v>2552</v>
      </c>
    </row>
    <row r="2233" spans="1:9" ht="12.75" customHeight="1" x14ac:dyDescent="0.2">
      <c r="A2233" s="130" t="str">
        <f t="shared" si="12"/>
        <v xml:space="preserve">      Mão de Obra Espala Porcelanato aerado226</v>
      </c>
      <c r="B2233" s="957" t="s">
        <v>2284</v>
      </c>
      <c r="C2233" s="957" t="s">
        <v>1487</v>
      </c>
      <c r="D2233" s="957" t="s">
        <v>15</v>
      </c>
      <c r="E2233" s="144">
        <v>952.43</v>
      </c>
      <c r="F2233" s="146">
        <v>42.5</v>
      </c>
      <c r="G2233" s="141">
        <v>40478.28</v>
      </c>
      <c r="H2233" s="707">
        <v>226</v>
      </c>
      <c r="I2233" s="957" t="s">
        <v>2553</v>
      </c>
    </row>
    <row r="2234" spans="1:9" ht="12.75" customHeight="1" x14ac:dyDescent="0.2">
      <c r="A2234" s="130" t="str">
        <f t="shared" si="12"/>
        <v xml:space="preserve">  - Revestimentos de Fachada Convencional227</v>
      </c>
      <c r="B2234" s="137" t="s">
        <v>661</v>
      </c>
      <c r="C2234" s="137" t="s">
        <v>2286</v>
      </c>
      <c r="D2234" s="137"/>
      <c r="E2234" s="138"/>
      <c r="F2234" s="138"/>
      <c r="G2234" s="680">
        <v>131276.23000000001</v>
      </c>
      <c r="H2234" s="116">
        <v>227</v>
      </c>
      <c r="I2234" s="137" t="s">
        <v>2554</v>
      </c>
    </row>
    <row r="2235" spans="1:9" ht="12.75" customHeight="1" x14ac:dyDescent="0.2">
      <c r="A2235" s="130" t="str">
        <f t="shared" si="12"/>
        <v xml:space="preserve">      Porcelanato Fachada - 60x60 cm (Esmaltado Cristallo Bianco Biancogrês)228</v>
      </c>
      <c r="B2235" s="957" t="s">
        <v>662</v>
      </c>
      <c r="C2235" s="957" t="s">
        <v>2353</v>
      </c>
      <c r="D2235" s="957" t="s">
        <v>90</v>
      </c>
      <c r="E2235" s="144">
        <v>123.74</v>
      </c>
      <c r="F2235" s="146">
        <v>33.627000000000002</v>
      </c>
      <c r="G2235" s="143">
        <v>4161</v>
      </c>
      <c r="H2235" s="707">
        <v>228</v>
      </c>
      <c r="I2235" s="957" t="s">
        <v>2555</v>
      </c>
    </row>
    <row r="2236" spans="1:9" ht="12.75" customHeight="1" x14ac:dyDescent="0.2">
      <c r="A2236" s="130" t="str">
        <f t="shared" si="12"/>
        <v xml:space="preserve">      Espala em Porcelanato Fachada - 60x60 cm Cemento Grigio Biancogrês229</v>
      </c>
      <c r="B2236" s="957" t="s">
        <v>663</v>
      </c>
      <c r="C2236" s="957" t="s">
        <v>2354</v>
      </c>
      <c r="D2236" s="957" t="s">
        <v>15</v>
      </c>
      <c r="E2236" s="146">
        <v>77.099999999999994</v>
      </c>
      <c r="F2236" s="146">
        <v>29.966000000000001</v>
      </c>
      <c r="G2236" s="143">
        <v>2310.38</v>
      </c>
      <c r="H2236" s="116">
        <v>229</v>
      </c>
      <c r="I2236" s="957" t="s">
        <v>2556</v>
      </c>
    </row>
    <row r="2237" spans="1:9" ht="12.75" customHeight="1" x14ac:dyDescent="0.2">
      <c r="A2237" s="130" t="str">
        <f t="shared" si="12"/>
        <v xml:space="preserve">      Porcelanato Fachada - 8x25 cm Metal Bricks dgr Portinari230</v>
      </c>
      <c r="B2237" s="957" t="s">
        <v>1482</v>
      </c>
      <c r="C2237" s="957" t="s">
        <v>2355</v>
      </c>
      <c r="D2237" s="957" t="s">
        <v>90</v>
      </c>
      <c r="E2237" s="144">
        <v>584.87</v>
      </c>
      <c r="F2237" s="144">
        <v>114.983</v>
      </c>
      <c r="G2237" s="141">
        <v>67250.11</v>
      </c>
      <c r="H2237" s="707">
        <v>230</v>
      </c>
      <c r="I2237" s="957" t="s">
        <v>2557</v>
      </c>
    </row>
    <row r="2238" spans="1:9" ht="12.75" customHeight="1" x14ac:dyDescent="0.2">
      <c r="A2238" s="130" t="str">
        <f t="shared" si="12"/>
        <v xml:space="preserve">      Espala em Porcelanato Fachada - 8x25 cm Metal Bricks dgr Portinari231</v>
      </c>
      <c r="B2238" s="957" t="s">
        <v>1484</v>
      </c>
      <c r="C2238" s="957" t="s">
        <v>2356</v>
      </c>
      <c r="D2238" s="957" t="s">
        <v>15</v>
      </c>
      <c r="E2238" s="144">
        <v>434.18</v>
      </c>
      <c r="F2238" s="146">
        <v>44.002000000000002</v>
      </c>
      <c r="G2238" s="141">
        <v>19104.79</v>
      </c>
      <c r="H2238" s="707">
        <v>231</v>
      </c>
      <c r="I2238" s="957" t="s">
        <v>2558</v>
      </c>
    </row>
    <row r="2239" spans="1:9" ht="12.75" customHeight="1" x14ac:dyDescent="0.2">
      <c r="A2239" s="130" t="str">
        <f t="shared" si="12"/>
        <v xml:space="preserve">      Rejunte Porcelanato Fachada 60x60 cm232</v>
      </c>
      <c r="B2239" s="957" t="s">
        <v>1485</v>
      </c>
      <c r="C2239" s="957" t="s">
        <v>2287</v>
      </c>
      <c r="D2239" s="957" t="s">
        <v>90</v>
      </c>
      <c r="E2239" s="144">
        <v>123.74</v>
      </c>
      <c r="F2239" s="139">
        <v>0.188</v>
      </c>
      <c r="G2239" s="147">
        <v>23.26</v>
      </c>
      <c r="H2239" s="707">
        <v>232</v>
      </c>
      <c r="I2239" s="957" t="s">
        <v>2559</v>
      </c>
    </row>
    <row r="2240" spans="1:9" ht="12.75" customHeight="1" x14ac:dyDescent="0.2">
      <c r="A2240" s="130" t="str">
        <f t="shared" si="12"/>
        <v xml:space="preserve">      Mão de obra rejunte Porcelanato Fachada 60x60 cm233</v>
      </c>
      <c r="B2240" s="957" t="s">
        <v>1486</v>
      </c>
      <c r="C2240" s="957" t="s">
        <v>2288</v>
      </c>
      <c r="D2240" s="957" t="s">
        <v>90</v>
      </c>
      <c r="E2240" s="144">
        <v>123.74</v>
      </c>
      <c r="F2240" s="139">
        <v>5.2</v>
      </c>
      <c r="G2240" s="145">
        <v>643.45000000000005</v>
      </c>
      <c r="H2240" s="707">
        <v>233</v>
      </c>
      <c r="I2240" s="957" t="s">
        <v>2560</v>
      </c>
    </row>
    <row r="2241" spans="1:9" ht="12.75" customHeight="1" x14ac:dyDescent="0.2">
      <c r="A2241" s="130" t="str">
        <f t="shared" si="12"/>
        <v xml:space="preserve">      Rejunte Porcelanato Fachada 8x25 cm234</v>
      </c>
      <c r="B2241" s="957" t="s">
        <v>2113</v>
      </c>
      <c r="C2241" s="957" t="s">
        <v>2357</v>
      </c>
      <c r="D2241" s="957" t="s">
        <v>90</v>
      </c>
      <c r="E2241" s="144">
        <v>584.87</v>
      </c>
      <c r="F2241" s="139">
        <v>0.188</v>
      </c>
      <c r="G2241" s="145">
        <v>109.96</v>
      </c>
      <c r="H2241" s="707">
        <v>234</v>
      </c>
      <c r="I2241" s="957" t="s">
        <v>2561</v>
      </c>
    </row>
    <row r="2242" spans="1:9" ht="12.75" customHeight="1" x14ac:dyDescent="0.2">
      <c r="A2242" s="130" t="str">
        <f t="shared" si="12"/>
        <v xml:space="preserve">      Mão de obra rejunte Porcelanato Fachada 8x25 cm235</v>
      </c>
      <c r="B2242" s="957" t="s">
        <v>2114</v>
      </c>
      <c r="C2242" s="957" t="s">
        <v>2358</v>
      </c>
      <c r="D2242" s="957" t="s">
        <v>90</v>
      </c>
      <c r="E2242" s="144">
        <v>584.87</v>
      </c>
      <c r="F2242" s="139">
        <v>5.2</v>
      </c>
      <c r="G2242" s="143">
        <v>3041.32</v>
      </c>
      <c r="H2242" s="707">
        <v>235</v>
      </c>
      <c r="I2242" s="957" t="s">
        <v>2562</v>
      </c>
    </row>
    <row r="2243" spans="1:9" ht="12.75" customHeight="1" x14ac:dyDescent="0.2">
      <c r="A2243" s="130" t="str">
        <f t="shared" si="12"/>
        <v xml:space="preserve">      Mão de Obra Porcelanato fachada236</v>
      </c>
      <c r="B2243" s="957" t="s">
        <v>2115</v>
      </c>
      <c r="C2243" s="957" t="s">
        <v>1488</v>
      </c>
      <c r="D2243" s="957" t="s">
        <v>90</v>
      </c>
      <c r="E2243" s="144">
        <v>708.6</v>
      </c>
      <c r="F2243" s="146">
        <v>33</v>
      </c>
      <c r="G2243" s="141">
        <v>23383.8</v>
      </c>
      <c r="H2243" s="116">
        <v>236</v>
      </c>
      <c r="I2243" s="957" t="s">
        <v>2563</v>
      </c>
    </row>
    <row r="2244" spans="1:9" ht="12.75" customHeight="1" x14ac:dyDescent="0.2">
      <c r="A2244" s="130" t="str">
        <f t="shared" si="12"/>
        <v xml:space="preserve">      Mão de Obra Espala Porcelanato fachada237</v>
      </c>
      <c r="B2244" s="957" t="s">
        <v>2116</v>
      </c>
      <c r="C2244" s="957" t="s">
        <v>1489</v>
      </c>
      <c r="D2244" s="957" t="s">
        <v>15</v>
      </c>
      <c r="E2244" s="144">
        <v>511.28</v>
      </c>
      <c r="F2244" s="146">
        <v>22</v>
      </c>
      <c r="G2244" s="141">
        <v>11248.16</v>
      </c>
      <c r="H2244" s="707">
        <v>237</v>
      </c>
      <c r="I2244" s="957" t="s">
        <v>2564</v>
      </c>
    </row>
    <row r="2245" spans="1:9" ht="12.75" customHeight="1" x14ac:dyDescent="0.2">
      <c r="A2245" s="130" t="str">
        <f t="shared" si="12"/>
        <v>- ESQUADRIAS DE ALUMÍNIO238</v>
      </c>
      <c r="B2245" s="137" t="s">
        <v>140</v>
      </c>
      <c r="C2245" s="137" t="s">
        <v>664</v>
      </c>
      <c r="D2245" s="137"/>
      <c r="E2245" s="138"/>
      <c r="F2245" s="138"/>
      <c r="G2245" s="680">
        <v>553372.31999999995</v>
      </c>
      <c r="H2245" s="707">
        <v>238</v>
      </c>
      <c r="I2245" s="137" t="s">
        <v>355</v>
      </c>
    </row>
    <row r="2246" spans="1:9" ht="12.75" customHeight="1" x14ac:dyDescent="0.2">
      <c r="A2246" s="130" t="str">
        <f t="shared" si="12"/>
        <v xml:space="preserve">  - Esquadria em aluminio239</v>
      </c>
      <c r="B2246" s="137" t="s">
        <v>2117</v>
      </c>
      <c r="C2246" s="137" t="s">
        <v>2119</v>
      </c>
      <c r="D2246" s="137"/>
      <c r="E2246" s="138"/>
      <c r="F2246" s="138"/>
      <c r="G2246" s="680">
        <v>553372.31999999995</v>
      </c>
      <c r="H2246" s="707">
        <v>239</v>
      </c>
      <c r="I2246" s="137" t="s">
        <v>2023</v>
      </c>
    </row>
    <row r="2247" spans="1:9" ht="12.75" customHeight="1" x14ac:dyDescent="0.2">
      <c r="A2247" s="130" t="str">
        <f t="shared" si="12"/>
        <v xml:space="preserve">      Esquadrias de alumínio Anodizado Fosco 1000 / Vidros, e contramarco240</v>
      </c>
      <c r="B2247" s="957" t="s">
        <v>2118</v>
      </c>
      <c r="C2247" s="957" t="s">
        <v>2289</v>
      </c>
      <c r="D2247" s="957" t="s">
        <v>7</v>
      </c>
      <c r="E2247" s="139">
        <v>1</v>
      </c>
      <c r="F2247" s="149">
        <v>392109.61690000002</v>
      </c>
      <c r="G2247" s="683">
        <v>392109.62</v>
      </c>
      <c r="H2247" s="116">
        <v>240</v>
      </c>
      <c r="I2247" s="957" t="s">
        <v>2567</v>
      </c>
    </row>
    <row r="2248" spans="1:9" ht="12.75" customHeight="1" x14ac:dyDescent="0.2">
      <c r="A2248" s="130" t="str">
        <f t="shared" si="12"/>
        <v xml:space="preserve">      Esquadrias de vidro241</v>
      </c>
      <c r="B2248" s="957" t="s">
        <v>2290</v>
      </c>
      <c r="C2248" s="957" t="s">
        <v>2291</v>
      </c>
      <c r="D2248" s="957" t="s">
        <v>7</v>
      </c>
      <c r="E2248" s="139">
        <v>1</v>
      </c>
      <c r="F2248" s="149">
        <v>161262.70189999999</v>
      </c>
      <c r="G2248" s="683">
        <v>161262.70000000001</v>
      </c>
      <c r="H2248" s="707">
        <v>241</v>
      </c>
      <c r="I2248" s="957" t="s">
        <v>2568</v>
      </c>
    </row>
    <row r="2249" spans="1:9" ht="12.75" customHeight="1" x14ac:dyDescent="0.2">
      <c r="A2249" s="130" t="str">
        <f t="shared" si="12"/>
        <v>- ESQUADRIAS EM METALON242</v>
      </c>
      <c r="B2249" s="137" t="s">
        <v>141</v>
      </c>
      <c r="C2249" s="137" t="s">
        <v>665</v>
      </c>
      <c r="D2249" s="137"/>
      <c r="E2249" s="138"/>
      <c r="F2249" s="138"/>
      <c r="G2249" s="681">
        <v>57592.480000000003</v>
      </c>
      <c r="H2249" s="707">
        <v>242</v>
      </c>
      <c r="I2249" s="137" t="s">
        <v>356</v>
      </c>
    </row>
    <row r="2250" spans="1:9" ht="12.75" customHeight="1" x14ac:dyDescent="0.2">
      <c r="A2250" s="130" t="str">
        <f t="shared" si="12"/>
        <v xml:space="preserve">      Corrimão h= 90 cm243</v>
      </c>
      <c r="B2250" s="957" t="s">
        <v>142</v>
      </c>
      <c r="C2250" s="957" t="s">
        <v>237</v>
      </c>
      <c r="D2250" s="957" t="s">
        <v>15</v>
      </c>
      <c r="E2250" s="146">
        <v>88.09</v>
      </c>
      <c r="F2250" s="144">
        <v>101.42100000000001</v>
      </c>
      <c r="G2250" s="143">
        <v>8934.17</v>
      </c>
      <c r="H2250" s="707">
        <v>243</v>
      </c>
      <c r="I2250" s="957" t="s">
        <v>2570</v>
      </c>
    </row>
    <row r="2251" spans="1:9" ht="12.75" customHeight="1" x14ac:dyDescent="0.2">
      <c r="A2251" s="130" t="str">
        <f t="shared" si="12"/>
        <v xml:space="preserve">      Escada marinheiro244</v>
      </c>
      <c r="B2251" s="957" t="s">
        <v>143</v>
      </c>
      <c r="C2251" s="957" t="s">
        <v>495</v>
      </c>
      <c r="D2251" s="957" t="s">
        <v>15</v>
      </c>
      <c r="E2251" s="146">
        <v>10</v>
      </c>
      <c r="F2251" s="144">
        <v>179.0121</v>
      </c>
      <c r="G2251" s="143">
        <v>1790.12</v>
      </c>
      <c r="H2251" s="707">
        <v>244</v>
      </c>
      <c r="I2251" s="957" t="s">
        <v>2571</v>
      </c>
    </row>
    <row r="2252" spans="1:9" ht="12.75" customHeight="1" x14ac:dyDescent="0.2">
      <c r="A2252" s="130" t="str">
        <f t="shared" si="12"/>
        <v xml:space="preserve">      Alçapão em metalon 70 x 70 cm245</v>
      </c>
      <c r="B2252" s="957" t="s">
        <v>144</v>
      </c>
      <c r="C2252" s="957" t="s">
        <v>788</v>
      </c>
      <c r="D2252" s="957" t="s">
        <v>8</v>
      </c>
      <c r="E2252" s="139">
        <v>4</v>
      </c>
      <c r="F2252" s="144">
        <v>258.02420000000001</v>
      </c>
      <c r="G2252" s="143">
        <v>1032.0999999999999</v>
      </c>
      <c r="H2252" s="707">
        <v>245</v>
      </c>
      <c r="I2252" s="957" t="s">
        <v>2572</v>
      </c>
    </row>
    <row r="2253" spans="1:9" ht="12.75" customHeight="1" x14ac:dyDescent="0.2">
      <c r="A2253" s="130" t="str">
        <f t="shared" si="12"/>
        <v xml:space="preserve">      Porta corta fogo 80 x 210 cm246</v>
      </c>
      <c r="B2253" s="957" t="s">
        <v>666</v>
      </c>
      <c r="C2253" s="957" t="s">
        <v>1492</v>
      </c>
      <c r="D2253" s="957" t="s">
        <v>8</v>
      </c>
      <c r="E2253" s="146">
        <v>15</v>
      </c>
      <c r="F2253" s="144">
        <v>740</v>
      </c>
      <c r="G2253" s="141">
        <v>11100</v>
      </c>
      <c r="H2253" s="116">
        <v>246</v>
      </c>
      <c r="I2253" s="957" t="s">
        <v>2573</v>
      </c>
    </row>
    <row r="2254" spans="1:9" ht="12.75" customHeight="1" x14ac:dyDescent="0.2">
      <c r="A2254" s="130" t="str">
        <f t="shared" si="12"/>
        <v xml:space="preserve">      Guarda corpo metálico com corrimão h=105 cm247</v>
      </c>
      <c r="B2254" s="957" t="s">
        <v>667</v>
      </c>
      <c r="C2254" s="957" t="s">
        <v>2292</v>
      </c>
      <c r="D2254" s="957" t="s">
        <v>90</v>
      </c>
      <c r="E2254" s="146">
        <v>38.090000000000003</v>
      </c>
      <c r="F2254" s="144">
        <v>325.12099999999998</v>
      </c>
      <c r="G2254" s="141">
        <v>12383.85</v>
      </c>
      <c r="H2254" s="116">
        <v>247</v>
      </c>
      <c r="I2254" s="957" t="s">
        <v>2574</v>
      </c>
    </row>
    <row r="2255" spans="1:9" ht="12.75" customHeight="1" x14ac:dyDescent="0.2">
      <c r="A2255" s="130" t="str">
        <f t="shared" si="12"/>
        <v xml:space="preserve">      Corrimão em inox248</v>
      </c>
      <c r="B2255" s="957" t="s">
        <v>668</v>
      </c>
      <c r="C2255" s="957" t="s">
        <v>2293</v>
      </c>
      <c r="D2255" s="957" t="s">
        <v>15</v>
      </c>
      <c r="E2255" s="139">
        <v>7.32</v>
      </c>
      <c r="F2255" s="144">
        <v>450</v>
      </c>
      <c r="G2255" s="143">
        <v>3294</v>
      </c>
      <c r="H2255" s="707">
        <v>248</v>
      </c>
      <c r="I2255" s="957" t="s">
        <v>2575</v>
      </c>
    </row>
    <row r="2256" spans="1:9" ht="12.75" customHeight="1" x14ac:dyDescent="0.2">
      <c r="A2256" s="130" t="str">
        <f t="shared" si="12"/>
        <v xml:space="preserve">      Porta bicicleta metálico de parede -  10 unidades249</v>
      </c>
      <c r="B2256" s="957" t="s">
        <v>669</v>
      </c>
      <c r="C2256" s="957" t="s">
        <v>2294</v>
      </c>
      <c r="D2256" s="957" t="s">
        <v>7</v>
      </c>
      <c r="E2256" s="139">
        <v>1</v>
      </c>
      <c r="F2256" s="142">
        <v>1000</v>
      </c>
      <c r="G2256" s="143">
        <v>1000</v>
      </c>
      <c r="H2256" s="707">
        <v>249</v>
      </c>
      <c r="I2256" s="957" t="s">
        <v>2576</v>
      </c>
    </row>
    <row r="2257" spans="1:9" ht="12.75" customHeight="1" x14ac:dyDescent="0.2">
      <c r="A2257" s="130" t="str">
        <f t="shared" si="12"/>
        <v xml:space="preserve">      Estrutura em metalon para pergolado250</v>
      </c>
      <c r="B2257" s="957" t="s">
        <v>2120</v>
      </c>
      <c r="C2257" s="957" t="s">
        <v>2121</v>
      </c>
      <c r="D2257" s="957" t="s">
        <v>7</v>
      </c>
      <c r="E2257" s="139">
        <v>1</v>
      </c>
      <c r="F2257" s="142">
        <v>8000</v>
      </c>
      <c r="G2257" s="143">
        <v>8000</v>
      </c>
      <c r="H2257" s="707">
        <v>250</v>
      </c>
      <c r="I2257" s="957" t="s">
        <v>2577</v>
      </c>
    </row>
    <row r="2258" spans="1:9" ht="12.75" customHeight="1" x14ac:dyDescent="0.2">
      <c r="A2258" s="130" t="str">
        <f t="shared" si="12"/>
        <v xml:space="preserve">      Portão em metalon de abrir - 280x240 cm251</v>
      </c>
      <c r="B2258" s="957" t="s">
        <v>2295</v>
      </c>
      <c r="C2258" s="957" t="s">
        <v>2296</v>
      </c>
      <c r="D2258" s="957" t="s">
        <v>8</v>
      </c>
      <c r="E2258" s="139">
        <v>2</v>
      </c>
      <c r="F2258" s="142">
        <v>5029.1210000000001</v>
      </c>
      <c r="G2258" s="141">
        <v>10058.24</v>
      </c>
      <c r="H2258" s="707">
        <v>251</v>
      </c>
      <c r="I2258" s="957" t="s">
        <v>2578</v>
      </c>
    </row>
    <row r="2259" spans="1:9" ht="12.75" customHeight="1" x14ac:dyDescent="0.2">
      <c r="A2259" s="130" t="str">
        <f t="shared" si="12"/>
        <v>- ESQUADRIAS EM MADEIRA252</v>
      </c>
      <c r="B2259" s="137" t="s">
        <v>145</v>
      </c>
      <c r="C2259" s="137" t="s">
        <v>670</v>
      </c>
      <c r="D2259" s="137"/>
      <c r="E2259" s="138"/>
      <c r="F2259" s="138"/>
      <c r="G2259" s="681">
        <v>70971.149999999994</v>
      </c>
      <c r="H2259" s="707">
        <v>252</v>
      </c>
      <c r="I2259" s="137" t="s">
        <v>357</v>
      </c>
    </row>
    <row r="2260" spans="1:9" ht="12.75" customHeight="1" x14ac:dyDescent="0.2">
      <c r="A2260" s="130" t="str">
        <f t="shared" si="12"/>
        <v xml:space="preserve">  - Portas253</v>
      </c>
      <c r="B2260" s="137" t="s">
        <v>244</v>
      </c>
      <c r="C2260" s="137" t="s">
        <v>236</v>
      </c>
      <c r="D2260" s="137"/>
      <c r="E2260" s="138"/>
      <c r="F2260" s="138"/>
      <c r="G2260" s="681">
        <v>60668.89</v>
      </c>
      <c r="H2260" s="707">
        <v>253</v>
      </c>
      <c r="I2260" s="137" t="s">
        <v>266</v>
      </c>
    </row>
    <row r="2261" spans="1:9" ht="12.75" customHeight="1" x14ac:dyDescent="0.2">
      <c r="A2261" s="130" t="str">
        <f t="shared" si="12"/>
        <v xml:space="preserve">      Kit Porta pronta em madeira branca 60 x 210 cm - Pormade254</v>
      </c>
      <c r="B2261" s="957" t="s">
        <v>245</v>
      </c>
      <c r="C2261" s="957" t="s">
        <v>1496</v>
      </c>
      <c r="D2261" s="957" t="s">
        <v>8</v>
      </c>
      <c r="E2261" s="146">
        <v>29</v>
      </c>
      <c r="F2261" s="144">
        <v>362.935</v>
      </c>
      <c r="G2261" s="141">
        <v>10525.12</v>
      </c>
      <c r="H2261" s="707">
        <v>254</v>
      </c>
      <c r="I2261" s="957" t="s">
        <v>2579</v>
      </c>
    </row>
    <row r="2262" spans="1:9" ht="12.75" customHeight="1" x14ac:dyDescent="0.2">
      <c r="A2262" s="130" t="str">
        <f t="shared" si="12"/>
        <v xml:space="preserve">      Kit Porta pronta em madeira branca 70 x 210 cm - Pormade255</v>
      </c>
      <c r="B2262" s="957" t="s">
        <v>246</v>
      </c>
      <c r="C2262" s="957" t="s">
        <v>1497</v>
      </c>
      <c r="D2262" s="957" t="s">
        <v>8</v>
      </c>
      <c r="E2262" s="146">
        <v>82</v>
      </c>
      <c r="F2262" s="144">
        <v>362.935</v>
      </c>
      <c r="G2262" s="141">
        <v>29760.67</v>
      </c>
      <c r="H2262" s="707">
        <v>255</v>
      </c>
      <c r="I2262" s="957" t="s">
        <v>2580</v>
      </c>
    </row>
    <row r="2263" spans="1:9" ht="12.75" customHeight="1" x14ac:dyDescent="0.2">
      <c r="A2263" s="130" t="str">
        <f t="shared" si="12"/>
        <v xml:space="preserve">      Kit Porta pronta em madeira branca 80 x 210 cm - Pormade256</v>
      </c>
      <c r="B2263" s="957" t="s">
        <v>671</v>
      </c>
      <c r="C2263" s="957" t="s">
        <v>1498</v>
      </c>
      <c r="D2263" s="957" t="s">
        <v>8</v>
      </c>
      <c r="E2263" s="146">
        <v>13</v>
      </c>
      <c r="F2263" s="144">
        <v>548.07500000000005</v>
      </c>
      <c r="G2263" s="143">
        <v>7124.98</v>
      </c>
      <c r="H2263" s="707">
        <v>256</v>
      </c>
      <c r="I2263" s="957" t="s">
        <v>2581</v>
      </c>
    </row>
    <row r="2264" spans="1:9" ht="12.75" customHeight="1" x14ac:dyDescent="0.2">
      <c r="A2264" s="130" t="str">
        <f t="shared" si="12"/>
        <v xml:space="preserve">      Kit Porta pronta em madeira 80 x 210 cm PNE - Pormade257</v>
      </c>
      <c r="B2264" s="957" t="s">
        <v>672</v>
      </c>
      <c r="C2264" s="957" t="s">
        <v>2297</v>
      </c>
      <c r="D2264" s="957" t="s">
        <v>8</v>
      </c>
      <c r="E2264" s="139">
        <v>1</v>
      </c>
      <c r="F2264" s="144">
        <v>548.07500000000005</v>
      </c>
      <c r="G2264" s="145">
        <v>548.08000000000004</v>
      </c>
      <c r="H2264" s="116">
        <v>257</v>
      </c>
      <c r="I2264" s="957" t="s">
        <v>2582</v>
      </c>
    </row>
    <row r="2265" spans="1:9" ht="12.75" customHeight="1" x14ac:dyDescent="0.2">
      <c r="A2265" s="130" t="str">
        <f t="shared" ref="A2265:A2328" si="13">I2265&amp;H2265</f>
        <v xml:space="preserve">      Kit Porta pronta de correr em madeira branca 70 x 210 cm - Pormade258</v>
      </c>
      <c r="B2265" s="957" t="s">
        <v>673</v>
      </c>
      <c r="C2265" s="957" t="s">
        <v>2298</v>
      </c>
      <c r="D2265" s="957" t="s">
        <v>8</v>
      </c>
      <c r="E2265" s="146">
        <v>24</v>
      </c>
      <c r="F2265" s="144">
        <v>529.58500000000004</v>
      </c>
      <c r="G2265" s="141">
        <v>12710.04</v>
      </c>
      <c r="H2265" s="116">
        <v>258</v>
      </c>
      <c r="I2265" s="957" t="s">
        <v>2583</v>
      </c>
    </row>
    <row r="2266" spans="1:9" ht="12.75" customHeight="1" x14ac:dyDescent="0.2">
      <c r="A2266" s="130" t="str">
        <f t="shared" si="13"/>
        <v xml:space="preserve">  - Ferragens259</v>
      </c>
      <c r="B2266" s="137" t="s">
        <v>247</v>
      </c>
      <c r="C2266" s="137" t="s">
        <v>242</v>
      </c>
      <c r="D2266" s="137"/>
      <c r="E2266" s="138"/>
      <c r="F2266" s="138"/>
      <c r="G2266" s="681">
        <v>10302.26</v>
      </c>
      <c r="H2266" s="707">
        <v>259</v>
      </c>
      <c r="I2266" s="137" t="s">
        <v>267</v>
      </c>
    </row>
    <row r="2267" spans="1:9" ht="12.75" customHeight="1" x14ac:dyDescent="0.2">
      <c r="A2267" s="130" t="str">
        <f t="shared" si="13"/>
        <v xml:space="preserve">      Fechadura porta externa - Imab ou similar260</v>
      </c>
      <c r="B2267" s="957" t="s">
        <v>248</v>
      </c>
      <c r="C2267" s="957" t="s">
        <v>2299</v>
      </c>
      <c r="D2267" s="957" t="s">
        <v>8</v>
      </c>
      <c r="E2267" s="146">
        <v>13</v>
      </c>
      <c r="F2267" s="146">
        <v>67.241600000000005</v>
      </c>
      <c r="G2267" s="145">
        <v>874.14</v>
      </c>
      <c r="H2267" s="116">
        <v>260</v>
      </c>
      <c r="I2267" s="957" t="s">
        <v>2584</v>
      </c>
    </row>
    <row r="2268" spans="1:9" ht="12.75" customHeight="1" x14ac:dyDescent="0.2">
      <c r="A2268" s="130" t="str">
        <f t="shared" si="13"/>
        <v xml:space="preserve">      Fechadura porta banheiro PNE - Imab ou similar261</v>
      </c>
      <c r="B2268" s="957" t="s">
        <v>249</v>
      </c>
      <c r="C2268" s="957" t="s">
        <v>2300</v>
      </c>
      <c r="D2268" s="957" t="s">
        <v>8</v>
      </c>
      <c r="E2268" s="139">
        <v>1</v>
      </c>
      <c r="F2268" s="146">
        <v>41.451999999999998</v>
      </c>
      <c r="G2268" s="147">
        <v>41.45</v>
      </c>
      <c r="H2268" s="707">
        <v>261</v>
      </c>
      <c r="I2268" s="957" t="s">
        <v>2585</v>
      </c>
    </row>
    <row r="2269" spans="1:9" ht="12.75" customHeight="1" x14ac:dyDescent="0.2">
      <c r="A2269" s="130" t="str">
        <f t="shared" si="13"/>
        <v xml:space="preserve">      Fechadura porta interna - Imab ou similar262</v>
      </c>
      <c r="B2269" s="957" t="s">
        <v>674</v>
      </c>
      <c r="C2269" s="957" t="s">
        <v>497</v>
      </c>
      <c r="D2269" s="957" t="s">
        <v>8</v>
      </c>
      <c r="E2269" s="146">
        <v>60</v>
      </c>
      <c r="F2269" s="146">
        <v>38.854900000000001</v>
      </c>
      <c r="G2269" s="143">
        <v>2331.29</v>
      </c>
      <c r="H2269" s="707">
        <v>262</v>
      </c>
      <c r="I2269" s="957" t="s">
        <v>2586</v>
      </c>
    </row>
    <row r="2270" spans="1:9" ht="12.75" customHeight="1" x14ac:dyDescent="0.2">
      <c r="A2270" s="130" t="str">
        <f t="shared" si="13"/>
        <v xml:space="preserve">      Fechadura porta banheiro - Imab ou similar263</v>
      </c>
      <c r="B2270" s="957" t="s">
        <v>675</v>
      </c>
      <c r="C2270" s="957" t="s">
        <v>499</v>
      </c>
      <c r="D2270" s="957" t="s">
        <v>8</v>
      </c>
      <c r="E2270" s="146">
        <v>51</v>
      </c>
      <c r="F2270" s="146">
        <v>41.451999999999998</v>
      </c>
      <c r="G2270" s="143">
        <v>2114.0500000000002</v>
      </c>
      <c r="H2270" s="707">
        <v>263</v>
      </c>
      <c r="I2270" s="957" t="s">
        <v>2587</v>
      </c>
    </row>
    <row r="2271" spans="1:9" ht="12.75" customHeight="1" x14ac:dyDescent="0.2">
      <c r="A2271" s="130" t="str">
        <f t="shared" si="13"/>
        <v xml:space="preserve">      Fechadura para porta de correr - Imab ou similar264</v>
      </c>
      <c r="B2271" s="957" t="s">
        <v>676</v>
      </c>
      <c r="C2271" s="957" t="s">
        <v>1501</v>
      </c>
      <c r="D2271" s="957" t="s">
        <v>8</v>
      </c>
      <c r="E2271" s="146">
        <v>24</v>
      </c>
      <c r="F2271" s="146">
        <v>44.9</v>
      </c>
      <c r="G2271" s="143">
        <v>1077.5999999999999</v>
      </c>
      <c r="H2271" s="116">
        <v>264</v>
      </c>
      <c r="I2271" s="957" t="s">
        <v>2588</v>
      </c>
    </row>
    <row r="2272" spans="1:9" ht="12.75" customHeight="1" x14ac:dyDescent="0.2">
      <c r="A2272" s="130" t="str">
        <f t="shared" si="13"/>
        <v xml:space="preserve">      Conjunto de dobradiças cromadas265</v>
      </c>
      <c r="B2272" s="957" t="s">
        <v>2301</v>
      </c>
      <c r="C2272" s="957" t="s">
        <v>2302</v>
      </c>
      <c r="D2272" s="957" t="s">
        <v>1003</v>
      </c>
      <c r="E2272" s="144">
        <v>155</v>
      </c>
      <c r="F2272" s="146">
        <v>12.5</v>
      </c>
      <c r="G2272" s="143">
        <v>1937.5</v>
      </c>
      <c r="H2272" s="707">
        <v>265</v>
      </c>
      <c r="I2272" s="957" t="s">
        <v>2589</v>
      </c>
    </row>
    <row r="2273" spans="1:9" ht="12.75" customHeight="1" x14ac:dyDescent="0.2">
      <c r="A2273" s="130" t="str">
        <f t="shared" si="13"/>
        <v xml:space="preserve">      Puxador cromado H= 60 cm266</v>
      </c>
      <c r="B2273" s="957" t="s">
        <v>2303</v>
      </c>
      <c r="C2273" s="957" t="s">
        <v>418</v>
      </c>
      <c r="D2273" s="957" t="s">
        <v>8</v>
      </c>
      <c r="E2273" s="146">
        <v>12</v>
      </c>
      <c r="F2273" s="144">
        <v>160.51949999999999</v>
      </c>
      <c r="G2273" s="143">
        <v>1926.23</v>
      </c>
      <c r="H2273" s="707">
        <v>266</v>
      </c>
      <c r="I2273" s="957" t="s">
        <v>2590</v>
      </c>
    </row>
    <row r="2274" spans="1:9" ht="12.75" customHeight="1" x14ac:dyDescent="0.2">
      <c r="A2274" s="130" t="str">
        <f t="shared" si="13"/>
        <v>- INSTALAÇÕES267</v>
      </c>
      <c r="B2274" s="137" t="s">
        <v>146</v>
      </c>
      <c r="C2274" s="137" t="s">
        <v>691</v>
      </c>
      <c r="D2274" s="137"/>
      <c r="E2274" s="138"/>
      <c r="F2274" s="138"/>
      <c r="G2274" s="680">
        <v>936245.66</v>
      </c>
      <c r="H2274" s="116">
        <v>267</v>
      </c>
      <c r="I2274" s="137" t="s">
        <v>358</v>
      </c>
    </row>
    <row r="2275" spans="1:9" ht="12.75" customHeight="1" x14ac:dyDescent="0.2">
      <c r="A2275" s="130" t="str">
        <f t="shared" si="13"/>
        <v xml:space="preserve">      Instalação elétrica material268</v>
      </c>
      <c r="B2275" s="957" t="s">
        <v>677</v>
      </c>
      <c r="C2275" s="957" t="s">
        <v>2122</v>
      </c>
      <c r="D2275" s="957" t="s">
        <v>7</v>
      </c>
      <c r="E2275" s="139">
        <v>1</v>
      </c>
      <c r="F2275" s="149">
        <v>158666.00279999999</v>
      </c>
      <c r="G2275" s="683">
        <v>158666</v>
      </c>
      <c r="H2275" s="707">
        <v>268</v>
      </c>
      <c r="I2275" s="957" t="s">
        <v>2591</v>
      </c>
    </row>
    <row r="2276" spans="1:9" ht="12.75" customHeight="1" x14ac:dyDescent="0.2">
      <c r="A2276" s="130" t="str">
        <f t="shared" si="13"/>
        <v xml:space="preserve">      Mão de Obra Instalação Elétrica269</v>
      </c>
      <c r="B2276" s="957" t="s">
        <v>678</v>
      </c>
      <c r="C2276" s="957" t="s">
        <v>2123</v>
      </c>
      <c r="D2276" s="957" t="s">
        <v>7</v>
      </c>
      <c r="E2276" s="139">
        <v>1</v>
      </c>
      <c r="F2276" s="149">
        <v>146380.242</v>
      </c>
      <c r="G2276" s="683">
        <v>146380.24</v>
      </c>
      <c r="H2276" s="707">
        <v>269</v>
      </c>
      <c r="I2276" s="957" t="s">
        <v>2592</v>
      </c>
    </row>
    <row r="2277" spans="1:9" ht="12.75" customHeight="1" x14ac:dyDescent="0.2">
      <c r="A2277" s="130" t="str">
        <f t="shared" si="13"/>
        <v xml:space="preserve">      Instalação hidráulica água fria/ esgoto/aguas pluviais material270</v>
      </c>
      <c r="B2277" s="957" t="s">
        <v>679</v>
      </c>
      <c r="C2277" s="957" t="s">
        <v>2124</v>
      </c>
      <c r="D2277" s="957" t="s">
        <v>7</v>
      </c>
      <c r="E2277" s="139">
        <v>1</v>
      </c>
      <c r="F2277" s="149">
        <v>123116.2</v>
      </c>
      <c r="G2277" s="683">
        <v>123116.2</v>
      </c>
      <c r="H2277" s="707">
        <v>270</v>
      </c>
      <c r="I2277" s="957" t="s">
        <v>2593</v>
      </c>
    </row>
    <row r="2278" spans="1:9" ht="12.75" customHeight="1" x14ac:dyDescent="0.2">
      <c r="A2278" s="130" t="str">
        <f t="shared" si="13"/>
        <v xml:space="preserve">      Mão de Obra Instalação hidráulica água fria/ esgoto/aguas pluviais271</v>
      </c>
      <c r="B2278" s="957" t="s">
        <v>680</v>
      </c>
      <c r="C2278" s="957" t="s">
        <v>1969</v>
      </c>
      <c r="D2278" s="957" t="s">
        <v>7</v>
      </c>
      <c r="E2278" s="139">
        <v>1</v>
      </c>
      <c r="F2278" s="149">
        <v>129578.30899999999</v>
      </c>
      <c r="G2278" s="683">
        <v>129578.31</v>
      </c>
      <c r="H2278" s="707">
        <v>271</v>
      </c>
      <c r="I2278" s="957" t="s">
        <v>2595</v>
      </c>
    </row>
    <row r="2279" spans="1:9" ht="12.75" customHeight="1" x14ac:dyDescent="0.2">
      <c r="A2279" s="130" t="str">
        <f t="shared" si="13"/>
        <v xml:space="preserve">      Furação hidraulica272</v>
      </c>
      <c r="B2279" s="957" t="s">
        <v>681</v>
      </c>
      <c r="C2279" s="957" t="s">
        <v>472</v>
      </c>
      <c r="D2279" s="957" t="s">
        <v>7</v>
      </c>
      <c r="E2279" s="139">
        <v>1</v>
      </c>
      <c r="F2279" s="140">
        <v>18808.91</v>
      </c>
      <c r="G2279" s="141">
        <v>18808.91</v>
      </c>
      <c r="H2279" s="707">
        <v>272</v>
      </c>
      <c r="I2279" s="957" t="s">
        <v>2596</v>
      </c>
    </row>
    <row r="2280" spans="1:9" ht="12.75" customHeight="1" x14ac:dyDescent="0.2">
      <c r="A2280" s="130" t="str">
        <f t="shared" si="13"/>
        <v xml:space="preserve">      Sistema de irrigação273</v>
      </c>
      <c r="B2280" s="957" t="s">
        <v>682</v>
      </c>
      <c r="C2280" s="957" t="s">
        <v>2125</v>
      </c>
      <c r="D2280" s="957" t="s">
        <v>7</v>
      </c>
      <c r="E2280" s="139">
        <v>1</v>
      </c>
      <c r="F2280" s="140">
        <v>15000</v>
      </c>
      <c r="G2280" s="141">
        <v>15000</v>
      </c>
      <c r="H2280" s="707">
        <v>273</v>
      </c>
      <c r="I2280" s="957" t="s">
        <v>2598</v>
      </c>
    </row>
    <row r="2281" spans="1:9" ht="12.75" customHeight="1" x14ac:dyDescent="0.2">
      <c r="A2281" s="130" t="str">
        <f t="shared" si="13"/>
        <v xml:space="preserve">      Fornecimento e Instalação de Gás274</v>
      </c>
      <c r="B2281" s="957" t="s">
        <v>683</v>
      </c>
      <c r="C2281" s="957" t="s">
        <v>789</v>
      </c>
      <c r="D2281" s="957" t="s">
        <v>7</v>
      </c>
      <c r="E2281" s="139">
        <v>1</v>
      </c>
      <c r="F2281" s="140">
        <v>22320</v>
      </c>
      <c r="G2281" s="141">
        <v>22320</v>
      </c>
      <c r="H2281" s="707">
        <v>274</v>
      </c>
      <c r="I2281" s="957" t="s">
        <v>2599</v>
      </c>
    </row>
    <row r="2282" spans="1:9" ht="12.75" customHeight="1" x14ac:dyDescent="0.2">
      <c r="A2282" s="130" t="str">
        <f t="shared" si="13"/>
        <v xml:space="preserve">      Instalações de incêndio275</v>
      </c>
      <c r="B2282" s="957" t="s">
        <v>684</v>
      </c>
      <c r="C2282" s="957" t="s">
        <v>468</v>
      </c>
      <c r="D2282" s="957" t="s">
        <v>7</v>
      </c>
      <c r="E2282" s="139">
        <v>1</v>
      </c>
      <c r="F2282" s="140">
        <v>30779.05</v>
      </c>
      <c r="G2282" s="141">
        <v>30779.05</v>
      </c>
      <c r="H2282" s="707">
        <v>275</v>
      </c>
      <c r="I2282" s="957" t="s">
        <v>2600</v>
      </c>
    </row>
    <row r="2283" spans="1:9" ht="12.75" customHeight="1" x14ac:dyDescent="0.2">
      <c r="A2283" s="130" t="str">
        <f t="shared" si="13"/>
        <v xml:space="preserve">      Portão eletrônico276</v>
      </c>
      <c r="B2283" s="957" t="s">
        <v>685</v>
      </c>
      <c r="C2283" s="957" t="s">
        <v>409</v>
      </c>
      <c r="D2283" s="957" t="s">
        <v>7</v>
      </c>
      <c r="E2283" s="139">
        <v>1</v>
      </c>
      <c r="F2283" s="142">
        <v>5086.5</v>
      </c>
      <c r="G2283" s="143">
        <v>5086.5</v>
      </c>
      <c r="H2283" s="707">
        <v>276</v>
      </c>
      <c r="I2283" s="957" t="s">
        <v>2602</v>
      </c>
    </row>
    <row r="2284" spans="1:9" ht="12.75" customHeight="1" x14ac:dyDescent="0.2">
      <c r="A2284" s="130" t="str">
        <f t="shared" si="13"/>
        <v xml:space="preserve">      Interfone277</v>
      </c>
      <c r="B2284" s="957" t="s">
        <v>686</v>
      </c>
      <c r="C2284" s="957" t="s">
        <v>790</v>
      </c>
      <c r="D2284" s="957" t="s">
        <v>7</v>
      </c>
      <c r="E2284" s="139">
        <v>1</v>
      </c>
      <c r="F2284" s="140">
        <v>17979.499199999998</v>
      </c>
      <c r="G2284" s="141">
        <v>17979.5</v>
      </c>
      <c r="H2284" s="707">
        <v>277</v>
      </c>
      <c r="I2284" s="957" t="s">
        <v>2603</v>
      </c>
    </row>
    <row r="2285" spans="1:9" ht="12.75" customHeight="1" x14ac:dyDescent="0.2">
      <c r="A2285" s="130" t="str">
        <f t="shared" si="13"/>
        <v xml:space="preserve">      Elevador 8 paradas278</v>
      </c>
      <c r="B2285" s="957" t="s">
        <v>687</v>
      </c>
      <c r="C2285" s="957" t="s">
        <v>2304</v>
      </c>
      <c r="D2285" s="957" t="s">
        <v>8</v>
      </c>
      <c r="E2285" s="139">
        <v>2</v>
      </c>
      <c r="F2285" s="140">
        <v>98672.976500000004</v>
      </c>
      <c r="G2285" s="683">
        <v>197345.95</v>
      </c>
      <c r="H2285" s="116">
        <v>278</v>
      </c>
      <c r="I2285" s="957" t="s">
        <v>2604</v>
      </c>
    </row>
    <row r="2286" spans="1:9" ht="12.75" customHeight="1" x14ac:dyDescent="0.2">
      <c r="A2286" s="130" t="str">
        <f t="shared" si="13"/>
        <v xml:space="preserve">      Serviço de telefonia279</v>
      </c>
      <c r="B2286" s="957" t="s">
        <v>688</v>
      </c>
      <c r="C2286" s="957" t="s">
        <v>413</v>
      </c>
      <c r="D2286" s="957" t="s">
        <v>7</v>
      </c>
      <c r="E2286" s="139">
        <v>1</v>
      </c>
      <c r="F2286" s="142">
        <v>3000</v>
      </c>
      <c r="G2286" s="143">
        <v>3000</v>
      </c>
      <c r="H2286" s="707">
        <v>279</v>
      </c>
      <c r="I2286" s="957" t="s">
        <v>2606</v>
      </c>
    </row>
    <row r="2287" spans="1:9" ht="12.75" customHeight="1" x14ac:dyDescent="0.2">
      <c r="A2287" s="130" t="str">
        <f t="shared" si="13"/>
        <v xml:space="preserve">      Automatização e Segurança280</v>
      </c>
      <c r="B2287" s="957" t="s">
        <v>689</v>
      </c>
      <c r="C2287" s="957" t="s">
        <v>791</v>
      </c>
      <c r="D2287" s="957" t="s">
        <v>7</v>
      </c>
      <c r="E2287" s="139">
        <v>1</v>
      </c>
      <c r="F2287" s="140">
        <v>15000</v>
      </c>
      <c r="G2287" s="141">
        <v>15000</v>
      </c>
      <c r="H2287" s="707">
        <v>280</v>
      </c>
      <c r="I2287" s="957" t="s">
        <v>2608</v>
      </c>
    </row>
    <row r="2288" spans="1:9" ht="12.75" customHeight="1" x14ac:dyDescent="0.2">
      <c r="A2288" s="130" t="str">
        <f t="shared" si="13"/>
        <v xml:space="preserve">      Ar condicionado área comum (infra)/coifa281</v>
      </c>
      <c r="B2288" s="957" t="s">
        <v>690</v>
      </c>
      <c r="C2288" s="957" t="s">
        <v>2305</v>
      </c>
      <c r="D2288" s="957" t="s">
        <v>7</v>
      </c>
      <c r="E2288" s="139">
        <v>1</v>
      </c>
      <c r="F2288" s="140">
        <v>10000</v>
      </c>
      <c r="G2288" s="141">
        <v>10000</v>
      </c>
      <c r="H2288" s="707">
        <v>281</v>
      </c>
      <c r="I2288" s="957" t="s">
        <v>2609</v>
      </c>
    </row>
    <row r="2289" spans="1:9" ht="12.75" customHeight="1" x14ac:dyDescent="0.2">
      <c r="A2289" s="130" t="str">
        <f t="shared" si="13"/>
        <v xml:space="preserve">      Meia infraestrutura de ar condicionado - Quartos e salas dos Aptos282</v>
      </c>
      <c r="B2289" s="957" t="s">
        <v>1370</v>
      </c>
      <c r="C2289" s="957" t="s">
        <v>2127</v>
      </c>
      <c r="D2289" s="957" t="s">
        <v>2035</v>
      </c>
      <c r="E2289" s="146">
        <v>62</v>
      </c>
      <c r="F2289" s="144">
        <v>200</v>
      </c>
      <c r="G2289" s="141">
        <v>12400</v>
      </c>
      <c r="H2289" s="707">
        <v>282</v>
      </c>
      <c r="I2289" s="957" t="s">
        <v>2610</v>
      </c>
    </row>
    <row r="2290" spans="1:9" ht="12.75" customHeight="1" x14ac:dyDescent="0.2">
      <c r="A2290" s="130" t="str">
        <f t="shared" si="13"/>
        <v xml:space="preserve">      Ventilação mecânica283</v>
      </c>
      <c r="B2290" s="957" t="s">
        <v>1970</v>
      </c>
      <c r="C2290" s="957" t="s">
        <v>2306</v>
      </c>
      <c r="D2290" s="957" t="s">
        <v>8</v>
      </c>
      <c r="E2290" s="146">
        <v>29</v>
      </c>
      <c r="F2290" s="144">
        <v>165</v>
      </c>
      <c r="G2290" s="143">
        <v>4785</v>
      </c>
      <c r="H2290" s="707">
        <v>283</v>
      </c>
      <c r="I2290" s="957" t="s">
        <v>2612</v>
      </c>
    </row>
    <row r="2291" spans="1:9" ht="12.75" customHeight="1" x14ac:dyDescent="0.2">
      <c r="A2291" s="130" t="str">
        <f t="shared" si="13"/>
        <v xml:space="preserve">      Sistema de sonorização284</v>
      </c>
      <c r="B2291" s="957" t="s">
        <v>1971</v>
      </c>
      <c r="C2291" s="957" t="s">
        <v>2307</v>
      </c>
      <c r="D2291" s="957" t="s">
        <v>7</v>
      </c>
      <c r="E2291" s="139">
        <v>1</v>
      </c>
      <c r="F2291" s="142">
        <v>1000</v>
      </c>
      <c r="G2291" s="143">
        <v>1000</v>
      </c>
      <c r="H2291" s="707">
        <v>284</v>
      </c>
      <c r="I2291" s="957" t="s">
        <v>2613</v>
      </c>
    </row>
    <row r="2292" spans="1:9" ht="12.75" customHeight="1" x14ac:dyDescent="0.2">
      <c r="A2292" s="130" t="str">
        <f t="shared" si="13"/>
        <v xml:space="preserve">      Sistema de aquecimento a gás285</v>
      </c>
      <c r="B2292" s="957" t="s">
        <v>2126</v>
      </c>
      <c r="C2292" s="957" t="s">
        <v>2308</v>
      </c>
      <c r="D2292" s="957" t="s">
        <v>7</v>
      </c>
      <c r="E2292" s="139">
        <v>1</v>
      </c>
      <c r="F2292" s="140">
        <v>25000</v>
      </c>
      <c r="G2292" s="141">
        <v>25000</v>
      </c>
      <c r="H2292" s="116">
        <v>285</v>
      </c>
      <c r="I2292" s="957" t="s">
        <v>2614</v>
      </c>
    </row>
    <row r="2293" spans="1:9" ht="12.75" customHeight="1" x14ac:dyDescent="0.2">
      <c r="A2293" s="130" t="str">
        <f t="shared" si="13"/>
        <v>- BANCADAS286</v>
      </c>
      <c r="B2293" s="137" t="s">
        <v>147</v>
      </c>
      <c r="C2293" s="137" t="s">
        <v>693</v>
      </c>
      <c r="D2293" s="137"/>
      <c r="E2293" s="138"/>
      <c r="F2293" s="138"/>
      <c r="G2293" s="681">
        <v>83170.31</v>
      </c>
      <c r="H2293" s="116">
        <v>286</v>
      </c>
      <c r="I2293" s="137" t="s">
        <v>359</v>
      </c>
    </row>
    <row r="2294" spans="1:9" ht="12.75" customHeight="1" x14ac:dyDescent="0.2">
      <c r="A2294" s="130" t="str">
        <f t="shared" si="13"/>
        <v xml:space="preserve">      Bancada em granito Preto São Gabriel (cozinha)287</v>
      </c>
      <c r="B2294" s="957" t="s">
        <v>254</v>
      </c>
      <c r="C2294" s="957" t="s">
        <v>491</v>
      </c>
      <c r="D2294" s="957" t="s">
        <v>90</v>
      </c>
      <c r="E2294" s="146">
        <v>63.19</v>
      </c>
      <c r="F2294" s="144">
        <v>676.79819999999995</v>
      </c>
      <c r="G2294" s="141">
        <v>42766.879999999997</v>
      </c>
      <c r="H2294" s="707">
        <v>287</v>
      </c>
      <c r="I2294" s="957" t="s">
        <v>2616</v>
      </c>
    </row>
    <row r="2295" spans="1:9" ht="12.75" customHeight="1" x14ac:dyDescent="0.2">
      <c r="A2295" s="130" t="str">
        <f t="shared" si="13"/>
        <v xml:space="preserve">      Balcão em granito Preto São Gabriel288</v>
      </c>
      <c r="B2295" s="957" t="s">
        <v>255</v>
      </c>
      <c r="C2295" s="957" t="s">
        <v>2309</v>
      </c>
      <c r="D2295" s="957" t="s">
        <v>90</v>
      </c>
      <c r="E2295" s="139">
        <v>3.78</v>
      </c>
      <c r="F2295" s="144">
        <v>645.44880000000001</v>
      </c>
      <c r="G2295" s="143">
        <v>2439.8000000000002</v>
      </c>
      <c r="H2295" s="116">
        <v>288</v>
      </c>
      <c r="I2295" s="957" t="s">
        <v>2617</v>
      </c>
    </row>
    <row r="2296" spans="1:9" ht="12.75" customHeight="1" x14ac:dyDescent="0.2">
      <c r="A2296" s="130" t="str">
        <f t="shared" si="13"/>
        <v xml:space="preserve">      Bancada em granito Branco Siena (banho)289</v>
      </c>
      <c r="B2296" s="957" t="s">
        <v>256</v>
      </c>
      <c r="C2296" s="957" t="s">
        <v>2310</v>
      </c>
      <c r="D2296" s="957" t="s">
        <v>90</v>
      </c>
      <c r="E2296" s="146">
        <v>25.64</v>
      </c>
      <c r="F2296" s="142">
        <v>1068.7845</v>
      </c>
      <c r="G2296" s="141">
        <v>27403.63</v>
      </c>
      <c r="H2296" s="707">
        <v>289</v>
      </c>
      <c r="I2296" s="957" t="s">
        <v>2618</v>
      </c>
    </row>
    <row r="2297" spans="1:9" ht="12.75" customHeight="1" x14ac:dyDescent="0.2">
      <c r="A2297" s="130" t="str">
        <f t="shared" si="13"/>
        <v xml:space="preserve">      Mão de obra para instalação de bancada290</v>
      </c>
      <c r="B2297" s="957" t="s">
        <v>692</v>
      </c>
      <c r="C2297" s="957" t="s">
        <v>417</v>
      </c>
      <c r="D2297" s="957" t="s">
        <v>8</v>
      </c>
      <c r="E2297" s="144">
        <v>110</v>
      </c>
      <c r="F2297" s="146">
        <v>96</v>
      </c>
      <c r="G2297" s="141">
        <v>10560</v>
      </c>
      <c r="H2297" s="707">
        <v>290</v>
      </c>
      <c r="I2297" s="957" t="s">
        <v>2619</v>
      </c>
    </row>
    <row r="2298" spans="1:9" ht="12.75" customHeight="1" x14ac:dyDescent="0.2">
      <c r="A2298" s="130" t="str">
        <f t="shared" si="13"/>
        <v>- LOUÇAS E METAIS291</v>
      </c>
      <c r="B2298" s="137" t="s">
        <v>148</v>
      </c>
      <c r="C2298" s="137" t="s">
        <v>694</v>
      </c>
      <c r="D2298" s="137"/>
      <c r="E2298" s="138"/>
      <c r="F2298" s="138"/>
      <c r="G2298" s="680">
        <v>111578.37</v>
      </c>
      <c r="H2298" s="707">
        <v>291</v>
      </c>
      <c r="I2298" s="137" t="s">
        <v>360</v>
      </c>
    </row>
    <row r="2299" spans="1:9" ht="12.75" customHeight="1" x14ac:dyDescent="0.2">
      <c r="A2299" s="130" t="str">
        <f t="shared" si="13"/>
        <v xml:space="preserve">  - Bacia Sanitária292</v>
      </c>
      <c r="B2299" s="137" t="s">
        <v>792</v>
      </c>
      <c r="C2299" s="137" t="s">
        <v>695</v>
      </c>
      <c r="D2299" s="137"/>
      <c r="E2299" s="138"/>
      <c r="F2299" s="138"/>
      <c r="G2299" s="681">
        <v>21453.14</v>
      </c>
      <c r="H2299" s="707">
        <v>292</v>
      </c>
      <c r="I2299" s="137" t="s">
        <v>361</v>
      </c>
    </row>
    <row r="2300" spans="1:9" ht="12.75" customHeight="1" x14ac:dyDescent="0.2">
      <c r="A2300" s="130" t="str">
        <f t="shared" si="13"/>
        <v xml:space="preserve">      Bacia sanitária com caixa acoplada Linha Ecoflush Fit293</v>
      </c>
      <c r="B2300" s="957" t="s">
        <v>793</v>
      </c>
      <c r="C2300" s="957" t="s">
        <v>1508</v>
      </c>
      <c r="D2300" s="957" t="s">
        <v>8</v>
      </c>
      <c r="E2300" s="146">
        <v>51</v>
      </c>
      <c r="F2300" s="144">
        <v>357.27140000000003</v>
      </c>
      <c r="G2300" s="141">
        <v>18220.84</v>
      </c>
      <c r="H2300" s="116">
        <v>293</v>
      </c>
      <c r="I2300" s="957" t="s">
        <v>2622</v>
      </c>
    </row>
    <row r="2301" spans="1:9" ht="12.75" customHeight="1" x14ac:dyDescent="0.2">
      <c r="A2301" s="130" t="str">
        <f t="shared" si="13"/>
        <v xml:space="preserve">      Bacia sanitária com caixa acoplada Izy294</v>
      </c>
      <c r="B2301" s="957" t="s">
        <v>794</v>
      </c>
      <c r="C2301" s="957" t="s">
        <v>1972</v>
      </c>
      <c r="D2301" s="957" t="s">
        <v>8</v>
      </c>
      <c r="E2301" s="146">
        <v>13</v>
      </c>
      <c r="F2301" s="144">
        <v>194.92140000000001</v>
      </c>
      <c r="G2301" s="143">
        <v>2533.98</v>
      </c>
      <c r="H2301" s="707">
        <v>294</v>
      </c>
      <c r="I2301" s="957" t="s">
        <v>2623</v>
      </c>
    </row>
    <row r="2302" spans="1:9" ht="12.75" customHeight="1" x14ac:dyDescent="0.2">
      <c r="A2302" s="130" t="str">
        <f t="shared" si="13"/>
        <v xml:space="preserve">      Bacia sanitária com caixa acoplada PNE295</v>
      </c>
      <c r="B2302" s="957" t="s">
        <v>795</v>
      </c>
      <c r="C2302" s="957" t="s">
        <v>796</v>
      </c>
      <c r="D2302" s="957" t="s">
        <v>8</v>
      </c>
      <c r="E2302" s="139">
        <v>1</v>
      </c>
      <c r="F2302" s="144">
        <v>698.32140000000004</v>
      </c>
      <c r="G2302" s="145">
        <v>698.32</v>
      </c>
      <c r="H2302" s="707">
        <v>295</v>
      </c>
      <c r="I2302" s="957" t="s">
        <v>2624</v>
      </c>
    </row>
    <row r="2303" spans="1:9" ht="12.75" customHeight="1" x14ac:dyDescent="0.2">
      <c r="A2303" s="130" t="str">
        <f t="shared" si="13"/>
        <v xml:space="preserve">  - Cuba296</v>
      </c>
      <c r="B2303" s="137" t="s">
        <v>797</v>
      </c>
      <c r="C2303" s="137" t="s">
        <v>696</v>
      </c>
      <c r="D2303" s="137"/>
      <c r="E2303" s="138"/>
      <c r="F2303" s="138"/>
      <c r="G2303" s="681">
        <v>21601.7</v>
      </c>
      <c r="H2303" s="707">
        <v>296</v>
      </c>
      <c r="I2303" s="137" t="s">
        <v>362</v>
      </c>
    </row>
    <row r="2304" spans="1:9" ht="12.75" customHeight="1" x14ac:dyDescent="0.2">
      <c r="A2304" s="130" t="str">
        <f t="shared" si="13"/>
        <v xml:space="preserve">      Cuba inox retangular simples  - Tramontina297</v>
      </c>
      <c r="B2304" s="957" t="s">
        <v>798</v>
      </c>
      <c r="C2304" s="957" t="s">
        <v>2128</v>
      </c>
      <c r="D2304" s="957" t="s">
        <v>8</v>
      </c>
      <c r="E2304" s="146">
        <v>15</v>
      </c>
      <c r="F2304" s="144">
        <v>263.14</v>
      </c>
      <c r="G2304" s="143">
        <v>3947.1</v>
      </c>
      <c r="H2304" s="707">
        <v>297</v>
      </c>
      <c r="I2304" s="957" t="s">
        <v>2625</v>
      </c>
    </row>
    <row r="2305" spans="1:9" ht="12.75" customHeight="1" x14ac:dyDescent="0.2">
      <c r="A2305" s="130" t="str">
        <f t="shared" si="13"/>
        <v xml:space="preserve">      Cuba de apoio redonda - L.155.17 Deca - lavabo298</v>
      </c>
      <c r="B2305" s="957" t="s">
        <v>799</v>
      </c>
      <c r="C2305" s="957" t="s">
        <v>2129</v>
      </c>
      <c r="D2305" s="957" t="s">
        <v>8</v>
      </c>
      <c r="E2305" s="146">
        <v>15</v>
      </c>
      <c r="F2305" s="144">
        <v>166.8218</v>
      </c>
      <c r="G2305" s="143">
        <v>2502.33</v>
      </c>
      <c r="H2305" s="707">
        <v>298</v>
      </c>
      <c r="I2305" s="957" t="s">
        <v>2626</v>
      </c>
    </row>
    <row r="2306" spans="1:9" ht="12.75" customHeight="1" x14ac:dyDescent="0.2">
      <c r="A2306" s="130" t="str">
        <f t="shared" si="13"/>
        <v xml:space="preserve">      Cuba de semi-encaixe - Deca - i.s.299</v>
      </c>
      <c r="B2306" s="957" t="s">
        <v>800</v>
      </c>
      <c r="C2306" s="957" t="s">
        <v>2311</v>
      </c>
      <c r="D2306" s="957" t="s">
        <v>8</v>
      </c>
      <c r="E2306" s="146">
        <v>49</v>
      </c>
      <c r="F2306" s="144">
        <v>309.23</v>
      </c>
      <c r="G2306" s="141">
        <v>15152.27</v>
      </c>
      <c r="H2306" s="707">
        <v>299</v>
      </c>
      <c r="I2306" s="957" t="s">
        <v>2627</v>
      </c>
    </row>
    <row r="2307" spans="1:9" ht="12.75" customHeight="1" x14ac:dyDescent="0.2">
      <c r="A2307" s="130" t="str">
        <f t="shared" si="13"/>
        <v xml:space="preserve">  - Tanque300</v>
      </c>
      <c r="B2307" s="137" t="s">
        <v>801</v>
      </c>
      <c r="C2307" s="137" t="s">
        <v>698</v>
      </c>
      <c r="D2307" s="137"/>
      <c r="E2307" s="138"/>
      <c r="F2307" s="138"/>
      <c r="G2307" s="685">
        <v>2493.14</v>
      </c>
      <c r="H2307" s="707">
        <v>300</v>
      </c>
      <c r="I2307" s="137" t="s">
        <v>363</v>
      </c>
    </row>
    <row r="2308" spans="1:9" ht="12.75" customHeight="1" x14ac:dyDescent="0.2">
      <c r="A2308" s="130" t="str">
        <f t="shared" si="13"/>
        <v xml:space="preserve">      Tanque de louça 20 litros - Cor Branca Celite301</v>
      </c>
      <c r="B2308" s="957" t="s">
        <v>802</v>
      </c>
      <c r="C2308" s="957" t="s">
        <v>2312</v>
      </c>
      <c r="D2308" s="957" t="s">
        <v>8</v>
      </c>
      <c r="E2308" s="146">
        <v>13</v>
      </c>
      <c r="F2308" s="144">
        <v>191.78</v>
      </c>
      <c r="G2308" s="143">
        <v>2493.14</v>
      </c>
      <c r="H2308" s="707">
        <v>301</v>
      </c>
      <c r="I2308" s="957" t="s">
        <v>2628</v>
      </c>
    </row>
    <row r="2309" spans="1:9" ht="12.75" customHeight="1" x14ac:dyDescent="0.2">
      <c r="A2309" s="130" t="str">
        <f t="shared" si="13"/>
        <v xml:space="preserve">  - Lavatorios302</v>
      </c>
      <c r="B2309" s="137" t="s">
        <v>803</v>
      </c>
      <c r="C2309" s="137" t="s">
        <v>701</v>
      </c>
      <c r="D2309" s="137"/>
      <c r="E2309" s="138"/>
      <c r="F2309" s="138"/>
      <c r="G2309" s="684">
        <v>957.58</v>
      </c>
      <c r="H2309" s="116">
        <v>302</v>
      </c>
      <c r="I2309" s="137" t="s">
        <v>364</v>
      </c>
    </row>
    <row r="2310" spans="1:9" ht="12.75" customHeight="1" x14ac:dyDescent="0.2">
      <c r="A2310" s="130" t="str">
        <f t="shared" si="13"/>
        <v xml:space="preserve">      Lavatório suspenso - linha Izy Deca - i.s. serv.303</v>
      </c>
      <c r="B2310" s="957" t="s">
        <v>804</v>
      </c>
      <c r="C2310" s="957" t="s">
        <v>2130</v>
      </c>
      <c r="D2310" s="957" t="s">
        <v>8</v>
      </c>
      <c r="E2310" s="146">
        <v>13</v>
      </c>
      <c r="F2310" s="146">
        <v>73.66</v>
      </c>
      <c r="G2310" s="145">
        <v>957.58</v>
      </c>
      <c r="H2310" s="116">
        <v>303</v>
      </c>
      <c r="I2310" s="957" t="s">
        <v>2629</v>
      </c>
    </row>
    <row r="2311" spans="1:9" ht="12.75" customHeight="1" x14ac:dyDescent="0.2">
      <c r="A2311" s="130" t="str">
        <f t="shared" si="13"/>
        <v xml:space="preserve">  - Torneiras304</v>
      </c>
      <c r="B2311" s="137" t="s">
        <v>805</v>
      </c>
      <c r="C2311" s="137" t="s">
        <v>705</v>
      </c>
      <c r="D2311" s="137"/>
      <c r="E2311" s="138"/>
      <c r="F2311" s="138"/>
      <c r="G2311" s="681">
        <v>28776.17</v>
      </c>
      <c r="H2311" s="707">
        <v>304</v>
      </c>
      <c r="I2311" s="137" t="s">
        <v>365</v>
      </c>
    </row>
    <row r="2312" spans="1:9" ht="12.75" customHeight="1" x14ac:dyDescent="0.2">
      <c r="A2312" s="130" t="str">
        <f t="shared" si="13"/>
        <v xml:space="preserve">      Torneira de mesa, Linha Deca ou similar305</v>
      </c>
      <c r="B2312" s="957" t="s">
        <v>806</v>
      </c>
      <c r="C2312" s="957" t="s">
        <v>2313</v>
      </c>
      <c r="D2312" s="957" t="s">
        <v>8</v>
      </c>
      <c r="E2312" s="146">
        <v>13</v>
      </c>
      <c r="F2312" s="146">
        <v>91.091800000000006</v>
      </c>
      <c r="G2312" s="143">
        <v>1184.19</v>
      </c>
      <c r="H2312" s="707">
        <v>305</v>
      </c>
      <c r="I2312" s="957" t="s">
        <v>2630</v>
      </c>
    </row>
    <row r="2313" spans="1:9" ht="12.75" customHeight="1" x14ac:dyDescent="0.2">
      <c r="A2313" s="130" t="str">
        <f t="shared" si="13"/>
        <v xml:space="preserve">      Torneira para tanque, Linha Docol, Oneel ou similar306</v>
      </c>
      <c r="B2313" s="957" t="s">
        <v>807</v>
      </c>
      <c r="C2313" s="957" t="s">
        <v>2314</v>
      </c>
      <c r="D2313" s="957" t="s">
        <v>8</v>
      </c>
      <c r="E2313" s="146">
        <v>13</v>
      </c>
      <c r="F2313" s="146">
        <v>94.501800000000003</v>
      </c>
      <c r="G2313" s="143">
        <v>1228.52</v>
      </c>
      <c r="H2313" s="707">
        <v>306</v>
      </c>
      <c r="I2313" s="957" t="s">
        <v>2631</v>
      </c>
    </row>
    <row r="2314" spans="1:9" ht="12.75" customHeight="1" x14ac:dyDescent="0.2">
      <c r="A2314" s="130" t="str">
        <f t="shared" si="13"/>
        <v xml:space="preserve">      Torneira cozinha de mesa bica alta Celite307</v>
      </c>
      <c r="B2314" s="957" t="s">
        <v>808</v>
      </c>
      <c r="C2314" s="957" t="s">
        <v>2315</v>
      </c>
      <c r="D2314" s="957" t="s">
        <v>8</v>
      </c>
      <c r="E2314" s="146">
        <v>15</v>
      </c>
      <c r="F2314" s="144">
        <v>211.2518</v>
      </c>
      <c r="G2314" s="143">
        <v>3168.78</v>
      </c>
      <c r="H2314" s="707">
        <v>307</v>
      </c>
      <c r="I2314" s="957" t="s">
        <v>2632</v>
      </c>
    </row>
    <row r="2315" spans="1:9" ht="12.75" customHeight="1" x14ac:dyDescent="0.2">
      <c r="A2315" s="130" t="str">
        <f t="shared" si="13"/>
        <v xml:space="preserve">      Torneira simples - linha flex Deca - ars,i.s. serv., a.s.308</v>
      </c>
      <c r="B2315" s="957" t="s">
        <v>809</v>
      </c>
      <c r="C2315" s="957" t="s">
        <v>2131</v>
      </c>
      <c r="D2315" s="957" t="s">
        <v>8</v>
      </c>
      <c r="E2315" s="139">
        <v>7</v>
      </c>
      <c r="F2315" s="146">
        <v>45.271799999999999</v>
      </c>
      <c r="G2315" s="145">
        <v>316.89999999999998</v>
      </c>
      <c r="H2315" s="707">
        <v>308</v>
      </c>
      <c r="I2315" s="957" t="s">
        <v>2633</v>
      </c>
    </row>
    <row r="2316" spans="1:9" ht="12.75" customHeight="1" x14ac:dyDescent="0.2">
      <c r="A2316" s="130" t="str">
        <f t="shared" si="13"/>
        <v xml:space="preserve">      Torneira para lavatório Misturador monocomando para lavatório mesa Victoria-n cr309</v>
      </c>
      <c r="B2316" s="957" t="s">
        <v>2316</v>
      </c>
      <c r="C2316" s="957" t="s">
        <v>2317</v>
      </c>
      <c r="D2316" s="957" t="s">
        <v>8</v>
      </c>
      <c r="E2316" s="146">
        <v>49</v>
      </c>
      <c r="F2316" s="144">
        <v>232.9418</v>
      </c>
      <c r="G2316" s="141">
        <v>11414.15</v>
      </c>
      <c r="H2316" s="116">
        <v>309</v>
      </c>
      <c r="I2316" s="957" t="s">
        <v>2634</v>
      </c>
    </row>
    <row r="2317" spans="1:9" ht="12.75" customHeight="1" x14ac:dyDescent="0.2">
      <c r="A2317" s="130" t="str">
        <f t="shared" si="13"/>
        <v xml:space="preserve">      Torneira de mesa bica alta - linha Level Deca - lavabo310</v>
      </c>
      <c r="B2317" s="957" t="s">
        <v>2318</v>
      </c>
      <c r="C2317" s="957" t="s">
        <v>2132</v>
      </c>
      <c r="D2317" s="957" t="s">
        <v>8</v>
      </c>
      <c r="E2317" s="146">
        <v>15</v>
      </c>
      <c r="F2317" s="144">
        <v>289.52179999999998</v>
      </c>
      <c r="G2317" s="143">
        <v>4342.83</v>
      </c>
      <c r="H2317" s="707">
        <v>310</v>
      </c>
      <c r="I2317" s="957" t="s">
        <v>2635</v>
      </c>
    </row>
    <row r="2318" spans="1:9" ht="12.75" customHeight="1" x14ac:dyDescent="0.2">
      <c r="A2318" s="130" t="str">
        <f t="shared" si="13"/>
        <v xml:space="preserve">      Monocomando ducha prd bem Victoria-n cr311</v>
      </c>
      <c r="B2318" s="957" t="s">
        <v>2319</v>
      </c>
      <c r="C2318" s="957" t="s">
        <v>506</v>
      </c>
      <c r="D2318" s="957" t="s">
        <v>8</v>
      </c>
      <c r="E2318" s="146">
        <v>36</v>
      </c>
      <c r="F2318" s="144">
        <v>197.8</v>
      </c>
      <c r="G2318" s="143">
        <v>7120.8</v>
      </c>
      <c r="H2318" s="707">
        <v>311</v>
      </c>
      <c r="I2318" s="957" t="s">
        <v>2636</v>
      </c>
    </row>
    <row r="2319" spans="1:9" ht="12.75" customHeight="1" x14ac:dyDescent="0.2">
      <c r="A2319" s="130" t="str">
        <f t="shared" si="13"/>
        <v xml:space="preserve">  - Registros e acabamentos312</v>
      </c>
      <c r="B2319" s="137" t="s">
        <v>810</v>
      </c>
      <c r="C2319" s="137" t="s">
        <v>708</v>
      </c>
      <c r="D2319" s="137"/>
      <c r="E2319" s="138"/>
      <c r="F2319" s="138"/>
      <c r="G2319" s="685">
        <v>4650.8</v>
      </c>
      <c r="H2319" s="707">
        <v>312</v>
      </c>
      <c r="I2319" s="137" t="s">
        <v>366</v>
      </c>
    </row>
    <row r="2320" spans="1:9" ht="12.75" customHeight="1" x14ac:dyDescent="0.2">
      <c r="A2320" s="130" t="str">
        <f t="shared" si="13"/>
        <v xml:space="preserve">      Acabamento Registro - Deca Aspen313</v>
      </c>
      <c r="B2320" s="957" t="s">
        <v>811</v>
      </c>
      <c r="C2320" s="957" t="s">
        <v>2133</v>
      </c>
      <c r="D2320" s="957" t="s">
        <v>8</v>
      </c>
      <c r="E2320" s="144">
        <v>140</v>
      </c>
      <c r="F2320" s="146">
        <v>33.22</v>
      </c>
      <c r="G2320" s="143">
        <v>4650.8</v>
      </c>
      <c r="H2320" s="707">
        <v>313</v>
      </c>
      <c r="I2320" s="957" t="s">
        <v>2637</v>
      </c>
    </row>
    <row r="2321" spans="1:9" ht="12.75" customHeight="1" x14ac:dyDescent="0.2">
      <c r="A2321" s="130" t="str">
        <f t="shared" si="13"/>
        <v xml:space="preserve">  - Diversos louças e metais314</v>
      </c>
      <c r="B2321" s="137" t="s">
        <v>812</v>
      </c>
      <c r="C2321" s="137" t="s">
        <v>710</v>
      </c>
      <c r="D2321" s="137"/>
      <c r="E2321" s="138"/>
      <c r="F2321" s="138"/>
      <c r="G2321" s="681">
        <v>31645.84</v>
      </c>
      <c r="H2321" s="707">
        <v>314</v>
      </c>
      <c r="I2321" s="137" t="s">
        <v>367</v>
      </c>
    </row>
    <row r="2322" spans="1:9" ht="12.75" customHeight="1" x14ac:dyDescent="0.2">
      <c r="A2322" s="130" t="str">
        <f t="shared" si="13"/>
        <v xml:space="preserve">      Conjunto barras de apoio315</v>
      </c>
      <c r="B2322" s="957" t="s">
        <v>813</v>
      </c>
      <c r="C2322" s="957" t="s">
        <v>507</v>
      </c>
      <c r="D2322" s="957" t="s">
        <v>8</v>
      </c>
      <c r="E2322" s="139">
        <v>1</v>
      </c>
      <c r="F2322" s="144">
        <v>245.84</v>
      </c>
      <c r="G2322" s="145">
        <v>245.84</v>
      </c>
      <c r="H2322" s="116">
        <v>315</v>
      </c>
      <c r="I2322" s="957" t="s">
        <v>2638</v>
      </c>
    </row>
    <row r="2323" spans="1:9" ht="12.75" customHeight="1" x14ac:dyDescent="0.2">
      <c r="A2323" s="130" t="str">
        <f t="shared" si="13"/>
        <v xml:space="preserve">      Banheira SPA Marilyn316</v>
      </c>
      <c r="B2323" s="957" t="s">
        <v>2134</v>
      </c>
      <c r="C2323" s="957" t="s">
        <v>2135</v>
      </c>
      <c r="D2323" s="957" t="s">
        <v>8</v>
      </c>
      <c r="E2323" s="139">
        <v>2</v>
      </c>
      <c r="F2323" s="140">
        <v>15700</v>
      </c>
      <c r="G2323" s="141">
        <v>31400</v>
      </c>
      <c r="H2323" s="707">
        <v>316</v>
      </c>
      <c r="I2323" s="957" t="s">
        <v>2640</v>
      </c>
    </row>
    <row r="2324" spans="1:9" ht="12.75" customHeight="1" x14ac:dyDescent="0.2">
      <c r="A2324" s="130" t="str">
        <f t="shared" si="13"/>
        <v>- PINTURA317</v>
      </c>
      <c r="B2324" s="137" t="s">
        <v>149</v>
      </c>
      <c r="C2324" s="137" t="s">
        <v>9</v>
      </c>
      <c r="D2324" s="137"/>
      <c r="E2324" s="138"/>
      <c r="F2324" s="138"/>
      <c r="G2324" s="680">
        <v>182995.47</v>
      </c>
      <c r="H2324" s="707">
        <v>317</v>
      </c>
      <c r="I2324" s="137" t="s">
        <v>61</v>
      </c>
    </row>
    <row r="2325" spans="1:9" ht="12.75" customHeight="1" x14ac:dyDescent="0.2">
      <c r="A2325" s="130" t="str">
        <f t="shared" si="13"/>
        <v xml:space="preserve">      Mão de obra para pinturas318</v>
      </c>
      <c r="B2325" s="957" t="s">
        <v>2136</v>
      </c>
      <c r="C2325" s="957" t="s">
        <v>494</v>
      </c>
      <c r="D2325" s="957" t="s">
        <v>7</v>
      </c>
      <c r="E2325" s="139">
        <v>1</v>
      </c>
      <c r="F2325" s="149">
        <v>126064.334</v>
      </c>
      <c r="G2325" s="683">
        <v>126064.33</v>
      </c>
      <c r="H2325" s="707">
        <v>318</v>
      </c>
      <c r="I2325" s="957" t="s">
        <v>2641</v>
      </c>
    </row>
    <row r="2326" spans="1:9" ht="12.75" customHeight="1" x14ac:dyDescent="0.2">
      <c r="A2326" s="130" t="str">
        <f t="shared" si="13"/>
        <v xml:space="preserve">  - Pintura Acrilica319</v>
      </c>
      <c r="B2326" s="137" t="s">
        <v>257</v>
      </c>
      <c r="C2326" s="137" t="s">
        <v>712</v>
      </c>
      <c r="D2326" s="137"/>
      <c r="E2326" s="138"/>
      <c r="F2326" s="138"/>
      <c r="G2326" s="681">
        <v>19169.36</v>
      </c>
      <c r="H2326" s="707">
        <v>319</v>
      </c>
      <c r="I2326" s="137" t="s">
        <v>368</v>
      </c>
    </row>
    <row r="2327" spans="1:9" ht="12.75" customHeight="1" x14ac:dyDescent="0.2">
      <c r="A2327" s="130" t="str">
        <f t="shared" si="13"/>
        <v xml:space="preserve">      Pintura Acrilica acetinada cor branco neve - Parede e Teto320</v>
      </c>
      <c r="B2327" s="957" t="s">
        <v>258</v>
      </c>
      <c r="C2327" s="957" t="s">
        <v>2137</v>
      </c>
      <c r="D2327" s="957" t="s">
        <v>90</v>
      </c>
      <c r="E2327" s="142">
        <v>4600.5</v>
      </c>
      <c r="F2327" s="139">
        <v>4.1668000000000003</v>
      </c>
      <c r="G2327" s="141">
        <v>19169.36</v>
      </c>
      <c r="H2327" s="707">
        <v>320</v>
      </c>
      <c r="I2327" s="957" t="s">
        <v>2642</v>
      </c>
    </row>
    <row r="2328" spans="1:9" ht="12.75" customHeight="1" x14ac:dyDescent="0.2">
      <c r="A2328" s="130" t="str">
        <f t="shared" si="13"/>
        <v xml:space="preserve">  - Emassamento321</v>
      </c>
      <c r="B2328" s="137" t="s">
        <v>259</v>
      </c>
      <c r="C2328" s="137" t="s">
        <v>251</v>
      </c>
      <c r="D2328" s="137"/>
      <c r="E2328" s="138"/>
      <c r="F2328" s="138"/>
      <c r="G2328" s="685">
        <v>6174.47</v>
      </c>
      <c r="H2328" s="707">
        <v>321</v>
      </c>
      <c r="I2328" s="137" t="s">
        <v>268</v>
      </c>
    </row>
    <row r="2329" spans="1:9" ht="12.75" customHeight="1" x14ac:dyDescent="0.2">
      <c r="A2329" s="130" t="str">
        <f t="shared" ref="A2329:A2374" si="14">I2329&amp;H2329</f>
        <v xml:space="preserve">      Massa corrida - Parede e Teto322</v>
      </c>
      <c r="B2329" s="957" t="s">
        <v>260</v>
      </c>
      <c r="C2329" s="957" t="s">
        <v>2138</v>
      </c>
      <c r="D2329" s="957" t="s">
        <v>90</v>
      </c>
      <c r="E2329" s="142">
        <v>4386.21</v>
      </c>
      <c r="F2329" s="139">
        <v>1.4077</v>
      </c>
      <c r="G2329" s="143">
        <v>6174.47</v>
      </c>
      <c r="H2329" s="707">
        <v>322</v>
      </c>
      <c r="I2329" s="957" t="s">
        <v>2643</v>
      </c>
    </row>
    <row r="2330" spans="1:9" ht="12.75" customHeight="1" x14ac:dyDescent="0.2">
      <c r="A2330" s="130" t="str">
        <f t="shared" si="14"/>
        <v xml:space="preserve">  - Pintura Esmalte em esquadrias metálicas323</v>
      </c>
      <c r="B2330" s="137" t="s">
        <v>697</v>
      </c>
      <c r="C2330" s="137" t="s">
        <v>719</v>
      </c>
      <c r="D2330" s="137"/>
      <c r="E2330" s="138"/>
      <c r="F2330" s="138"/>
      <c r="G2330" s="685">
        <v>1288.53</v>
      </c>
      <c r="H2330" s="707">
        <v>323</v>
      </c>
      <c r="I2330" s="137" t="s">
        <v>369</v>
      </c>
    </row>
    <row r="2331" spans="1:9" ht="12.75" customHeight="1" x14ac:dyDescent="0.2">
      <c r="A2331" s="130" t="str">
        <f t="shared" si="14"/>
        <v xml:space="preserve">      Pintura esmalte em esquadrias metálicas cor cinza - PCF324</v>
      </c>
      <c r="B2331" s="957" t="s">
        <v>699</v>
      </c>
      <c r="C2331" s="957" t="s">
        <v>2139</v>
      </c>
      <c r="D2331" s="957" t="s">
        <v>90</v>
      </c>
      <c r="E2331" s="144">
        <v>165.38</v>
      </c>
      <c r="F2331" s="139">
        <v>7.7912999999999997</v>
      </c>
      <c r="G2331" s="143">
        <v>1288.53</v>
      </c>
      <c r="H2331" s="707">
        <v>324</v>
      </c>
      <c r="I2331" s="957" t="s">
        <v>2645</v>
      </c>
    </row>
    <row r="2332" spans="1:9" ht="12.75" customHeight="1" x14ac:dyDescent="0.2">
      <c r="A2332" s="130" t="str">
        <f t="shared" si="14"/>
        <v xml:space="preserve">  - Marcação de Garagem325</v>
      </c>
      <c r="B2332" s="137" t="s">
        <v>700</v>
      </c>
      <c r="C2332" s="137" t="s">
        <v>252</v>
      </c>
      <c r="D2332" s="137"/>
      <c r="E2332" s="138"/>
      <c r="F2332" s="138"/>
      <c r="G2332" s="685">
        <v>3040.09</v>
      </c>
      <c r="H2332" s="707">
        <v>325</v>
      </c>
      <c r="I2332" s="137" t="s">
        <v>269</v>
      </c>
    </row>
    <row r="2333" spans="1:9" ht="12.75" customHeight="1" x14ac:dyDescent="0.2">
      <c r="A2333" s="130" t="str">
        <f t="shared" si="14"/>
        <v xml:space="preserve">      Demarcação de vagas326</v>
      </c>
      <c r="B2333" s="957" t="s">
        <v>702</v>
      </c>
      <c r="C2333" s="957" t="s">
        <v>253</v>
      </c>
      <c r="D2333" s="957" t="s">
        <v>15</v>
      </c>
      <c r="E2333" s="144">
        <v>481.07</v>
      </c>
      <c r="F2333" s="139">
        <v>1.0538000000000001</v>
      </c>
      <c r="G2333" s="145">
        <v>506.95</v>
      </c>
      <c r="H2333" s="707">
        <v>326</v>
      </c>
      <c r="I2333" s="957" t="s">
        <v>2646</v>
      </c>
    </row>
    <row r="2334" spans="1:9" ht="12.75" customHeight="1" x14ac:dyDescent="0.2">
      <c r="A2334" s="130" t="str">
        <f t="shared" si="14"/>
        <v xml:space="preserve">      Pintura faixa sinalização em parede h=1,10 m327</v>
      </c>
      <c r="B2334" s="957" t="s">
        <v>703</v>
      </c>
      <c r="C2334" s="957" t="s">
        <v>2140</v>
      </c>
      <c r="D2334" s="957" t="s">
        <v>15</v>
      </c>
      <c r="E2334" s="144">
        <v>257.18</v>
      </c>
      <c r="F2334" s="139">
        <v>5.3258000000000001</v>
      </c>
      <c r="G2334" s="143">
        <v>1369.69</v>
      </c>
      <c r="H2334" s="707">
        <v>327</v>
      </c>
      <c r="I2334" s="957" t="s">
        <v>2647</v>
      </c>
    </row>
    <row r="2335" spans="1:9" ht="12.75" customHeight="1" x14ac:dyDescent="0.2">
      <c r="A2335" s="130" t="str">
        <f t="shared" si="14"/>
        <v xml:space="preserve">      Pintura de tubulações aparente328</v>
      </c>
      <c r="B2335" s="957" t="s">
        <v>814</v>
      </c>
      <c r="C2335" s="957" t="s">
        <v>504</v>
      </c>
      <c r="D2335" s="957" t="s">
        <v>7</v>
      </c>
      <c r="E2335" s="139">
        <v>1</v>
      </c>
      <c r="F2335" s="142">
        <v>1163.4480000000001</v>
      </c>
      <c r="G2335" s="143">
        <v>1163.45</v>
      </c>
      <c r="H2335" s="707">
        <v>328</v>
      </c>
      <c r="I2335" s="957" t="s">
        <v>2648</v>
      </c>
    </row>
    <row r="2336" spans="1:9" ht="12.75" customHeight="1" x14ac:dyDescent="0.2">
      <c r="A2336" s="130" t="str">
        <f t="shared" si="14"/>
        <v xml:space="preserve">  - Caiação329</v>
      </c>
      <c r="B2336" s="137" t="s">
        <v>704</v>
      </c>
      <c r="C2336" s="137" t="s">
        <v>487</v>
      </c>
      <c r="D2336" s="137"/>
      <c r="E2336" s="138"/>
      <c r="F2336" s="138"/>
      <c r="G2336" s="684">
        <v>562.42999999999995</v>
      </c>
      <c r="H2336" s="707">
        <v>329</v>
      </c>
      <c r="I2336" s="137" t="s">
        <v>370</v>
      </c>
    </row>
    <row r="2337" spans="1:9" ht="12.75" customHeight="1" x14ac:dyDescent="0.2">
      <c r="A2337" s="130" t="str">
        <f t="shared" si="14"/>
        <v xml:space="preserve">      Caiação330</v>
      </c>
      <c r="B2337" s="957" t="s">
        <v>706</v>
      </c>
      <c r="C2337" s="957" t="s">
        <v>487</v>
      </c>
      <c r="D2337" s="957" t="s">
        <v>90</v>
      </c>
      <c r="E2337" s="144">
        <v>244.98</v>
      </c>
      <c r="F2337" s="139">
        <v>2.2957999999999998</v>
      </c>
      <c r="G2337" s="145">
        <v>562.42999999999995</v>
      </c>
      <c r="H2337" s="707">
        <v>330</v>
      </c>
      <c r="I2337" s="957" t="s">
        <v>2649</v>
      </c>
    </row>
    <row r="2338" spans="1:9" ht="12.75" customHeight="1" x14ac:dyDescent="0.2">
      <c r="A2338" s="130" t="str">
        <f t="shared" si="14"/>
        <v xml:space="preserve">  - Pintura Externa331</v>
      </c>
      <c r="B2338" s="137" t="s">
        <v>707</v>
      </c>
      <c r="C2338" s="137" t="s">
        <v>2320</v>
      </c>
      <c r="D2338" s="137"/>
      <c r="E2338" s="138"/>
      <c r="F2338" s="138"/>
      <c r="G2338" s="684">
        <v>689.04</v>
      </c>
      <c r="H2338" s="707">
        <v>331</v>
      </c>
      <c r="I2338" s="137" t="s">
        <v>2650</v>
      </c>
    </row>
    <row r="2339" spans="1:9" ht="12.75" customHeight="1" x14ac:dyDescent="0.2">
      <c r="A2339" s="130" t="str">
        <f t="shared" si="14"/>
        <v xml:space="preserve">      Revestimento acrilico - cor porcelanato bianco Vazio332</v>
      </c>
      <c r="B2339" s="957" t="s">
        <v>709</v>
      </c>
      <c r="C2339" s="957" t="s">
        <v>2359</v>
      </c>
      <c r="D2339" s="957" t="s">
        <v>90</v>
      </c>
      <c r="E2339" s="144">
        <v>278.02999999999997</v>
      </c>
      <c r="F2339" s="139">
        <v>2.4782999999999999</v>
      </c>
      <c r="G2339" s="145">
        <v>689.04</v>
      </c>
      <c r="H2339" s="707">
        <v>332</v>
      </c>
      <c r="I2339" s="957" t="s">
        <v>2651</v>
      </c>
    </row>
    <row r="2340" spans="1:9" ht="12.75" customHeight="1" x14ac:dyDescent="0.2">
      <c r="A2340" s="130" t="str">
        <f t="shared" si="14"/>
        <v xml:space="preserve">  - Textura Interna333</v>
      </c>
      <c r="B2340" s="137" t="s">
        <v>1525</v>
      </c>
      <c r="C2340" s="137" t="s">
        <v>1522</v>
      </c>
      <c r="D2340" s="137"/>
      <c r="E2340" s="138"/>
      <c r="F2340" s="138"/>
      <c r="G2340" s="681">
        <v>17193.64</v>
      </c>
      <c r="H2340" s="707">
        <v>333</v>
      </c>
      <c r="I2340" s="137" t="s">
        <v>1581</v>
      </c>
    </row>
    <row r="2341" spans="1:9" ht="12.75" customHeight="1" x14ac:dyDescent="0.2">
      <c r="A2341" s="130" t="str">
        <f t="shared" si="14"/>
        <v xml:space="preserve">      Pintura Grafiatto - Hall334</v>
      </c>
      <c r="B2341" s="957" t="s">
        <v>1527</v>
      </c>
      <c r="C2341" s="957" t="s">
        <v>2321</v>
      </c>
      <c r="D2341" s="957" t="s">
        <v>90</v>
      </c>
      <c r="E2341" s="144">
        <v>224.05</v>
      </c>
      <c r="F2341" s="146">
        <v>17.707100000000001</v>
      </c>
      <c r="G2341" s="143">
        <v>3967.28</v>
      </c>
      <c r="H2341" s="707">
        <v>334</v>
      </c>
      <c r="I2341" s="957" t="s">
        <v>2652</v>
      </c>
    </row>
    <row r="2342" spans="1:9" ht="12.75" customHeight="1" x14ac:dyDescent="0.2">
      <c r="A2342" s="130" t="str">
        <f t="shared" si="14"/>
        <v xml:space="preserve">      Pintura Grafiatto - Lavabo335</v>
      </c>
      <c r="B2342" s="957" t="s">
        <v>1529</v>
      </c>
      <c r="C2342" s="957" t="s">
        <v>2322</v>
      </c>
      <c r="D2342" s="957" t="s">
        <v>90</v>
      </c>
      <c r="E2342" s="144">
        <v>288.20999999999998</v>
      </c>
      <c r="F2342" s="146">
        <v>17.707100000000001</v>
      </c>
      <c r="G2342" s="143">
        <v>5103.3599999999997</v>
      </c>
      <c r="H2342" s="707">
        <v>335</v>
      </c>
      <c r="I2342" s="957" t="s">
        <v>2653</v>
      </c>
    </row>
    <row r="2343" spans="1:9" ht="12.75" customHeight="1" x14ac:dyDescent="0.2">
      <c r="A2343" s="130" t="str">
        <f t="shared" si="14"/>
        <v xml:space="preserve">      Pintura Mofo 336</v>
      </c>
      <c r="B2343" s="957" t="s">
        <v>2323</v>
      </c>
      <c r="C2343" s="957" t="s">
        <v>2324</v>
      </c>
      <c r="D2343" s="957" t="s">
        <v>90</v>
      </c>
      <c r="E2343" s="139">
        <v>0</v>
      </c>
      <c r="F2343" s="139">
        <v>2.8591000000000002</v>
      </c>
      <c r="G2343" s="148">
        <v>0</v>
      </c>
      <c r="H2343" s="707">
        <v>336</v>
      </c>
      <c r="I2343" s="957" t="s">
        <v>2655</v>
      </c>
    </row>
    <row r="2344" spans="1:9" ht="12.75" customHeight="1" x14ac:dyDescent="0.2">
      <c r="A2344" s="130" t="str">
        <f t="shared" si="14"/>
        <v xml:space="preserve">      Textura rolada - Escada de incêndio337</v>
      </c>
      <c r="B2344" s="957" t="s">
        <v>2325</v>
      </c>
      <c r="C2344" s="957" t="s">
        <v>1524</v>
      </c>
      <c r="D2344" s="957" t="s">
        <v>90</v>
      </c>
      <c r="E2344" s="144">
        <v>365.74</v>
      </c>
      <c r="F2344" s="139">
        <v>2.4782999999999999</v>
      </c>
      <c r="G2344" s="145">
        <v>906.41</v>
      </c>
      <c r="H2344" s="707">
        <v>337</v>
      </c>
      <c r="I2344" s="957" t="s">
        <v>2656</v>
      </c>
    </row>
    <row r="2345" spans="1:9" ht="12.75" customHeight="1" x14ac:dyDescent="0.2">
      <c r="A2345" s="130" t="str">
        <f t="shared" si="14"/>
        <v xml:space="preserve">      Espala em Textura rolada - Escada de Incêndio 338</v>
      </c>
      <c r="B2345" s="957" t="s">
        <v>2326</v>
      </c>
      <c r="C2345" s="957" t="s">
        <v>2327</v>
      </c>
      <c r="D2345" s="957" t="s">
        <v>15</v>
      </c>
      <c r="E2345" s="139">
        <v>2.8</v>
      </c>
      <c r="F2345" s="139">
        <v>1.9793000000000001</v>
      </c>
      <c r="G2345" s="148">
        <v>5.54</v>
      </c>
      <c r="H2345" s="707">
        <v>338</v>
      </c>
      <c r="I2345" s="957" t="s">
        <v>2657</v>
      </c>
    </row>
    <row r="2346" spans="1:9" ht="12.75" customHeight="1" x14ac:dyDescent="0.2">
      <c r="A2346" s="130" t="str">
        <f t="shared" si="14"/>
        <v xml:space="preserve">      Textura rolada parede e teto - garagem339</v>
      </c>
      <c r="B2346" s="957" t="s">
        <v>2328</v>
      </c>
      <c r="C2346" s="957" t="s">
        <v>2141</v>
      </c>
      <c r="D2346" s="957" t="s">
        <v>90</v>
      </c>
      <c r="E2346" s="144">
        <v>670.54</v>
      </c>
      <c r="F2346" s="139">
        <v>2.4782999999999999</v>
      </c>
      <c r="G2346" s="143">
        <v>1661.8</v>
      </c>
      <c r="H2346" s="116">
        <v>339</v>
      </c>
      <c r="I2346" s="957" t="s">
        <v>2658</v>
      </c>
    </row>
    <row r="2347" spans="1:9" ht="12.75" customHeight="1" x14ac:dyDescent="0.2">
      <c r="A2347" s="130" t="str">
        <f t="shared" si="14"/>
        <v xml:space="preserve">      Espala em Textura rolada - garagem340</v>
      </c>
      <c r="B2347" s="957" t="s">
        <v>2329</v>
      </c>
      <c r="C2347" s="957" t="s">
        <v>2142</v>
      </c>
      <c r="D2347" s="957" t="s">
        <v>15</v>
      </c>
      <c r="E2347" s="144">
        <v>249.57</v>
      </c>
      <c r="F2347" s="139">
        <v>1.2641</v>
      </c>
      <c r="G2347" s="145">
        <v>315.48</v>
      </c>
      <c r="H2347" s="707">
        <v>340</v>
      </c>
      <c r="I2347" s="957" t="s">
        <v>2659</v>
      </c>
    </row>
    <row r="2348" spans="1:9" ht="12.75" customHeight="1" x14ac:dyDescent="0.2">
      <c r="A2348" s="130" t="str">
        <f t="shared" si="14"/>
        <v xml:space="preserve">      Pintura em parede 341</v>
      </c>
      <c r="B2348" s="957" t="s">
        <v>2330</v>
      </c>
      <c r="C2348" s="957" t="s">
        <v>2360</v>
      </c>
      <c r="D2348" s="957" t="s">
        <v>90</v>
      </c>
      <c r="E2348" s="144">
        <v>264.36</v>
      </c>
      <c r="F2348" s="146">
        <v>19.797899999999998</v>
      </c>
      <c r="G2348" s="143">
        <v>5233.7700000000004</v>
      </c>
      <c r="H2348" s="707">
        <v>341</v>
      </c>
      <c r="I2348" s="957" t="s">
        <v>2660</v>
      </c>
    </row>
    <row r="2349" spans="1:9" ht="12.75" customHeight="1" x14ac:dyDescent="0.2">
      <c r="A2349" s="130" t="str">
        <f t="shared" si="14"/>
        <v xml:space="preserve">  - Textura Externa Fachada342</v>
      </c>
      <c r="B2349" s="137" t="s">
        <v>1531</v>
      </c>
      <c r="C2349" s="137" t="s">
        <v>1526</v>
      </c>
      <c r="D2349" s="137"/>
      <c r="E2349" s="138"/>
      <c r="F2349" s="138"/>
      <c r="G2349" s="684">
        <v>434.95</v>
      </c>
      <c r="H2349" s="707">
        <v>342</v>
      </c>
      <c r="I2349" s="137" t="s">
        <v>1582</v>
      </c>
    </row>
    <row r="2350" spans="1:9" ht="12.75" customHeight="1" x14ac:dyDescent="0.2">
      <c r="A2350" s="130" t="str">
        <f t="shared" si="14"/>
        <v xml:space="preserve">      Textura rolada - muros (agreste)343</v>
      </c>
      <c r="B2350" s="957" t="s">
        <v>1532</v>
      </c>
      <c r="C2350" s="957" t="s">
        <v>2361</v>
      </c>
      <c r="D2350" s="957" t="s">
        <v>90</v>
      </c>
      <c r="E2350" s="144">
        <v>344.08</v>
      </c>
      <c r="F2350" s="139">
        <v>1.2641</v>
      </c>
      <c r="G2350" s="145">
        <v>434.95</v>
      </c>
      <c r="H2350" s="707">
        <v>343</v>
      </c>
      <c r="I2350" s="957" t="s">
        <v>2661</v>
      </c>
    </row>
    <row r="2351" spans="1:9" ht="12.75" customHeight="1" x14ac:dyDescent="0.2">
      <c r="A2351" s="130" t="str">
        <f t="shared" si="14"/>
        <v xml:space="preserve">  - Diversos Pintura344</v>
      </c>
      <c r="B2351" s="137" t="s">
        <v>2331</v>
      </c>
      <c r="C2351" s="137" t="s">
        <v>722</v>
      </c>
      <c r="D2351" s="137"/>
      <c r="E2351" s="138"/>
      <c r="F2351" s="138"/>
      <c r="G2351" s="685">
        <v>8378.6299999999992</v>
      </c>
      <c r="H2351" s="707">
        <v>344</v>
      </c>
      <c r="I2351" s="137" t="s">
        <v>371</v>
      </c>
    </row>
    <row r="2352" spans="1:9" ht="12.75" customHeight="1" x14ac:dyDescent="0.2">
      <c r="A2352" s="130" t="str">
        <f t="shared" si="14"/>
        <v xml:space="preserve">      Pintura em rodapé h= 8 cm - escada345</v>
      </c>
      <c r="B2352" s="957" t="s">
        <v>2332</v>
      </c>
      <c r="C2352" s="957" t="s">
        <v>505</v>
      </c>
      <c r="D2352" s="957" t="s">
        <v>15</v>
      </c>
      <c r="E2352" s="144">
        <v>153.27000000000001</v>
      </c>
      <c r="F2352" s="139">
        <v>1.0622</v>
      </c>
      <c r="G2352" s="145">
        <v>162.80000000000001</v>
      </c>
      <c r="H2352" s="116">
        <v>345</v>
      </c>
      <c r="I2352" s="957" t="s">
        <v>2662</v>
      </c>
    </row>
    <row r="2353" spans="1:9" ht="12.75" customHeight="1" x14ac:dyDescent="0.2">
      <c r="A2353" s="130" t="str">
        <f t="shared" si="14"/>
        <v xml:space="preserve">      Pintura Novacor em piso cor cinza346</v>
      </c>
      <c r="B2353" s="957" t="s">
        <v>2333</v>
      </c>
      <c r="C2353" s="957" t="s">
        <v>2143</v>
      </c>
      <c r="D2353" s="957" t="s">
        <v>90</v>
      </c>
      <c r="E2353" s="144">
        <v>121.58</v>
      </c>
      <c r="F2353" s="139">
        <v>1.4240999999999999</v>
      </c>
      <c r="G2353" s="145">
        <v>173.14</v>
      </c>
      <c r="H2353" s="116">
        <v>346</v>
      </c>
      <c r="I2353" s="957" t="s">
        <v>2663</v>
      </c>
    </row>
    <row r="2354" spans="1:9" ht="12.75" customHeight="1" x14ac:dyDescent="0.2">
      <c r="A2354" s="130" t="str">
        <f t="shared" si="14"/>
        <v xml:space="preserve">      Pintura em concreto aparente - teto347</v>
      </c>
      <c r="B2354" s="957" t="s">
        <v>2334</v>
      </c>
      <c r="C2354" s="957" t="s">
        <v>2335</v>
      </c>
      <c r="D2354" s="957" t="s">
        <v>90</v>
      </c>
      <c r="E2354" s="144">
        <v>852.59</v>
      </c>
      <c r="F2354" s="139">
        <v>3.6034000000000002</v>
      </c>
      <c r="G2354" s="143">
        <v>3072.22</v>
      </c>
      <c r="H2354" s="707">
        <v>347</v>
      </c>
      <c r="I2354" s="957" t="s">
        <v>2664</v>
      </c>
    </row>
    <row r="2355" spans="1:9" ht="12.75" customHeight="1" x14ac:dyDescent="0.2">
      <c r="A2355" s="130" t="str">
        <f t="shared" si="14"/>
        <v xml:space="preserve">      Tratamento de concreto - parede e teto348</v>
      </c>
      <c r="B2355" s="957" t="s">
        <v>2336</v>
      </c>
      <c r="C2355" s="957" t="s">
        <v>1534</v>
      </c>
      <c r="D2355" s="957" t="s">
        <v>90</v>
      </c>
      <c r="E2355" s="142">
        <v>1017.62</v>
      </c>
      <c r="F2355" s="139">
        <v>4.8844000000000003</v>
      </c>
      <c r="G2355" s="143">
        <v>4970.47</v>
      </c>
      <c r="H2355" s="707">
        <v>348</v>
      </c>
      <c r="I2355" s="957" t="s">
        <v>2665</v>
      </c>
    </row>
    <row r="2356" spans="1:9" ht="12.75" customHeight="1" x14ac:dyDescent="0.2">
      <c r="A2356" s="130" t="str">
        <f t="shared" si="14"/>
        <v>- DIVERSOS349</v>
      </c>
      <c r="B2356" s="137" t="s">
        <v>150</v>
      </c>
      <c r="C2356" s="137" t="s">
        <v>723</v>
      </c>
      <c r="D2356" s="137"/>
      <c r="E2356" s="138"/>
      <c r="F2356" s="138"/>
      <c r="G2356" s="680">
        <v>168850.1</v>
      </c>
      <c r="H2356" s="707">
        <v>349</v>
      </c>
      <c r="I2356" s="137" t="s">
        <v>372</v>
      </c>
    </row>
    <row r="2357" spans="1:9" ht="12.75" customHeight="1" x14ac:dyDescent="0.2">
      <c r="A2357" s="130" t="str">
        <f t="shared" si="14"/>
        <v xml:space="preserve">  - Grama350</v>
      </c>
      <c r="B2357" s="137" t="s">
        <v>711</v>
      </c>
      <c r="C2357" s="137" t="s">
        <v>191</v>
      </c>
      <c r="D2357" s="137"/>
      <c r="E2357" s="138"/>
      <c r="F2357" s="138"/>
      <c r="G2357" s="681">
        <v>27574.49</v>
      </c>
      <c r="H2357" s="116">
        <v>350</v>
      </c>
      <c r="I2357" s="137" t="s">
        <v>373</v>
      </c>
    </row>
    <row r="2358" spans="1:9" ht="12.75" customHeight="1" x14ac:dyDescent="0.2">
      <c r="A2358" s="130" t="str">
        <f t="shared" si="14"/>
        <v xml:space="preserve">      Plantio de grama sobre solo351</v>
      </c>
      <c r="B2358" s="957" t="s">
        <v>713</v>
      </c>
      <c r="C2358" s="957" t="s">
        <v>2144</v>
      </c>
      <c r="D2358" s="957" t="s">
        <v>90</v>
      </c>
      <c r="E2358" s="146">
        <v>53.62</v>
      </c>
      <c r="F2358" s="146">
        <v>15.1761</v>
      </c>
      <c r="G2358" s="145">
        <v>813.74</v>
      </c>
      <c r="H2358" s="707">
        <v>351</v>
      </c>
      <c r="I2358" s="957" t="s">
        <v>2666</v>
      </c>
    </row>
    <row r="2359" spans="1:9" ht="12.75" customHeight="1" x14ac:dyDescent="0.2">
      <c r="A2359" s="130" t="str">
        <f t="shared" si="14"/>
        <v xml:space="preserve">      Plantio de grama sobre laje352</v>
      </c>
      <c r="B2359" s="957" t="s">
        <v>714</v>
      </c>
      <c r="C2359" s="957" t="s">
        <v>509</v>
      </c>
      <c r="D2359" s="957" t="s">
        <v>90</v>
      </c>
      <c r="E2359" s="146">
        <v>86.89</v>
      </c>
      <c r="F2359" s="146">
        <v>20.264199999999999</v>
      </c>
      <c r="G2359" s="143">
        <v>1760.75</v>
      </c>
      <c r="H2359" s="707">
        <v>352</v>
      </c>
      <c r="I2359" s="957" t="s">
        <v>2667</v>
      </c>
    </row>
    <row r="2360" spans="1:9" ht="12.75" customHeight="1" x14ac:dyDescent="0.2">
      <c r="A2360" s="130" t="str">
        <f t="shared" si="14"/>
        <v xml:space="preserve">      Paisagismo353</v>
      </c>
      <c r="B2360" s="957" t="s">
        <v>2145</v>
      </c>
      <c r="C2360" s="957" t="s">
        <v>420</v>
      </c>
      <c r="D2360" s="957" t="s">
        <v>7</v>
      </c>
      <c r="E2360" s="139">
        <v>1</v>
      </c>
      <c r="F2360" s="140">
        <v>25000</v>
      </c>
      <c r="G2360" s="141">
        <v>25000</v>
      </c>
      <c r="H2360" s="707">
        <v>353</v>
      </c>
      <c r="I2360" s="957" t="s">
        <v>2668</v>
      </c>
    </row>
    <row r="2361" spans="1:9" ht="12.75" customHeight="1" x14ac:dyDescent="0.2">
      <c r="A2361" s="130" t="str">
        <f t="shared" si="14"/>
        <v xml:space="preserve">  - Limpeza354</v>
      </c>
      <c r="B2361" s="137" t="s">
        <v>715</v>
      </c>
      <c r="C2361" s="137" t="s">
        <v>724</v>
      </c>
      <c r="D2361" s="137"/>
      <c r="E2361" s="138"/>
      <c r="F2361" s="138"/>
      <c r="G2361" s="681">
        <v>28942.51</v>
      </c>
      <c r="H2361" s="707">
        <v>354</v>
      </c>
      <c r="I2361" s="137" t="s">
        <v>374</v>
      </c>
    </row>
    <row r="2362" spans="1:9" ht="12.75" customHeight="1" x14ac:dyDescent="0.2">
      <c r="A2362" s="130" t="str">
        <f t="shared" si="14"/>
        <v xml:space="preserve">      Lavagem de fachada355</v>
      </c>
      <c r="B2362" s="957" t="s">
        <v>716</v>
      </c>
      <c r="C2362" s="957" t="s">
        <v>511</v>
      </c>
      <c r="D2362" s="957" t="s">
        <v>90</v>
      </c>
      <c r="E2362" s="142">
        <v>1818.43</v>
      </c>
      <c r="F2362" s="139">
        <v>8.5</v>
      </c>
      <c r="G2362" s="141">
        <v>15456.66</v>
      </c>
      <c r="H2362" s="116">
        <v>355</v>
      </c>
      <c r="I2362" s="957" t="s">
        <v>2669</v>
      </c>
    </row>
    <row r="2363" spans="1:9" ht="12.75" customHeight="1" x14ac:dyDescent="0.2">
      <c r="A2363" s="130" t="str">
        <f t="shared" si="14"/>
        <v xml:space="preserve">      Limpeza final356</v>
      </c>
      <c r="B2363" s="957" t="s">
        <v>717</v>
      </c>
      <c r="C2363" s="957" t="s">
        <v>151</v>
      </c>
      <c r="D2363" s="957" t="s">
        <v>7</v>
      </c>
      <c r="E2363" s="139">
        <v>1</v>
      </c>
      <c r="F2363" s="142">
        <v>6432.78</v>
      </c>
      <c r="G2363" s="143">
        <v>6432.78</v>
      </c>
      <c r="H2363" s="707">
        <v>356</v>
      </c>
      <c r="I2363" s="957" t="s">
        <v>2670</v>
      </c>
    </row>
    <row r="2364" spans="1:9" ht="12.75" customHeight="1" x14ac:dyDescent="0.2">
      <c r="A2364" s="130" t="str">
        <f t="shared" si="14"/>
        <v xml:space="preserve">      Proteção para piso357</v>
      </c>
      <c r="B2364" s="957" t="s">
        <v>2146</v>
      </c>
      <c r="C2364" s="957" t="s">
        <v>2147</v>
      </c>
      <c r="D2364" s="957" t="s">
        <v>90</v>
      </c>
      <c r="E2364" s="142">
        <v>1448.21</v>
      </c>
      <c r="F2364" s="139">
        <v>3.9013</v>
      </c>
      <c r="G2364" s="143">
        <v>5649.9</v>
      </c>
      <c r="H2364" s="116">
        <v>357</v>
      </c>
      <c r="I2364" s="957" t="s">
        <v>2671</v>
      </c>
    </row>
    <row r="2365" spans="1:9" ht="12.75" customHeight="1" x14ac:dyDescent="0.2">
      <c r="A2365" s="130" t="str">
        <f t="shared" si="14"/>
        <v xml:space="preserve">      Proteção para bancada358</v>
      </c>
      <c r="B2365" s="957" t="s">
        <v>2148</v>
      </c>
      <c r="C2365" s="957" t="s">
        <v>2149</v>
      </c>
      <c r="D2365" s="957" t="s">
        <v>90</v>
      </c>
      <c r="E2365" s="146">
        <v>98.98</v>
      </c>
      <c r="F2365" s="146">
        <v>14.176299999999999</v>
      </c>
      <c r="G2365" s="143">
        <v>1403.17</v>
      </c>
      <c r="H2365" s="707">
        <v>358</v>
      </c>
      <c r="I2365" s="957" t="s">
        <v>2672</v>
      </c>
    </row>
    <row r="2366" spans="1:9" ht="12.75" customHeight="1" x14ac:dyDescent="0.2">
      <c r="A2366" s="130" t="str">
        <f t="shared" si="14"/>
        <v xml:space="preserve">  - Serviços Complementares359</v>
      </c>
      <c r="B2366" s="137" t="s">
        <v>718</v>
      </c>
      <c r="C2366" s="137" t="s">
        <v>1535</v>
      </c>
      <c r="D2366" s="137"/>
      <c r="E2366" s="138"/>
      <c r="F2366" s="138"/>
      <c r="G2366" s="680">
        <v>112333.1</v>
      </c>
      <c r="H2366" s="116">
        <v>359</v>
      </c>
      <c r="I2366" s="137" t="s">
        <v>1583</v>
      </c>
    </row>
    <row r="2367" spans="1:9" ht="12.75" customHeight="1" x14ac:dyDescent="0.2">
      <c r="A2367" s="130" t="str">
        <f t="shared" si="14"/>
        <v xml:space="preserve">      Identificação visual do edifício360</v>
      </c>
      <c r="B2367" s="957" t="s">
        <v>720</v>
      </c>
      <c r="C2367" s="957" t="s">
        <v>2337</v>
      </c>
      <c r="D2367" s="957" t="s">
        <v>7</v>
      </c>
      <c r="E2367" s="139">
        <v>1</v>
      </c>
      <c r="F2367" s="142">
        <v>7000</v>
      </c>
      <c r="G2367" s="143">
        <v>7000</v>
      </c>
      <c r="H2367" s="707">
        <v>360</v>
      </c>
      <c r="I2367" s="957" t="s">
        <v>2673</v>
      </c>
    </row>
    <row r="2368" spans="1:9" ht="12.75" customHeight="1" x14ac:dyDescent="0.2">
      <c r="A2368" s="130" t="str">
        <f t="shared" si="14"/>
        <v xml:space="preserve">      Numeração dos apartamentos361</v>
      </c>
      <c r="B2368" s="957" t="s">
        <v>721</v>
      </c>
      <c r="C2368" s="957" t="s">
        <v>514</v>
      </c>
      <c r="D2368" s="957" t="s">
        <v>8</v>
      </c>
      <c r="E2368" s="146">
        <v>12</v>
      </c>
      <c r="F2368" s="146">
        <v>25</v>
      </c>
      <c r="G2368" s="145">
        <v>300</v>
      </c>
      <c r="H2368" s="707">
        <v>361</v>
      </c>
      <c r="I2368" s="957" t="s">
        <v>2674</v>
      </c>
    </row>
    <row r="2369" spans="1:9" ht="12.75" customHeight="1" x14ac:dyDescent="0.2">
      <c r="A2369" s="130" t="str">
        <f t="shared" si="14"/>
        <v xml:space="preserve">      Caixa de captação 2.800 L362</v>
      </c>
      <c r="B2369" s="957" t="s">
        <v>815</v>
      </c>
      <c r="C2369" s="957" t="s">
        <v>2338</v>
      </c>
      <c r="D2369" s="957" t="s">
        <v>8</v>
      </c>
      <c r="E2369" s="139">
        <v>1</v>
      </c>
      <c r="F2369" s="142">
        <v>2238</v>
      </c>
      <c r="G2369" s="143">
        <v>2238</v>
      </c>
      <c r="H2369" s="707">
        <v>362</v>
      </c>
      <c r="I2369" s="957" t="s">
        <v>2675</v>
      </c>
    </row>
    <row r="2370" spans="1:9" ht="12.75" customHeight="1" x14ac:dyDescent="0.2">
      <c r="A2370" s="130" t="str">
        <f t="shared" si="14"/>
        <v xml:space="preserve">      Reservatório Fortlev 5.000 L363</v>
      </c>
      <c r="B2370" s="957" t="s">
        <v>816</v>
      </c>
      <c r="C2370" s="957" t="s">
        <v>2339</v>
      </c>
      <c r="D2370" s="957" t="s">
        <v>8</v>
      </c>
      <c r="E2370" s="139">
        <v>2</v>
      </c>
      <c r="F2370" s="142">
        <v>2009</v>
      </c>
      <c r="G2370" s="143">
        <v>4018</v>
      </c>
      <c r="H2370" s="707">
        <v>363</v>
      </c>
      <c r="I2370" s="957" t="s">
        <v>2676</v>
      </c>
    </row>
    <row r="2371" spans="1:9" ht="12.75" customHeight="1" x14ac:dyDescent="0.2">
      <c r="A2371" s="130" t="str">
        <f t="shared" si="14"/>
        <v xml:space="preserve">      Reservatório Fortlev 10.000 L364</v>
      </c>
      <c r="B2371" s="957" t="s">
        <v>817</v>
      </c>
      <c r="C2371" s="957" t="s">
        <v>2150</v>
      </c>
      <c r="D2371" s="957" t="s">
        <v>8</v>
      </c>
      <c r="E2371" s="139">
        <v>2</v>
      </c>
      <c r="F2371" s="142">
        <v>3187</v>
      </c>
      <c r="G2371" s="143">
        <v>6374</v>
      </c>
      <c r="H2371" s="116">
        <v>364</v>
      </c>
      <c r="I2371" s="957" t="s">
        <v>2677</v>
      </c>
    </row>
    <row r="2372" spans="1:9" ht="12.75" customHeight="1" x14ac:dyDescent="0.2">
      <c r="A2372" s="130" t="str">
        <f t="shared" si="14"/>
        <v xml:space="preserve">      Decoração Portaria incluso mobiliario365</v>
      </c>
      <c r="B2372" s="957" t="s">
        <v>819</v>
      </c>
      <c r="C2372" s="957" t="s">
        <v>2340</v>
      </c>
      <c r="D2372" s="957" t="s">
        <v>7</v>
      </c>
      <c r="E2372" s="139">
        <v>1</v>
      </c>
      <c r="F2372" s="140">
        <v>50000</v>
      </c>
      <c r="G2372" s="141">
        <v>50000</v>
      </c>
      <c r="H2372" s="707">
        <v>365</v>
      </c>
      <c r="I2372" s="957" t="s">
        <v>2678</v>
      </c>
    </row>
    <row r="2373" spans="1:9" ht="12.75" customHeight="1" x14ac:dyDescent="0.2">
      <c r="A2373" s="130" t="str">
        <f t="shared" si="14"/>
        <v xml:space="preserve">      Equipamento para piscina366</v>
      </c>
      <c r="B2373" s="957" t="s">
        <v>821</v>
      </c>
      <c r="C2373" s="957" t="s">
        <v>1537</v>
      </c>
      <c r="D2373" s="957" t="s">
        <v>7</v>
      </c>
      <c r="E2373" s="139">
        <v>1</v>
      </c>
      <c r="F2373" s="140">
        <v>17750</v>
      </c>
      <c r="G2373" s="141">
        <v>17750</v>
      </c>
      <c r="H2373" s="707">
        <v>366</v>
      </c>
      <c r="I2373" s="957" t="s">
        <v>2679</v>
      </c>
    </row>
    <row r="2374" spans="1:9" ht="12.75" customHeight="1" x14ac:dyDescent="0.2">
      <c r="A2374" s="130" t="str">
        <f t="shared" si="14"/>
        <v xml:space="preserve">      Tratamento de Piso em Concreto das Garagens (pintura inclusa)367</v>
      </c>
      <c r="B2374" s="957" t="s">
        <v>822</v>
      </c>
      <c r="C2374" s="957" t="s">
        <v>2151</v>
      </c>
      <c r="D2374" s="957" t="s">
        <v>90</v>
      </c>
      <c r="E2374" s="144">
        <v>821.77</v>
      </c>
      <c r="F2374" s="146">
        <v>30</v>
      </c>
      <c r="G2374" s="141">
        <v>24653.1</v>
      </c>
      <c r="H2374" s="116">
        <v>367</v>
      </c>
      <c r="I2374" s="957" t="s">
        <v>2680</v>
      </c>
    </row>
    <row r="2375" spans="1:9" ht="12.75" customHeight="1" x14ac:dyDescent="0.2">
      <c r="B2375" s="984" t="s">
        <v>62</v>
      </c>
      <c r="C2375" s="985"/>
      <c r="D2375" s="985"/>
      <c r="E2375" s="985"/>
      <c r="F2375" s="986"/>
      <c r="G2375" s="686">
        <v>5458222.3700000001</v>
      </c>
      <c r="H2375" s="124"/>
      <c r="I2375" s="124"/>
    </row>
    <row r="2376" spans="1:9" ht="12.75" customHeight="1" x14ac:dyDescent="0.2">
      <c r="A2376" s="130" t="str">
        <f t="shared" ref="A2376:A2398" si="15">I2376&amp;H2376</f>
        <v>- LICENÇAS, TAXAS E EMOLUMENTOS1</v>
      </c>
      <c r="B2376" s="137" t="s">
        <v>75</v>
      </c>
      <c r="C2376" s="137" t="s">
        <v>152</v>
      </c>
      <c r="D2376" s="137"/>
      <c r="E2376" s="138"/>
      <c r="F2376" s="138"/>
      <c r="G2376" s="680">
        <v>174469.87</v>
      </c>
      <c r="H2376" s="114">
        <v>1</v>
      </c>
      <c r="I2376" s="137" t="s">
        <v>64</v>
      </c>
    </row>
    <row r="2377" spans="1:9" ht="12.75" customHeight="1" x14ac:dyDescent="0.2">
      <c r="A2377" s="130" t="str">
        <f t="shared" si="15"/>
        <v xml:space="preserve">      Despesas CREA2</v>
      </c>
      <c r="B2377" s="957" t="s">
        <v>76</v>
      </c>
      <c r="C2377" s="957" t="s">
        <v>448</v>
      </c>
      <c r="D2377" s="957" t="s">
        <v>7</v>
      </c>
      <c r="E2377" s="139">
        <v>1</v>
      </c>
      <c r="F2377" s="144">
        <v>900</v>
      </c>
      <c r="G2377" s="145">
        <v>900</v>
      </c>
      <c r="H2377" s="706">
        <v>2</v>
      </c>
      <c r="I2377" s="957" t="s">
        <v>2681</v>
      </c>
    </row>
    <row r="2378" spans="1:9" ht="12.75" customHeight="1" x14ac:dyDescent="0.2">
      <c r="A2378" s="130" t="str">
        <f t="shared" si="15"/>
        <v xml:space="preserve">      Taxas3</v>
      </c>
      <c r="B2378" s="957" t="s">
        <v>77</v>
      </c>
      <c r="C2378" s="957" t="s">
        <v>823</v>
      </c>
      <c r="D2378" s="957" t="s">
        <v>7</v>
      </c>
      <c r="E2378" s="139">
        <v>1</v>
      </c>
      <c r="F2378" s="140">
        <v>35963.865100000003</v>
      </c>
      <c r="G2378" s="141">
        <v>35963.870000000003</v>
      </c>
      <c r="H2378" s="706">
        <v>3</v>
      </c>
      <c r="I2378" s="957" t="s">
        <v>2683</v>
      </c>
    </row>
    <row r="2379" spans="1:9" ht="12.75" customHeight="1" x14ac:dyDescent="0.2">
      <c r="A2379" s="130" t="str">
        <f t="shared" si="15"/>
        <v xml:space="preserve">      Contabilidade da obra4</v>
      </c>
      <c r="B2379" s="957" t="s">
        <v>78</v>
      </c>
      <c r="C2379" s="957" t="s">
        <v>516</v>
      </c>
      <c r="D2379" s="957" t="s">
        <v>10</v>
      </c>
      <c r="E2379" s="146">
        <v>26</v>
      </c>
      <c r="F2379" s="142">
        <v>1031</v>
      </c>
      <c r="G2379" s="141">
        <v>26806</v>
      </c>
      <c r="H2379" s="706">
        <v>4</v>
      </c>
      <c r="I2379" s="957" t="s">
        <v>2684</v>
      </c>
    </row>
    <row r="2380" spans="1:9" ht="12.75" customHeight="1" x14ac:dyDescent="0.2">
      <c r="A2380" s="130" t="str">
        <f t="shared" si="15"/>
        <v xml:space="preserve">      Custos advocatícios5</v>
      </c>
      <c r="B2380" s="957" t="s">
        <v>79</v>
      </c>
      <c r="C2380" s="957" t="s">
        <v>1973</v>
      </c>
      <c r="D2380" s="957" t="s">
        <v>7</v>
      </c>
      <c r="E2380" s="139">
        <v>1</v>
      </c>
      <c r="F2380" s="140">
        <v>60000</v>
      </c>
      <c r="G2380" s="141">
        <v>60000</v>
      </c>
      <c r="H2380" s="706">
        <v>5</v>
      </c>
      <c r="I2380" s="957" t="s">
        <v>2685</v>
      </c>
    </row>
    <row r="2381" spans="1:9" ht="12.75" customHeight="1" x14ac:dyDescent="0.2">
      <c r="A2381" s="130" t="str">
        <f t="shared" si="15"/>
        <v xml:space="preserve">      NBR6</v>
      </c>
      <c r="B2381" s="957" t="s">
        <v>80</v>
      </c>
      <c r="C2381" s="957" t="s">
        <v>2341</v>
      </c>
      <c r="D2381" s="957" t="s">
        <v>8</v>
      </c>
      <c r="E2381" s="139">
        <v>1</v>
      </c>
      <c r="F2381" s="142">
        <v>2400</v>
      </c>
      <c r="G2381" s="143">
        <v>2400</v>
      </c>
      <c r="H2381" s="706">
        <v>6</v>
      </c>
      <c r="I2381" s="957" t="s">
        <v>2686</v>
      </c>
    </row>
    <row r="2382" spans="1:9" ht="12.75" customHeight="1" x14ac:dyDescent="0.2">
      <c r="A2382" s="130" t="str">
        <f t="shared" si="15"/>
        <v xml:space="preserve">      Habite-se7</v>
      </c>
      <c r="B2382" s="957" t="s">
        <v>81</v>
      </c>
      <c r="C2382" s="957" t="s">
        <v>508</v>
      </c>
      <c r="D2382" s="957" t="s">
        <v>7</v>
      </c>
      <c r="E2382" s="139">
        <v>1</v>
      </c>
      <c r="F2382" s="142">
        <v>4000</v>
      </c>
      <c r="G2382" s="143">
        <v>4000</v>
      </c>
      <c r="H2382" s="706">
        <v>7</v>
      </c>
      <c r="I2382" s="957" t="s">
        <v>2687</v>
      </c>
    </row>
    <row r="2383" spans="1:9" ht="12.75" customHeight="1" x14ac:dyDescent="0.2">
      <c r="A2383" s="130" t="str">
        <f t="shared" si="15"/>
        <v xml:space="preserve">      IPTU8</v>
      </c>
      <c r="B2383" s="957" t="s">
        <v>153</v>
      </c>
      <c r="C2383" s="957" t="s">
        <v>17</v>
      </c>
      <c r="D2383" s="957" t="s">
        <v>10</v>
      </c>
      <c r="E2383" s="146">
        <v>24</v>
      </c>
      <c r="F2383" s="142">
        <v>1850</v>
      </c>
      <c r="G2383" s="141">
        <v>44400</v>
      </c>
      <c r="H2383" s="706">
        <v>8</v>
      </c>
      <c r="I2383" s="957" t="s">
        <v>2688</v>
      </c>
    </row>
    <row r="2384" spans="1:9" ht="12.75" customHeight="1" x14ac:dyDescent="0.2">
      <c r="A2384" s="130" t="str">
        <f t="shared" si="15"/>
        <v>- SEGURANÇA DO TRABALHO9</v>
      </c>
      <c r="B2384" s="137" t="s">
        <v>82</v>
      </c>
      <c r="C2384" s="137" t="s">
        <v>154</v>
      </c>
      <c r="D2384" s="137"/>
      <c r="E2384" s="138"/>
      <c r="F2384" s="138"/>
      <c r="G2384" s="681">
        <v>65715.25</v>
      </c>
      <c r="H2384" s="114">
        <v>9</v>
      </c>
      <c r="I2384" s="137" t="s">
        <v>65</v>
      </c>
    </row>
    <row r="2385" spans="1:9" ht="12.75" customHeight="1" x14ac:dyDescent="0.2">
      <c r="A2385" s="130" t="str">
        <f t="shared" si="15"/>
        <v xml:space="preserve">      Equipamento de proteção coletiva10</v>
      </c>
      <c r="B2385" s="957" t="s">
        <v>83</v>
      </c>
      <c r="C2385" s="957" t="s">
        <v>517</v>
      </c>
      <c r="D2385" s="957" t="s">
        <v>10</v>
      </c>
      <c r="E2385" s="146">
        <v>22</v>
      </c>
      <c r="F2385" s="144">
        <v>139.35319999999999</v>
      </c>
      <c r="G2385" s="143">
        <v>3065.77</v>
      </c>
      <c r="H2385" s="219">
        <v>10</v>
      </c>
      <c r="I2385" s="957" t="s">
        <v>2690</v>
      </c>
    </row>
    <row r="2386" spans="1:9" ht="12.75" customHeight="1" x14ac:dyDescent="0.2">
      <c r="A2386" s="130" t="str">
        <f t="shared" si="15"/>
        <v xml:space="preserve">      EPIs11</v>
      </c>
      <c r="B2386" s="957" t="s">
        <v>84</v>
      </c>
      <c r="C2386" s="957" t="s">
        <v>155</v>
      </c>
      <c r="D2386" s="957" t="s">
        <v>8</v>
      </c>
      <c r="E2386" s="144">
        <v>130</v>
      </c>
      <c r="F2386" s="146">
        <v>69.221100000000007</v>
      </c>
      <c r="G2386" s="143">
        <v>8998.74</v>
      </c>
      <c r="H2386" s="219">
        <v>11</v>
      </c>
      <c r="I2386" s="957" t="s">
        <v>2691</v>
      </c>
    </row>
    <row r="2387" spans="1:9" ht="12.75" customHeight="1" x14ac:dyDescent="0.2">
      <c r="A2387" s="130" t="str">
        <f t="shared" si="15"/>
        <v xml:space="preserve">      Bandeja principal plana e inclinada (aparalixo) - 3º pavto12</v>
      </c>
      <c r="B2387" s="957" t="s">
        <v>85</v>
      </c>
      <c r="C2387" s="957" t="s">
        <v>2342</v>
      </c>
      <c r="D2387" s="957" t="s">
        <v>15</v>
      </c>
      <c r="E2387" s="146">
        <v>86.96</v>
      </c>
      <c r="F2387" s="144">
        <v>180.68199999999999</v>
      </c>
      <c r="G2387" s="141">
        <v>15712.11</v>
      </c>
      <c r="H2387" s="219">
        <v>12</v>
      </c>
      <c r="I2387" s="957" t="s">
        <v>2692</v>
      </c>
    </row>
    <row r="2388" spans="1:9" ht="12.75" customHeight="1" x14ac:dyDescent="0.2">
      <c r="A2388" s="130" t="str">
        <f t="shared" si="15"/>
        <v xml:space="preserve">      Bandeja de proteção secundaria - 6º pavto13</v>
      </c>
      <c r="B2388" s="957" t="s">
        <v>157</v>
      </c>
      <c r="C2388" s="957" t="s">
        <v>2343</v>
      </c>
      <c r="D2388" s="957" t="s">
        <v>15</v>
      </c>
      <c r="E2388" s="146">
        <v>86.96</v>
      </c>
      <c r="F2388" s="144">
        <v>119.0051</v>
      </c>
      <c r="G2388" s="141">
        <v>10348.68</v>
      </c>
      <c r="H2388" s="219">
        <v>13</v>
      </c>
      <c r="I2388" s="957" t="s">
        <v>2693</v>
      </c>
    </row>
    <row r="2389" spans="1:9" ht="12.75" customHeight="1" x14ac:dyDescent="0.2">
      <c r="A2389" s="130" t="str">
        <f t="shared" si="15"/>
        <v xml:space="preserve">      Tela de proteção de fachada14</v>
      </c>
      <c r="B2389" s="957" t="s">
        <v>158</v>
      </c>
      <c r="C2389" s="957" t="s">
        <v>159</v>
      </c>
      <c r="D2389" s="957" t="s">
        <v>90</v>
      </c>
      <c r="E2389" s="142">
        <v>1506.1</v>
      </c>
      <c r="F2389" s="139">
        <v>1.8547</v>
      </c>
      <c r="G2389" s="143">
        <v>2793.36</v>
      </c>
      <c r="H2389" s="219">
        <v>14</v>
      </c>
      <c r="I2389" s="957" t="s">
        <v>2694</v>
      </c>
    </row>
    <row r="2390" spans="1:9" ht="12.75" customHeight="1" x14ac:dyDescent="0.2">
      <c r="A2390" s="130" t="str">
        <f t="shared" si="15"/>
        <v xml:space="preserve">      Proteção perimetral dos andares - 2 pavtos15</v>
      </c>
      <c r="B2390" s="957" t="s">
        <v>518</v>
      </c>
      <c r="C2390" s="957" t="s">
        <v>2344</v>
      </c>
      <c r="D2390" s="957" t="s">
        <v>15</v>
      </c>
      <c r="E2390" s="144">
        <v>173.92</v>
      </c>
      <c r="F2390" s="146">
        <v>43.55</v>
      </c>
      <c r="G2390" s="143">
        <v>7574.22</v>
      </c>
      <c r="H2390" s="219">
        <v>15</v>
      </c>
      <c r="I2390" s="957" t="s">
        <v>2695</v>
      </c>
    </row>
    <row r="2391" spans="1:9" ht="12.75" customHeight="1" x14ac:dyDescent="0.2">
      <c r="A2391" s="130" t="str">
        <f t="shared" si="15"/>
        <v xml:space="preserve">      Proteção de poço de elevador16</v>
      </c>
      <c r="B2391" s="957" t="s">
        <v>519</v>
      </c>
      <c r="C2391" s="957" t="s">
        <v>458</v>
      </c>
      <c r="D2391" s="957" t="s">
        <v>8</v>
      </c>
      <c r="E2391" s="146">
        <v>18</v>
      </c>
      <c r="F2391" s="146">
        <v>45.222299999999997</v>
      </c>
      <c r="G2391" s="145">
        <v>814</v>
      </c>
      <c r="H2391" s="219">
        <v>16</v>
      </c>
      <c r="I2391" s="957" t="s">
        <v>2696</v>
      </c>
    </row>
    <row r="2392" spans="1:9" ht="12.75" customHeight="1" x14ac:dyDescent="0.2">
      <c r="A2392" s="130" t="str">
        <f t="shared" si="15"/>
        <v xml:space="preserve">      Apoio para montagem  de linha de vida - 2 pavtos17</v>
      </c>
      <c r="B2392" s="957" t="s">
        <v>520</v>
      </c>
      <c r="C2392" s="957" t="s">
        <v>2345</v>
      </c>
      <c r="D2392" s="957" t="s">
        <v>7</v>
      </c>
      <c r="E2392" s="139">
        <v>1</v>
      </c>
      <c r="F2392" s="142">
        <v>4000</v>
      </c>
      <c r="G2392" s="143">
        <v>4000</v>
      </c>
      <c r="H2392" s="219">
        <v>17</v>
      </c>
      <c r="I2392" s="957" t="s">
        <v>2697</v>
      </c>
    </row>
    <row r="2393" spans="1:9" ht="12.75" customHeight="1" x14ac:dyDescent="0.2">
      <c r="A2393" s="130" t="str">
        <f t="shared" si="15"/>
        <v xml:space="preserve">      Treinamentos18</v>
      </c>
      <c r="B2393" s="957" t="s">
        <v>521</v>
      </c>
      <c r="C2393" s="957" t="s">
        <v>386</v>
      </c>
      <c r="D2393" s="957" t="s">
        <v>7</v>
      </c>
      <c r="E2393" s="139">
        <v>1</v>
      </c>
      <c r="F2393" s="142">
        <v>2500</v>
      </c>
      <c r="G2393" s="143">
        <v>2500</v>
      </c>
      <c r="H2393" s="219">
        <v>18</v>
      </c>
      <c r="I2393" s="957" t="s">
        <v>2698</v>
      </c>
    </row>
    <row r="2394" spans="1:9" ht="12.75" customHeight="1" x14ac:dyDescent="0.2">
      <c r="A2394" s="130" t="str">
        <f t="shared" si="15"/>
        <v xml:space="preserve">      Uniforme completo19</v>
      </c>
      <c r="B2394" s="957" t="s">
        <v>2346</v>
      </c>
      <c r="C2394" s="957" t="s">
        <v>522</v>
      </c>
      <c r="D2394" s="957" t="s">
        <v>8</v>
      </c>
      <c r="E2394" s="144">
        <v>130</v>
      </c>
      <c r="F2394" s="146">
        <v>59.6798</v>
      </c>
      <c r="G2394" s="143">
        <v>7758.37</v>
      </c>
      <c r="H2394" s="115">
        <v>19</v>
      </c>
      <c r="I2394" s="957" t="s">
        <v>2699</v>
      </c>
    </row>
    <row r="2395" spans="1:9" ht="12.75" customHeight="1" x14ac:dyDescent="0.2">
      <c r="A2395" s="130" t="str">
        <f t="shared" si="15"/>
        <v xml:space="preserve">      Exames médicos20</v>
      </c>
      <c r="B2395" s="957" t="s">
        <v>2347</v>
      </c>
      <c r="C2395" s="957" t="s">
        <v>2152</v>
      </c>
      <c r="D2395" s="957" t="s">
        <v>8</v>
      </c>
      <c r="E2395" s="146">
        <v>43</v>
      </c>
      <c r="F2395" s="146">
        <v>50</v>
      </c>
      <c r="G2395" s="143">
        <v>2150</v>
      </c>
      <c r="H2395" s="115">
        <v>20</v>
      </c>
      <c r="I2395" s="957" t="s">
        <v>2700</v>
      </c>
    </row>
    <row r="2396" spans="1:9" ht="12.75" customHeight="1" x14ac:dyDescent="0.2">
      <c r="A2396" s="130" t="str">
        <f t="shared" si="15"/>
        <v>- CUSTOS INDIRETOS - PESSOAL21</v>
      </c>
      <c r="B2396" s="137" t="s">
        <v>86</v>
      </c>
      <c r="C2396" s="137" t="s">
        <v>523</v>
      </c>
      <c r="D2396" s="137"/>
      <c r="E2396" s="138"/>
      <c r="F2396" s="138"/>
      <c r="G2396" s="682">
        <v>1475807.01</v>
      </c>
      <c r="H2396" s="219">
        <v>21</v>
      </c>
      <c r="I2396" s="137" t="s">
        <v>327</v>
      </c>
    </row>
    <row r="2397" spans="1:9" ht="12.75" customHeight="1" x14ac:dyDescent="0.2">
      <c r="A2397" s="130" t="str">
        <f t="shared" si="15"/>
        <v xml:space="preserve">    - Mão de Obra Administrativa22</v>
      </c>
      <c r="B2397" s="137" t="s">
        <v>524</v>
      </c>
      <c r="C2397" s="137" t="s">
        <v>525</v>
      </c>
      <c r="D2397" s="137"/>
      <c r="E2397" s="138"/>
      <c r="F2397" s="138"/>
      <c r="G2397" s="680">
        <v>848019.21</v>
      </c>
      <c r="H2397" s="219">
        <v>22</v>
      </c>
      <c r="I2397" s="137" t="s">
        <v>2701</v>
      </c>
    </row>
    <row r="2398" spans="1:9" ht="12.75" customHeight="1" x14ac:dyDescent="0.2">
      <c r="A2398" s="130" t="str">
        <f t="shared" si="15"/>
        <v xml:space="preserve">      Engenharia de obra23</v>
      </c>
      <c r="B2398" s="957" t="s">
        <v>526</v>
      </c>
      <c r="C2398" s="957" t="s">
        <v>527</v>
      </c>
      <c r="D2398" s="957" t="s">
        <v>10</v>
      </c>
      <c r="E2398" s="146">
        <v>23</v>
      </c>
      <c r="F2398" s="142">
        <v>7000</v>
      </c>
      <c r="G2398" s="683">
        <v>161000</v>
      </c>
      <c r="H2398" s="219">
        <v>23</v>
      </c>
      <c r="I2398" s="957" t="s">
        <v>2702</v>
      </c>
    </row>
    <row r="2399" spans="1:9" ht="12.75" customHeight="1" x14ac:dyDescent="0.2">
      <c r="A2399" s="130" t="str">
        <f t="shared" ref="A2399:A2462" si="16">I2399&amp;H2399</f>
        <v xml:space="preserve">      Estagiário24</v>
      </c>
      <c r="B2399" s="957" t="s">
        <v>528</v>
      </c>
      <c r="C2399" s="957" t="s">
        <v>824</v>
      </c>
      <c r="D2399" s="957" t="s">
        <v>10</v>
      </c>
      <c r="E2399" s="146">
        <v>24</v>
      </c>
      <c r="F2399" s="142">
        <v>1300</v>
      </c>
      <c r="G2399" s="141">
        <v>31200</v>
      </c>
      <c r="H2399" s="219">
        <v>24</v>
      </c>
      <c r="I2399" s="957" t="s">
        <v>2703</v>
      </c>
    </row>
    <row r="2400" spans="1:9" ht="12.75" customHeight="1" x14ac:dyDescent="0.2">
      <c r="A2400" s="130" t="str">
        <f t="shared" si="16"/>
        <v xml:space="preserve">      Supervisão de Engenharia25</v>
      </c>
      <c r="B2400" s="957" t="s">
        <v>529</v>
      </c>
      <c r="C2400" s="957" t="s">
        <v>732</v>
      </c>
      <c r="D2400" s="957" t="s">
        <v>10</v>
      </c>
      <c r="E2400" s="146">
        <v>23</v>
      </c>
      <c r="F2400" s="142">
        <v>2500</v>
      </c>
      <c r="G2400" s="141">
        <v>57500</v>
      </c>
      <c r="H2400" s="219">
        <v>25</v>
      </c>
      <c r="I2400" s="957" t="s">
        <v>2704</v>
      </c>
    </row>
    <row r="2401" spans="1:9" ht="12.75" customHeight="1" x14ac:dyDescent="0.2">
      <c r="A2401" s="130" t="str">
        <f t="shared" si="16"/>
        <v xml:space="preserve">      Engenharia de Qualidade26</v>
      </c>
      <c r="B2401" s="957" t="s">
        <v>530</v>
      </c>
      <c r="C2401" s="957" t="s">
        <v>385</v>
      </c>
      <c r="D2401" s="957" t="s">
        <v>10</v>
      </c>
      <c r="E2401" s="146">
        <v>23</v>
      </c>
      <c r="F2401" s="142">
        <v>2000</v>
      </c>
      <c r="G2401" s="141">
        <v>46000</v>
      </c>
      <c r="H2401" s="219">
        <v>26</v>
      </c>
      <c r="I2401" s="957" t="s">
        <v>2705</v>
      </c>
    </row>
    <row r="2402" spans="1:9" ht="12.75" customHeight="1" x14ac:dyDescent="0.2">
      <c r="A2402" s="130" t="str">
        <f t="shared" si="16"/>
        <v xml:space="preserve">      Mestre de obras27</v>
      </c>
      <c r="B2402" s="957" t="s">
        <v>531</v>
      </c>
      <c r="C2402" s="957" t="s">
        <v>438</v>
      </c>
      <c r="D2402" s="957" t="s">
        <v>10</v>
      </c>
      <c r="E2402" s="146">
        <v>22</v>
      </c>
      <c r="F2402" s="140">
        <v>10743.55</v>
      </c>
      <c r="G2402" s="683">
        <v>236358.1</v>
      </c>
      <c r="H2402" s="219">
        <v>27</v>
      </c>
      <c r="I2402" s="957" t="s">
        <v>2706</v>
      </c>
    </row>
    <row r="2403" spans="1:9" ht="12.75" customHeight="1" x14ac:dyDescent="0.2">
      <c r="A2403" s="130" t="str">
        <f t="shared" si="16"/>
        <v xml:space="preserve">      Encarregado Instalações28</v>
      </c>
      <c r="B2403" s="957" t="s">
        <v>533</v>
      </c>
      <c r="C2403" s="957" t="s">
        <v>532</v>
      </c>
      <c r="D2403" s="957" t="s">
        <v>10</v>
      </c>
      <c r="E2403" s="146">
        <v>13</v>
      </c>
      <c r="F2403" s="142">
        <v>4723.97</v>
      </c>
      <c r="G2403" s="141">
        <v>61411.61</v>
      </c>
      <c r="H2403" s="219">
        <v>28</v>
      </c>
      <c r="I2403" s="957" t="s">
        <v>2707</v>
      </c>
    </row>
    <row r="2404" spans="1:9" ht="12.75" customHeight="1" x14ac:dyDescent="0.2">
      <c r="A2404" s="130" t="str">
        <f t="shared" si="16"/>
        <v xml:space="preserve">      Almoxarife29</v>
      </c>
      <c r="B2404" s="957" t="s">
        <v>534</v>
      </c>
      <c r="C2404" s="957" t="s">
        <v>160</v>
      </c>
      <c r="D2404" s="957" t="s">
        <v>10</v>
      </c>
      <c r="E2404" s="146">
        <v>23</v>
      </c>
      <c r="F2404" s="142">
        <v>3307.3110000000001</v>
      </c>
      <c r="G2404" s="141">
        <v>76068.149999999994</v>
      </c>
      <c r="H2404" s="219">
        <v>29</v>
      </c>
      <c r="I2404" s="957" t="s">
        <v>2708</v>
      </c>
    </row>
    <row r="2405" spans="1:9" ht="12.75" customHeight="1" x14ac:dyDescent="0.2">
      <c r="A2405" s="130" t="str">
        <f t="shared" si="16"/>
        <v xml:space="preserve">      Técnico em Segurança do Trabalho 1/2 horario30</v>
      </c>
      <c r="B2405" s="957" t="s">
        <v>733</v>
      </c>
      <c r="C2405" s="957" t="s">
        <v>444</v>
      </c>
      <c r="D2405" s="957" t="s">
        <v>10</v>
      </c>
      <c r="E2405" s="146">
        <v>23</v>
      </c>
      <c r="F2405" s="142">
        <v>5151.3630000000003</v>
      </c>
      <c r="G2405" s="683">
        <v>118481.35</v>
      </c>
      <c r="H2405" s="115">
        <v>30</v>
      </c>
      <c r="I2405" s="957" t="s">
        <v>2709</v>
      </c>
    </row>
    <row r="2406" spans="1:9" ht="12.75" customHeight="1" x14ac:dyDescent="0.2">
      <c r="A2406" s="130" t="str">
        <f t="shared" si="16"/>
        <v xml:space="preserve">      Gerenciamento de Projetos31</v>
      </c>
      <c r="B2406" s="957" t="s">
        <v>2153</v>
      </c>
      <c r="C2406" s="957" t="s">
        <v>2154</v>
      </c>
      <c r="D2406" s="957" t="s">
        <v>10</v>
      </c>
      <c r="E2406" s="146">
        <v>12</v>
      </c>
      <c r="F2406" s="142">
        <v>5000</v>
      </c>
      <c r="G2406" s="141">
        <v>60000</v>
      </c>
      <c r="H2406" s="219">
        <v>31</v>
      </c>
      <c r="I2406" s="957" t="s">
        <v>2710</v>
      </c>
    </row>
    <row r="2407" spans="1:9" ht="12.75" customHeight="1" x14ac:dyDescent="0.2">
      <c r="A2407" s="130" t="str">
        <f t="shared" si="16"/>
        <v xml:space="preserve">    - Mão de Obra Operacional32</v>
      </c>
      <c r="B2407" s="137" t="s">
        <v>535</v>
      </c>
      <c r="C2407" s="137" t="s">
        <v>536</v>
      </c>
      <c r="D2407" s="137"/>
      <c r="E2407" s="138"/>
      <c r="F2407" s="138"/>
      <c r="G2407" s="680">
        <v>436569.8</v>
      </c>
      <c r="H2407" s="219">
        <v>32</v>
      </c>
      <c r="I2407" s="137" t="s">
        <v>2711</v>
      </c>
    </row>
    <row r="2408" spans="1:9" ht="12.75" customHeight="1" x14ac:dyDescent="0.2">
      <c r="A2408" s="130" t="str">
        <f t="shared" si="16"/>
        <v xml:space="preserve">      Pedreiro de apoio33</v>
      </c>
      <c r="B2408" s="957" t="s">
        <v>537</v>
      </c>
      <c r="C2408" s="957" t="s">
        <v>825</v>
      </c>
      <c r="D2408" s="957" t="s">
        <v>10</v>
      </c>
      <c r="E2408" s="146">
        <v>29</v>
      </c>
      <c r="F2408" s="142">
        <v>3307.3110000000001</v>
      </c>
      <c r="G2408" s="141">
        <v>95912.02</v>
      </c>
      <c r="H2408" s="219">
        <v>33</v>
      </c>
      <c r="I2408" s="957" t="s">
        <v>2712</v>
      </c>
    </row>
    <row r="2409" spans="1:9" ht="12.75" customHeight="1" x14ac:dyDescent="0.2">
      <c r="A2409" s="130" t="str">
        <f t="shared" si="16"/>
        <v xml:space="preserve">      Servente de apoio34</v>
      </c>
      <c r="B2409" s="957" t="s">
        <v>538</v>
      </c>
      <c r="C2409" s="957" t="s">
        <v>826</v>
      </c>
      <c r="D2409" s="957" t="s">
        <v>10</v>
      </c>
      <c r="E2409" s="146">
        <v>48</v>
      </c>
      <c r="F2409" s="142">
        <v>2161.7820000000002</v>
      </c>
      <c r="G2409" s="683">
        <v>103765.54</v>
      </c>
      <c r="H2409" s="219">
        <v>34</v>
      </c>
      <c r="I2409" s="957" t="s">
        <v>2713</v>
      </c>
    </row>
    <row r="2410" spans="1:9" ht="12.75" customHeight="1" x14ac:dyDescent="0.2">
      <c r="A2410" s="130" t="str">
        <f t="shared" si="16"/>
        <v xml:space="preserve">      Servente para carga e descarga35</v>
      </c>
      <c r="B2410" s="957" t="s">
        <v>539</v>
      </c>
      <c r="C2410" s="957" t="s">
        <v>163</v>
      </c>
      <c r="D2410" s="957" t="s">
        <v>10</v>
      </c>
      <c r="E2410" s="146">
        <v>18</v>
      </c>
      <c r="F2410" s="142">
        <v>2161.7820000000002</v>
      </c>
      <c r="G2410" s="141">
        <v>38912.080000000002</v>
      </c>
      <c r="H2410" s="219">
        <v>35</v>
      </c>
      <c r="I2410" s="957" t="s">
        <v>2714</v>
      </c>
    </row>
    <row r="2411" spans="1:9" ht="12.75" customHeight="1" x14ac:dyDescent="0.2">
      <c r="A2411" s="130" t="str">
        <f t="shared" si="16"/>
        <v xml:space="preserve">      Carpinteiro de Apoio36</v>
      </c>
      <c r="B2411" s="957" t="s">
        <v>540</v>
      </c>
      <c r="C2411" s="957" t="s">
        <v>162</v>
      </c>
      <c r="D2411" s="957" t="s">
        <v>10</v>
      </c>
      <c r="E2411" s="146">
        <v>10</v>
      </c>
      <c r="F2411" s="142">
        <v>3307.3110000000001</v>
      </c>
      <c r="G2411" s="141">
        <v>33073.11</v>
      </c>
      <c r="H2411" s="219">
        <v>36</v>
      </c>
      <c r="I2411" s="957" t="s">
        <v>2715</v>
      </c>
    </row>
    <row r="2412" spans="1:9" ht="12.75" customHeight="1" x14ac:dyDescent="0.2">
      <c r="A2412" s="130" t="str">
        <f t="shared" si="16"/>
        <v xml:space="preserve">      Operador de Cremalheira37</v>
      </c>
      <c r="B2412" s="957" t="s">
        <v>541</v>
      </c>
      <c r="C2412" s="957" t="s">
        <v>2155</v>
      </c>
      <c r="D2412" s="957" t="s">
        <v>10</v>
      </c>
      <c r="E2412" s="146">
        <v>10</v>
      </c>
      <c r="F2412" s="142">
        <v>3307.3110000000001</v>
      </c>
      <c r="G2412" s="141">
        <v>33073.11</v>
      </c>
      <c r="H2412" s="219">
        <v>37</v>
      </c>
      <c r="I2412" s="957" t="s">
        <v>2716</v>
      </c>
    </row>
    <row r="2413" spans="1:9" ht="12.75" customHeight="1" x14ac:dyDescent="0.2">
      <c r="A2413" s="130" t="str">
        <f t="shared" si="16"/>
        <v xml:space="preserve">      Mini escavadeira38</v>
      </c>
      <c r="B2413" s="957" t="s">
        <v>542</v>
      </c>
      <c r="C2413" s="957" t="s">
        <v>2348</v>
      </c>
      <c r="D2413" s="957" t="s">
        <v>10</v>
      </c>
      <c r="E2413" s="139">
        <v>2</v>
      </c>
      <c r="F2413" s="140">
        <v>14000</v>
      </c>
      <c r="G2413" s="141">
        <v>28000</v>
      </c>
      <c r="H2413" s="219">
        <v>38</v>
      </c>
      <c r="I2413" s="957" t="s">
        <v>2717</v>
      </c>
    </row>
    <row r="2414" spans="1:9" ht="12.75" customHeight="1" x14ac:dyDescent="0.2">
      <c r="A2414" s="130" t="str">
        <f t="shared" si="16"/>
        <v xml:space="preserve">      Premiação de produtividade/ assiduidade39</v>
      </c>
      <c r="B2414" s="957" t="s">
        <v>543</v>
      </c>
      <c r="C2414" s="957" t="s">
        <v>545</v>
      </c>
      <c r="D2414" s="957" t="s">
        <v>10</v>
      </c>
      <c r="E2414" s="146">
        <v>20</v>
      </c>
      <c r="F2414" s="142">
        <v>3000</v>
      </c>
      <c r="G2414" s="141">
        <v>60000</v>
      </c>
      <c r="H2414" s="219">
        <v>39</v>
      </c>
      <c r="I2414" s="957" t="s">
        <v>2718</v>
      </c>
    </row>
    <row r="2415" spans="1:9" ht="12.75" customHeight="1" x14ac:dyDescent="0.2">
      <c r="A2415" s="130" t="str">
        <f t="shared" si="16"/>
        <v xml:space="preserve">      Horas Extras40</v>
      </c>
      <c r="B2415" s="957" t="s">
        <v>544</v>
      </c>
      <c r="C2415" s="957" t="s">
        <v>421</v>
      </c>
      <c r="D2415" s="957" t="s">
        <v>10</v>
      </c>
      <c r="E2415" s="139">
        <v>7</v>
      </c>
      <c r="F2415" s="142">
        <v>6261.9920000000002</v>
      </c>
      <c r="G2415" s="141">
        <v>43833.94</v>
      </c>
      <c r="H2415" s="115">
        <v>40</v>
      </c>
      <c r="I2415" s="957" t="s">
        <v>2719</v>
      </c>
    </row>
    <row r="2416" spans="1:9" ht="12.75" customHeight="1" x14ac:dyDescent="0.2">
      <c r="A2416" s="130" t="str">
        <f t="shared" si="16"/>
        <v xml:space="preserve">    - Benefícios a Empregados41</v>
      </c>
      <c r="B2416" s="137" t="s">
        <v>546</v>
      </c>
      <c r="C2416" s="137" t="s">
        <v>547</v>
      </c>
      <c r="D2416" s="137"/>
      <c r="E2416" s="138"/>
      <c r="F2416" s="138"/>
      <c r="G2416" s="680">
        <v>191218</v>
      </c>
      <c r="H2416" s="219">
        <v>41</v>
      </c>
      <c r="I2416" s="137" t="s">
        <v>2720</v>
      </c>
    </row>
    <row r="2417" spans="1:9" ht="12.75" customHeight="1" x14ac:dyDescent="0.2">
      <c r="A2417" s="130" t="str">
        <f t="shared" si="16"/>
        <v xml:space="preserve">      Seguro de vida em grupo42</v>
      </c>
      <c r="B2417" s="957" t="s">
        <v>548</v>
      </c>
      <c r="C2417" s="957" t="s">
        <v>156</v>
      </c>
      <c r="D2417" s="957" t="s">
        <v>8</v>
      </c>
      <c r="E2417" s="146">
        <v>35</v>
      </c>
      <c r="F2417" s="144">
        <v>155</v>
      </c>
      <c r="G2417" s="143">
        <v>5425</v>
      </c>
      <c r="H2417" s="219">
        <v>42</v>
      </c>
      <c r="I2417" s="957" t="s">
        <v>2721</v>
      </c>
    </row>
    <row r="2418" spans="1:9" ht="12.75" customHeight="1" x14ac:dyDescent="0.2">
      <c r="A2418" s="130" t="str">
        <f t="shared" si="16"/>
        <v xml:space="preserve">      Cesta básica43</v>
      </c>
      <c r="B2418" s="957" t="s">
        <v>549</v>
      </c>
      <c r="C2418" s="957" t="s">
        <v>550</v>
      </c>
      <c r="D2418" s="957" t="s">
        <v>8</v>
      </c>
      <c r="E2418" s="144">
        <v>391</v>
      </c>
      <c r="F2418" s="144">
        <v>110</v>
      </c>
      <c r="G2418" s="141">
        <v>43010</v>
      </c>
      <c r="H2418" s="219">
        <v>43</v>
      </c>
      <c r="I2418" s="957" t="s">
        <v>2722</v>
      </c>
    </row>
    <row r="2419" spans="1:9" ht="12.75" customHeight="1" x14ac:dyDescent="0.2">
      <c r="A2419" s="130" t="str">
        <f t="shared" si="16"/>
        <v xml:space="preserve">      Vale transporte 4 por dia44</v>
      </c>
      <c r="B2419" s="957" t="s">
        <v>551</v>
      </c>
      <c r="C2419" s="957" t="s">
        <v>2156</v>
      </c>
      <c r="D2419" s="957" t="s">
        <v>8</v>
      </c>
      <c r="E2419" s="140">
        <v>25806</v>
      </c>
      <c r="F2419" s="139">
        <v>4.5</v>
      </c>
      <c r="G2419" s="683">
        <v>116127</v>
      </c>
      <c r="H2419" s="219">
        <v>44</v>
      </c>
      <c r="I2419" s="957" t="s">
        <v>2723</v>
      </c>
    </row>
    <row r="2420" spans="1:9" ht="12.75" customHeight="1" x14ac:dyDescent="0.2">
      <c r="A2420" s="130" t="str">
        <f t="shared" si="16"/>
        <v xml:space="preserve">      Café da manhã45</v>
      </c>
      <c r="B2420" s="957" t="s">
        <v>552</v>
      </c>
      <c r="C2420" s="957" t="s">
        <v>553</v>
      </c>
      <c r="D2420" s="957" t="s">
        <v>8</v>
      </c>
      <c r="E2420" s="142">
        <v>8602</v>
      </c>
      <c r="F2420" s="139">
        <v>3</v>
      </c>
      <c r="G2420" s="141">
        <v>25806</v>
      </c>
      <c r="H2420" s="219">
        <v>45</v>
      </c>
      <c r="I2420" s="957" t="s">
        <v>2724</v>
      </c>
    </row>
    <row r="2421" spans="1:9" ht="12.75" customHeight="1" x14ac:dyDescent="0.2">
      <c r="A2421" s="130" t="str">
        <f t="shared" si="16"/>
        <v xml:space="preserve">      Seconsi - PCMSO e PCMAT46</v>
      </c>
      <c r="B2421" s="957" t="s">
        <v>554</v>
      </c>
      <c r="C2421" s="957" t="s">
        <v>555</v>
      </c>
      <c r="D2421" s="957" t="s">
        <v>8</v>
      </c>
      <c r="E2421" s="146">
        <v>34</v>
      </c>
      <c r="F2421" s="146">
        <v>25</v>
      </c>
      <c r="G2421" s="145">
        <v>850</v>
      </c>
      <c r="H2421" s="115">
        <v>46</v>
      </c>
      <c r="I2421" s="957" t="s">
        <v>2725</v>
      </c>
    </row>
    <row r="2422" spans="1:9" ht="12.75" customHeight="1" x14ac:dyDescent="0.2">
      <c r="A2422" s="130" t="str">
        <f t="shared" si="16"/>
        <v xml:space="preserve">      Encargos Sociais47</v>
      </c>
      <c r="B2422" s="957" t="s">
        <v>2188</v>
      </c>
      <c r="C2422" s="957" t="s">
        <v>2189</v>
      </c>
      <c r="D2422" s="957" t="s">
        <v>7</v>
      </c>
      <c r="E2422" s="139">
        <v>0</v>
      </c>
      <c r="F2422" s="687">
        <v>1246222.1499999999</v>
      </c>
      <c r="G2422" s="148">
        <v>0</v>
      </c>
      <c r="H2422" s="219">
        <v>47</v>
      </c>
      <c r="I2422" s="957" t="s">
        <v>2726</v>
      </c>
    </row>
    <row r="2423" spans="1:9" ht="12.75" customHeight="1" x14ac:dyDescent="0.2">
      <c r="A2423" s="130" t="str">
        <f t="shared" si="16"/>
        <v xml:space="preserve">      Salários e Adiantamento obra - Custo Diretos48</v>
      </c>
      <c r="B2423" s="957" t="s">
        <v>2190</v>
      </c>
      <c r="C2423" s="957" t="s">
        <v>2191</v>
      </c>
      <c r="D2423" s="957" t="s">
        <v>7</v>
      </c>
      <c r="E2423" s="139">
        <v>0</v>
      </c>
      <c r="F2423" s="139">
        <v>0</v>
      </c>
      <c r="G2423" s="148">
        <v>0</v>
      </c>
      <c r="H2423" s="219">
        <v>48</v>
      </c>
      <c r="I2423" s="957" t="s">
        <v>2727</v>
      </c>
    </row>
    <row r="2424" spans="1:9" ht="12.75" customHeight="1" x14ac:dyDescent="0.2">
      <c r="A2424" s="130" t="str">
        <f t="shared" si="16"/>
        <v>- CUSTOS INDIRETOS - EQUIPAMENTOS49</v>
      </c>
      <c r="B2424" s="137" t="s">
        <v>91</v>
      </c>
      <c r="C2424" s="137" t="s">
        <v>164</v>
      </c>
      <c r="D2424" s="137"/>
      <c r="E2424" s="138"/>
      <c r="F2424" s="138"/>
      <c r="G2424" s="680">
        <v>164433.53</v>
      </c>
      <c r="H2424" s="219">
        <v>49</v>
      </c>
      <c r="I2424" s="137" t="s">
        <v>66</v>
      </c>
    </row>
    <row r="2425" spans="1:9" ht="12.75" customHeight="1" x14ac:dyDescent="0.2">
      <c r="A2425" s="130" t="str">
        <f t="shared" si="16"/>
        <v xml:space="preserve">      Vibrador de imersão com mangote50</v>
      </c>
      <c r="B2425" s="957" t="s">
        <v>92</v>
      </c>
      <c r="C2425" s="957" t="s">
        <v>828</v>
      </c>
      <c r="D2425" s="957" t="s">
        <v>10</v>
      </c>
      <c r="E2425" s="146">
        <v>12</v>
      </c>
      <c r="F2425" s="144">
        <v>150</v>
      </c>
      <c r="G2425" s="143">
        <v>1800</v>
      </c>
      <c r="H2425" s="219">
        <v>50</v>
      </c>
      <c r="I2425" s="957" t="s">
        <v>2728</v>
      </c>
    </row>
    <row r="2426" spans="1:9" ht="12.75" customHeight="1" x14ac:dyDescent="0.2">
      <c r="A2426" s="130" t="str">
        <f t="shared" si="16"/>
        <v xml:space="preserve">      Guincho de coluna51</v>
      </c>
      <c r="B2426" s="957" t="s">
        <v>93</v>
      </c>
      <c r="C2426" s="957" t="s">
        <v>2157</v>
      </c>
      <c r="D2426" s="957" t="s">
        <v>10</v>
      </c>
      <c r="E2426" s="139">
        <v>6</v>
      </c>
      <c r="F2426" s="144">
        <v>350</v>
      </c>
      <c r="G2426" s="143">
        <v>2100</v>
      </c>
      <c r="H2426" s="219">
        <v>51</v>
      </c>
      <c r="I2426" s="957" t="s">
        <v>2729</v>
      </c>
    </row>
    <row r="2427" spans="1:9" ht="12.75" customHeight="1" x14ac:dyDescent="0.2">
      <c r="A2427" s="130" t="str">
        <f t="shared" si="16"/>
        <v xml:space="preserve">      Compactador CM20 tipo sapo mecânico52</v>
      </c>
      <c r="B2427" s="957" t="s">
        <v>165</v>
      </c>
      <c r="C2427" s="957" t="s">
        <v>465</v>
      </c>
      <c r="D2427" s="957" t="s">
        <v>10</v>
      </c>
      <c r="E2427" s="139">
        <v>3</v>
      </c>
      <c r="F2427" s="144">
        <v>450</v>
      </c>
      <c r="G2427" s="143">
        <v>1350</v>
      </c>
      <c r="H2427" s="219">
        <v>52</v>
      </c>
      <c r="I2427" s="957" t="s">
        <v>2730</v>
      </c>
    </row>
    <row r="2428" spans="1:9" ht="12.75" customHeight="1" x14ac:dyDescent="0.2">
      <c r="A2428" s="130" t="str">
        <f t="shared" si="16"/>
        <v xml:space="preserve">      Serra mármores53</v>
      </c>
      <c r="B2428" s="957" t="s">
        <v>166</v>
      </c>
      <c r="C2428" s="957" t="s">
        <v>829</v>
      </c>
      <c r="D2428" s="957" t="s">
        <v>10</v>
      </c>
      <c r="E2428" s="139">
        <v>5</v>
      </c>
      <c r="F2428" s="144">
        <v>150</v>
      </c>
      <c r="G2428" s="145">
        <v>750</v>
      </c>
      <c r="H2428" s="219">
        <v>53</v>
      </c>
      <c r="I2428" s="957" t="s">
        <v>2731</v>
      </c>
    </row>
    <row r="2429" spans="1:9" ht="12.75" customHeight="1" x14ac:dyDescent="0.2">
      <c r="A2429" s="130" t="str">
        <f t="shared" si="16"/>
        <v xml:space="preserve">      Furadeira Eletrica de impacto54</v>
      </c>
      <c r="B2429" s="957" t="s">
        <v>167</v>
      </c>
      <c r="C2429" s="957" t="s">
        <v>830</v>
      </c>
      <c r="D2429" s="957" t="s">
        <v>8</v>
      </c>
      <c r="E2429" s="139">
        <v>1</v>
      </c>
      <c r="F2429" s="144">
        <v>652.57000000000005</v>
      </c>
      <c r="G2429" s="145">
        <v>652.57000000000005</v>
      </c>
      <c r="H2429" s="219">
        <v>54</v>
      </c>
      <c r="I2429" s="957" t="s">
        <v>2732</v>
      </c>
    </row>
    <row r="2430" spans="1:9" ht="12.75" customHeight="1" x14ac:dyDescent="0.2">
      <c r="A2430" s="130" t="str">
        <f t="shared" si="16"/>
        <v xml:space="preserve">      Ferramentas55</v>
      </c>
      <c r="B2430" s="957" t="s">
        <v>168</v>
      </c>
      <c r="C2430" s="957" t="s">
        <v>169</v>
      </c>
      <c r="D2430" s="957" t="s">
        <v>10</v>
      </c>
      <c r="E2430" s="146">
        <v>13</v>
      </c>
      <c r="F2430" s="142">
        <v>2299.2759999999998</v>
      </c>
      <c r="G2430" s="141">
        <v>29890.59</v>
      </c>
      <c r="H2430" s="219">
        <v>55</v>
      </c>
      <c r="I2430" s="957" t="s">
        <v>2733</v>
      </c>
    </row>
    <row r="2431" spans="1:9" ht="12.75" customHeight="1" x14ac:dyDescent="0.2">
      <c r="A2431" s="130" t="str">
        <f t="shared" si="16"/>
        <v xml:space="preserve">      Martelete 10 Kg56</v>
      </c>
      <c r="B2431" s="957" t="s">
        <v>170</v>
      </c>
      <c r="C2431" s="957" t="s">
        <v>556</v>
      </c>
      <c r="D2431" s="957" t="s">
        <v>10</v>
      </c>
      <c r="E2431" s="146">
        <v>24</v>
      </c>
      <c r="F2431" s="144">
        <v>250</v>
      </c>
      <c r="G2431" s="143">
        <v>6000</v>
      </c>
      <c r="H2431" s="219">
        <v>56</v>
      </c>
      <c r="I2431" s="957" t="s">
        <v>2734</v>
      </c>
    </row>
    <row r="2432" spans="1:9" ht="12.75" customHeight="1" x14ac:dyDescent="0.2">
      <c r="A2432" s="130" t="str">
        <f t="shared" si="16"/>
        <v xml:space="preserve">      Martelete 5 kg57</v>
      </c>
      <c r="B2432" s="957" t="s">
        <v>171</v>
      </c>
      <c r="C2432" s="957" t="s">
        <v>381</v>
      </c>
      <c r="D2432" s="957" t="s">
        <v>10</v>
      </c>
      <c r="E2432" s="139">
        <v>3</v>
      </c>
      <c r="F2432" s="144">
        <v>200</v>
      </c>
      <c r="G2432" s="145">
        <v>600</v>
      </c>
      <c r="H2432" s="219">
        <v>57</v>
      </c>
      <c r="I2432" s="957" t="s">
        <v>2735</v>
      </c>
    </row>
    <row r="2433" spans="1:9" ht="12.75" customHeight="1" x14ac:dyDescent="0.2">
      <c r="A2433" s="130" t="str">
        <f t="shared" si="16"/>
        <v xml:space="preserve">      Lixadeira Portátil58</v>
      </c>
      <c r="B2433" s="957" t="s">
        <v>172</v>
      </c>
      <c r="C2433" s="957" t="s">
        <v>174</v>
      </c>
      <c r="D2433" s="957" t="s">
        <v>8</v>
      </c>
      <c r="E2433" s="139">
        <v>1</v>
      </c>
      <c r="F2433" s="144">
        <v>700</v>
      </c>
      <c r="G2433" s="145">
        <v>700</v>
      </c>
      <c r="H2433" s="219">
        <v>58</v>
      </c>
      <c r="I2433" s="957" t="s">
        <v>2736</v>
      </c>
    </row>
    <row r="2434" spans="1:9" ht="12.75" customHeight="1" x14ac:dyDescent="0.2">
      <c r="A2434" s="130" t="str">
        <f t="shared" si="16"/>
        <v xml:space="preserve">      Locação de Andaime Tubular (interno)59</v>
      </c>
      <c r="B2434" s="957" t="s">
        <v>173</v>
      </c>
      <c r="C2434" s="957" t="s">
        <v>2349</v>
      </c>
      <c r="D2434" s="957" t="s">
        <v>15</v>
      </c>
      <c r="E2434" s="144">
        <v>500</v>
      </c>
      <c r="F2434" s="146">
        <v>12</v>
      </c>
      <c r="G2434" s="143">
        <v>6000</v>
      </c>
      <c r="H2434" s="219">
        <v>59</v>
      </c>
      <c r="I2434" s="957" t="s">
        <v>2737</v>
      </c>
    </row>
    <row r="2435" spans="1:9" ht="12.75" customHeight="1" x14ac:dyDescent="0.2">
      <c r="A2435" s="130" t="str">
        <f t="shared" si="16"/>
        <v xml:space="preserve">      Madeiras para andaime60</v>
      </c>
      <c r="B2435" s="957" t="s">
        <v>175</v>
      </c>
      <c r="C2435" s="957" t="s">
        <v>474</v>
      </c>
      <c r="D2435" s="957" t="s">
        <v>90</v>
      </c>
      <c r="E2435" s="146">
        <v>48</v>
      </c>
      <c r="F2435" s="146">
        <v>37.097999999999999</v>
      </c>
      <c r="G2435" s="143">
        <v>1780.7</v>
      </c>
      <c r="H2435" s="219">
        <v>60</v>
      </c>
      <c r="I2435" s="957" t="s">
        <v>2738</v>
      </c>
    </row>
    <row r="2436" spans="1:9" ht="12.75" customHeight="1" x14ac:dyDescent="0.2">
      <c r="A2436" s="130" t="str">
        <f t="shared" si="16"/>
        <v xml:space="preserve">      Jateadora de Alta pressão61</v>
      </c>
      <c r="B2436" s="957" t="s">
        <v>176</v>
      </c>
      <c r="C2436" s="957" t="s">
        <v>502</v>
      </c>
      <c r="D2436" s="957" t="s">
        <v>10</v>
      </c>
      <c r="E2436" s="139">
        <v>1</v>
      </c>
      <c r="F2436" s="144">
        <v>350</v>
      </c>
      <c r="G2436" s="145">
        <v>350</v>
      </c>
      <c r="H2436" s="219">
        <v>61</v>
      </c>
      <c r="I2436" s="957" t="s">
        <v>2739</v>
      </c>
    </row>
    <row r="2437" spans="1:9" ht="12.75" customHeight="1" x14ac:dyDescent="0.2">
      <c r="A2437" s="130" t="str">
        <f t="shared" si="16"/>
        <v xml:space="preserve">      Cremalheira62</v>
      </c>
      <c r="B2437" s="957" t="s">
        <v>177</v>
      </c>
      <c r="C2437" s="957" t="s">
        <v>2158</v>
      </c>
      <c r="D2437" s="957" t="s">
        <v>10</v>
      </c>
      <c r="E2437" s="146">
        <v>11</v>
      </c>
      <c r="F2437" s="142">
        <v>6000</v>
      </c>
      <c r="G2437" s="141">
        <v>66000</v>
      </c>
      <c r="H2437" s="219">
        <v>62</v>
      </c>
      <c r="I2437" s="957" t="s">
        <v>2740</v>
      </c>
    </row>
    <row r="2438" spans="1:9" ht="12.75" customHeight="1" x14ac:dyDescent="0.2">
      <c r="A2438" s="130" t="str">
        <f t="shared" si="16"/>
        <v xml:space="preserve">      Balancim Manual63</v>
      </c>
      <c r="B2438" s="957" t="s">
        <v>178</v>
      </c>
      <c r="C2438" s="957" t="s">
        <v>488</v>
      </c>
      <c r="D2438" s="957" t="s">
        <v>10</v>
      </c>
      <c r="E2438" s="146">
        <v>66</v>
      </c>
      <c r="F2438" s="144">
        <v>300</v>
      </c>
      <c r="G2438" s="141">
        <v>19800</v>
      </c>
      <c r="H2438" s="219">
        <v>63</v>
      </c>
      <c r="I2438" s="957" t="s">
        <v>2742</v>
      </c>
    </row>
    <row r="2439" spans="1:9" ht="12.75" customHeight="1" x14ac:dyDescent="0.2">
      <c r="A2439" s="130" t="str">
        <f t="shared" si="16"/>
        <v xml:space="preserve">    - Serviços64</v>
      </c>
      <c r="B2439" s="137" t="s">
        <v>557</v>
      </c>
      <c r="C2439" s="137" t="s">
        <v>558</v>
      </c>
      <c r="D2439" s="137"/>
      <c r="E2439" s="138"/>
      <c r="F2439" s="138"/>
      <c r="G2439" s="681">
        <v>26659.67</v>
      </c>
      <c r="H2439" s="115">
        <v>64</v>
      </c>
      <c r="I2439" s="137" t="s">
        <v>2743</v>
      </c>
    </row>
    <row r="2440" spans="1:9" ht="12.75" customHeight="1" x14ac:dyDescent="0.2">
      <c r="A2440" s="130" t="str">
        <f t="shared" si="16"/>
        <v xml:space="preserve">      Aterramento e Laudo do Elevador Cremalheira65</v>
      </c>
      <c r="B2440" s="957" t="s">
        <v>559</v>
      </c>
      <c r="C2440" s="957" t="s">
        <v>463</v>
      </c>
      <c r="D2440" s="957" t="s">
        <v>7</v>
      </c>
      <c r="E2440" s="139">
        <v>1</v>
      </c>
      <c r="F2440" s="142">
        <v>2536.2051999999999</v>
      </c>
      <c r="G2440" s="143">
        <v>2536.21</v>
      </c>
      <c r="H2440" s="219">
        <v>65</v>
      </c>
      <c r="I2440" s="957" t="s">
        <v>2744</v>
      </c>
    </row>
    <row r="2441" spans="1:9" ht="12.75" customHeight="1" x14ac:dyDescent="0.2">
      <c r="A2441" s="130" t="str">
        <f t="shared" si="16"/>
        <v xml:space="preserve">      Montagem e Desmontagem de Elevador Cremalheira66</v>
      </c>
      <c r="B2441" s="957" t="s">
        <v>560</v>
      </c>
      <c r="C2441" s="957" t="s">
        <v>462</v>
      </c>
      <c r="D2441" s="957" t="s">
        <v>7</v>
      </c>
      <c r="E2441" s="139">
        <v>1</v>
      </c>
      <c r="F2441" s="140">
        <v>13000</v>
      </c>
      <c r="G2441" s="141">
        <v>13000</v>
      </c>
      <c r="H2441" s="219">
        <v>66</v>
      </c>
      <c r="I2441" s="957" t="s">
        <v>2746</v>
      </c>
    </row>
    <row r="2442" spans="1:9" ht="12.75" customHeight="1" x14ac:dyDescent="0.2">
      <c r="A2442" s="130" t="str">
        <f t="shared" si="16"/>
        <v xml:space="preserve">      Base para elevador Cremalheira67</v>
      </c>
      <c r="B2442" s="957" t="s">
        <v>561</v>
      </c>
      <c r="C2442" s="957" t="s">
        <v>461</v>
      </c>
      <c r="D2442" s="957" t="s">
        <v>8</v>
      </c>
      <c r="E2442" s="139">
        <v>1</v>
      </c>
      <c r="F2442" s="142">
        <v>1373.4502</v>
      </c>
      <c r="G2442" s="143">
        <v>1373.46</v>
      </c>
      <c r="H2442" s="219">
        <v>67</v>
      </c>
      <c r="I2442" s="957" t="s">
        <v>2747</v>
      </c>
    </row>
    <row r="2443" spans="1:9" ht="12.75" customHeight="1" x14ac:dyDescent="0.2">
      <c r="A2443" s="130" t="str">
        <f t="shared" si="16"/>
        <v xml:space="preserve">      Montagem e Desmontagem de Balancim68</v>
      </c>
      <c r="B2443" s="957" t="s">
        <v>562</v>
      </c>
      <c r="C2443" s="957" t="s">
        <v>2159</v>
      </c>
      <c r="D2443" s="957" t="s">
        <v>10</v>
      </c>
      <c r="E2443" s="146">
        <v>44</v>
      </c>
      <c r="F2443" s="144">
        <v>150</v>
      </c>
      <c r="G2443" s="143">
        <v>6600</v>
      </c>
      <c r="H2443" s="219">
        <v>68</v>
      </c>
      <c r="I2443" s="957" t="s">
        <v>2748</v>
      </c>
    </row>
    <row r="2444" spans="1:9" ht="12.75" customHeight="1" x14ac:dyDescent="0.2">
      <c r="A2444" s="130" t="str">
        <f t="shared" si="16"/>
        <v xml:space="preserve">      Manutenção de equipamentos69</v>
      </c>
      <c r="B2444" s="957" t="s">
        <v>563</v>
      </c>
      <c r="C2444" s="957" t="s">
        <v>431</v>
      </c>
      <c r="D2444" s="957" t="s">
        <v>10</v>
      </c>
      <c r="E2444" s="146">
        <v>21</v>
      </c>
      <c r="F2444" s="144">
        <v>150</v>
      </c>
      <c r="G2444" s="143">
        <v>3150</v>
      </c>
      <c r="H2444" s="219">
        <v>69</v>
      </c>
      <c r="I2444" s="957" t="s">
        <v>2749</v>
      </c>
    </row>
    <row r="2445" spans="1:9" ht="12.75" customHeight="1" x14ac:dyDescent="0.2">
      <c r="A2445" s="130" t="str">
        <f t="shared" si="16"/>
        <v>- CUSTOS INDIRETOS - OUTROS70</v>
      </c>
      <c r="B2445" s="137" t="s">
        <v>95</v>
      </c>
      <c r="C2445" s="137" t="s">
        <v>564</v>
      </c>
      <c r="D2445" s="137"/>
      <c r="E2445" s="138"/>
      <c r="F2445" s="138"/>
      <c r="G2445" s="680">
        <v>311618.37</v>
      </c>
      <c r="H2445" s="219">
        <v>70</v>
      </c>
      <c r="I2445" s="137" t="s">
        <v>328</v>
      </c>
    </row>
    <row r="2446" spans="1:9" ht="12.75" customHeight="1" x14ac:dyDescent="0.2">
      <c r="A2446" s="130" t="str">
        <f t="shared" si="16"/>
        <v xml:space="preserve">    - Gastos Mensais71</v>
      </c>
      <c r="B2446" s="137" t="s">
        <v>565</v>
      </c>
      <c r="C2446" s="137" t="s">
        <v>566</v>
      </c>
      <c r="D2446" s="137"/>
      <c r="E2446" s="138"/>
      <c r="F2446" s="138"/>
      <c r="G2446" s="680">
        <v>234906.45</v>
      </c>
      <c r="H2446" s="115">
        <v>71</v>
      </c>
      <c r="I2446" s="137" t="s">
        <v>2750</v>
      </c>
    </row>
    <row r="2447" spans="1:9" ht="12.75" customHeight="1" x14ac:dyDescent="0.2">
      <c r="A2447" s="130" t="str">
        <f t="shared" si="16"/>
        <v xml:space="preserve">      Cemig72</v>
      </c>
      <c r="B2447" s="957" t="s">
        <v>567</v>
      </c>
      <c r="C2447" s="957" t="s">
        <v>831</v>
      </c>
      <c r="D2447" s="957" t="s">
        <v>10</v>
      </c>
      <c r="E2447" s="146">
        <v>22</v>
      </c>
      <c r="F2447" s="142">
        <v>1000</v>
      </c>
      <c r="G2447" s="141">
        <v>22000</v>
      </c>
      <c r="H2447" s="115">
        <v>72</v>
      </c>
      <c r="I2447" s="957" t="s">
        <v>2751</v>
      </c>
    </row>
    <row r="2448" spans="1:9" ht="12.75" customHeight="1" x14ac:dyDescent="0.2">
      <c r="A2448" s="130" t="str">
        <f t="shared" si="16"/>
        <v xml:space="preserve">      Copasa73</v>
      </c>
      <c r="B2448" s="957" t="s">
        <v>568</v>
      </c>
      <c r="C2448" s="957" t="s">
        <v>832</v>
      </c>
      <c r="D2448" s="957" t="s">
        <v>10</v>
      </c>
      <c r="E2448" s="146">
        <v>22</v>
      </c>
      <c r="F2448" s="144">
        <v>900</v>
      </c>
      <c r="G2448" s="141">
        <v>19800</v>
      </c>
      <c r="H2448" s="219">
        <v>73</v>
      </c>
      <c r="I2448" s="957" t="s">
        <v>2752</v>
      </c>
    </row>
    <row r="2449" spans="1:9" ht="12.75" customHeight="1" x14ac:dyDescent="0.2">
      <c r="A2449" s="130" t="str">
        <f t="shared" si="16"/>
        <v xml:space="preserve">      Internet/ TI74</v>
      </c>
      <c r="B2449" s="957" t="s">
        <v>569</v>
      </c>
      <c r="C2449" s="957" t="s">
        <v>2362</v>
      </c>
      <c r="D2449" s="957" t="s">
        <v>10</v>
      </c>
      <c r="E2449" s="146">
        <v>22</v>
      </c>
      <c r="F2449" s="142">
        <v>1000</v>
      </c>
      <c r="G2449" s="141">
        <v>22000</v>
      </c>
      <c r="H2449" s="219">
        <v>74</v>
      </c>
      <c r="I2449" s="957" t="s">
        <v>2753</v>
      </c>
    </row>
    <row r="2450" spans="1:9" ht="12.75" customHeight="1" x14ac:dyDescent="0.2">
      <c r="A2450" s="130" t="str">
        <f t="shared" si="16"/>
        <v xml:space="preserve">      Telefonia75</v>
      </c>
      <c r="B2450" s="957" t="s">
        <v>570</v>
      </c>
      <c r="C2450" s="957" t="s">
        <v>833</v>
      </c>
      <c r="D2450" s="957" t="s">
        <v>10</v>
      </c>
      <c r="E2450" s="146">
        <v>22</v>
      </c>
      <c r="F2450" s="144">
        <v>400</v>
      </c>
      <c r="G2450" s="143">
        <v>8800</v>
      </c>
      <c r="H2450" s="219">
        <v>75</v>
      </c>
      <c r="I2450" s="957" t="s">
        <v>2754</v>
      </c>
    </row>
    <row r="2451" spans="1:9" ht="12.75" customHeight="1" x14ac:dyDescent="0.2">
      <c r="A2451" s="130" t="str">
        <f t="shared" si="16"/>
        <v xml:space="preserve">      Despesas de escritório (Recarga de cartucho, cartão de ponto, material de escritório em geral)76</v>
      </c>
      <c r="B2451" s="957" t="s">
        <v>571</v>
      </c>
      <c r="C2451" s="957" t="s">
        <v>834</v>
      </c>
      <c r="D2451" s="957" t="s">
        <v>10</v>
      </c>
      <c r="E2451" s="146">
        <v>22</v>
      </c>
      <c r="F2451" s="144">
        <v>488.94</v>
      </c>
      <c r="G2451" s="141">
        <v>10756.68</v>
      </c>
      <c r="H2451" s="219">
        <v>76</v>
      </c>
      <c r="I2451" s="957" t="s">
        <v>2755</v>
      </c>
    </row>
    <row r="2452" spans="1:9" ht="12.75" customHeight="1" x14ac:dyDescent="0.2">
      <c r="A2452" s="130" t="str">
        <f t="shared" si="16"/>
        <v xml:space="preserve">      Despesas bancárias77</v>
      </c>
      <c r="B2452" s="957" t="s">
        <v>572</v>
      </c>
      <c r="C2452" s="957" t="s">
        <v>445</v>
      </c>
      <c r="D2452" s="957" t="s">
        <v>10</v>
      </c>
      <c r="E2452" s="146">
        <v>24</v>
      </c>
      <c r="F2452" s="144">
        <v>150</v>
      </c>
      <c r="G2452" s="143">
        <v>3600</v>
      </c>
      <c r="H2452" s="219">
        <v>77</v>
      </c>
      <c r="I2452" s="957" t="s">
        <v>2756</v>
      </c>
    </row>
    <row r="2453" spans="1:9" ht="12.75" customHeight="1" x14ac:dyDescent="0.2">
      <c r="A2453" s="130" t="str">
        <f t="shared" si="16"/>
        <v xml:space="preserve">      Fretes78</v>
      </c>
      <c r="B2453" s="957" t="s">
        <v>573</v>
      </c>
      <c r="C2453" s="957" t="s">
        <v>835</v>
      </c>
      <c r="D2453" s="957" t="s">
        <v>10</v>
      </c>
      <c r="E2453" s="146">
        <v>22</v>
      </c>
      <c r="F2453" s="142">
        <v>1040</v>
      </c>
      <c r="G2453" s="141">
        <v>22880</v>
      </c>
      <c r="H2453" s="219">
        <v>78</v>
      </c>
      <c r="I2453" s="957" t="s">
        <v>2757</v>
      </c>
    </row>
    <row r="2454" spans="1:9" ht="12.75" customHeight="1" x14ac:dyDescent="0.2">
      <c r="A2454" s="130" t="str">
        <f t="shared" si="16"/>
        <v xml:space="preserve">      Material de higiene/ limpeza79</v>
      </c>
      <c r="B2454" s="957" t="s">
        <v>574</v>
      </c>
      <c r="C2454" s="957" t="s">
        <v>437</v>
      </c>
      <c r="D2454" s="957" t="s">
        <v>10</v>
      </c>
      <c r="E2454" s="146">
        <v>22</v>
      </c>
      <c r="F2454" s="144">
        <v>230.44399999999999</v>
      </c>
      <c r="G2454" s="143">
        <v>5069.7700000000004</v>
      </c>
      <c r="H2454" s="219">
        <v>79</v>
      </c>
      <c r="I2454" s="957" t="s">
        <v>2758</v>
      </c>
    </row>
    <row r="2455" spans="1:9" ht="12.75" customHeight="1" x14ac:dyDescent="0.2">
      <c r="A2455" s="130" t="str">
        <f t="shared" si="16"/>
        <v xml:space="preserve">      Rateio das despesas com Carro da Empresa80</v>
      </c>
      <c r="B2455" s="957" t="s">
        <v>575</v>
      </c>
      <c r="C2455" s="957" t="s">
        <v>439</v>
      </c>
      <c r="D2455" s="957" t="s">
        <v>10</v>
      </c>
      <c r="E2455" s="146">
        <v>24</v>
      </c>
      <c r="F2455" s="142">
        <v>1500</v>
      </c>
      <c r="G2455" s="141">
        <v>36000</v>
      </c>
      <c r="H2455" s="219">
        <v>80</v>
      </c>
      <c r="I2455" s="957" t="s">
        <v>2759</v>
      </c>
    </row>
    <row r="2456" spans="1:9" ht="12.75" customHeight="1" x14ac:dyDescent="0.2">
      <c r="A2456" s="130" t="str">
        <f t="shared" si="16"/>
        <v xml:space="preserve">      Gerenciamento e controle do orçamento81</v>
      </c>
      <c r="B2456" s="957" t="s">
        <v>836</v>
      </c>
      <c r="C2456" s="957" t="s">
        <v>433</v>
      </c>
      <c r="D2456" s="957" t="s">
        <v>10</v>
      </c>
      <c r="E2456" s="146">
        <v>24</v>
      </c>
      <c r="F2456" s="142">
        <v>3500</v>
      </c>
      <c r="G2456" s="141">
        <v>84000</v>
      </c>
      <c r="H2456" s="219">
        <v>81</v>
      </c>
      <c r="I2456" s="957" t="s">
        <v>2760</v>
      </c>
    </row>
    <row r="2457" spans="1:9" ht="12.75" customHeight="1" x14ac:dyDescent="0.2">
      <c r="A2457" s="130" t="str">
        <f t="shared" si="16"/>
        <v xml:space="preserve">    - Diversos82</v>
      </c>
      <c r="B2457" s="137" t="s">
        <v>576</v>
      </c>
      <c r="C2457" s="137" t="s">
        <v>117</v>
      </c>
      <c r="D2457" s="137"/>
      <c r="E2457" s="138"/>
      <c r="F2457" s="138"/>
      <c r="G2457" s="681">
        <v>76711.92</v>
      </c>
      <c r="H2457" s="219">
        <v>82</v>
      </c>
      <c r="I2457" s="137" t="s">
        <v>2761</v>
      </c>
    </row>
    <row r="2458" spans="1:9" ht="12.75" customHeight="1" x14ac:dyDescent="0.2">
      <c r="A2458" s="130" t="str">
        <f t="shared" si="16"/>
        <v xml:space="preserve">      Comunicação interna da obra83</v>
      </c>
      <c r="B2458" s="957" t="s">
        <v>577</v>
      </c>
      <c r="C2458" s="957" t="s">
        <v>578</v>
      </c>
      <c r="D2458" s="957" t="s">
        <v>8</v>
      </c>
      <c r="E2458" s="139">
        <v>2</v>
      </c>
      <c r="F2458" s="144">
        <v>225</v>
      </c>
      <c r="G2458" s="145">
        <v>450</v>
      </c>
      <c r="H2458" s="115">
        <v>83</v>
      </c>
      <c r="I2458" s="957" t="s">
        <v>2762</v>
      </c>
    </row>
    <row r="2459" spans="1:9" ht="12.75" customHeight="1" x14ac:dyDescent="0.2">
      <c r="A2459" s="130" t="str">
        <f t="shared" si="16"/>
        <v xml:space="preserve">      Seguro de obra84</v>
      </c>
      <c r="B2459" s="957" t="s">
        <v>579</v>
      </c>
      <c r="C2459" s="957" t="s">
        <v>432</v>
      </c>
      <c r="D2459" s="957" t="s">
        <v>7</v>
      </c>
      <c r="E2459" s="139">
        <v>1</v>
      </c>
      <c r="F2459" s="142">
        <v>5000</v>
      </c>
      <c r="G2459" s="143">
        <v>5000</v>
      </c>
      <c r="H2459" s="219">
        <v>84</v>
      </c>
      <c r="I2459" s="957" t="s">
        <v>2763</v>
      </c>
    </row>
    <row r="2460" spans="1:9" ht="12.75" customHeight="1" x14ac:dyDescent="0.2">
      <c r="A2460" s="130" t="str">
        <f t="shared" si="16"/>
        <v xml:space="preserve">      Contrato de manutenção elevador social85</v>
      </c>
      <c r="B2460" s="957" t="s">
        <v>580</v>
      </c>
      <c r="C2460" s="957" t="s">
        <v>837</v>
      </c>
      <c r="D2460" s="957" t="s">
        <v>10</v>
      </c>
      <c r="E2460" s="139">
        <v>1</v>
      </c>
      <c r="F2460" s="142">
        <v>1600</v>
      </c>
      <c r="G2460" s="143">
        <v>1600</v>
      </c>
      <c r="H2460" s="219">
        <v>85</v>
      </c>
      <c r="I2460" s="957" t="s">
        <v>2764</v>
      </c>
    </row>
    <row r="2461" spans="1:9" ht="12.75" customHeight="1" x14ac:dyDescent="0.2">
      <c r="A2461" s="130" t="str">
        <f t="shared" si="16"/>
        <v xml:space="preserve">      Manual do Proprietario86</v>
      </c>
      <c r="B2461" s="957" t="s">
        <v>581</v>
      </c>
      <c r="C2461" s="957" t="s">
        <v>515</v>
      </c>
      <c r="D2461" s="957" t="s">
        <v>8</v>
      </c>
      <c r="E2461" s="146">
        <v>12</v>
      </c>
      <c r="F2461" s="144">
        <v>517.39</v>
      </c>
      <c r="G2461" s="143">
        <v>6208.68</v>
      </c>
      <c r="H2461" s="219">
        <v>86</v>
      </c>
      <c r="I2461" s="957" t="s">
        <v>2765</v>
      </c>
    </row>
    <row r="2462" spans="1:9" ht="12.75" customHeight="1" x14ac:dyDescent="0.2">
      <c r="A2462" s="130" t="str">
        <f t="shared" si="16"/>
        <v xml:space="preserve">      Retirada de entulho87</v>
      </c>
      <c r="B2462" s="957" t="s">
        <v>582</v>
      </c>
      <c r="C2462" s="957" t="s">
        <v>422</v>
      </c>
      <c r="D2462" s="957" t="s">
        <v>94</v>
      </c>
      <c r="E2462" s="144">
        <v>450</v>
      </c>
      <c r="F2462" s="146">
        <v>57.066699999999997</v>
      </c>
      <c r="G2462" s="141">
        <v>25680.02</v>
      </c>
      <c r="H2462" s="219">
        <v>87</v>
      </c>
      <c r="I2462" s="957" t="s">
        <v>2766</v>
      </c>
    </row>
    <row r="2463" spans="1:9" ht="12.75" customHeight="1" x14ac:dyDescent="0.2">
      <c r="A2463" s="130" t="str">
        <f t="shared" ref="A2463:A2473" si="17">I2463&amp;H2463</f>
        <v xml:space="preserve">      Roubos e indenizações88</v>
      </c>
      <c r="B2463" s="957" t="s">
        <v>583</v>
      </c>
      <c r="C2463" s="957" t="s">
        <v>387</v>
      </c>
      <c r="D2463" s="957" t="s">
        <v>7</v>
      </c>
      <c r="E2463" s="139">
        <v>1</v>
      </c>
      <c r="F2463" s="142">
        <v>7000</v>
      </c>
      <c r="G2463" s="143">
        <v>7000</v>
      </c>
      <c r="H2463" s="219">
        <v>88</v>
      </c>
      <c r="I2463" s="957" t="s">
        <v>2767</v>
      </c>
    </row>
    <row r="2464" spans="1:9" ht="12.75" customHeight="1" x14ac:dyDescent="0.2">
      <c r="A2464" s="130" t="str">
        <f t="shared" si="17"/>
        <v xml:space="preserve">      Alarme  de obra89</v>
      </c>
      <c r="B2464" s="957" t="s">
        <v>584</v>
      </c>
      <c r="C2464" s="957" t="s">
        <v>441</v>
      </c>
      <c r="D2464" s="957" t="s">
        <v>7</v>
      </c>
      <c r="E2464" s="139">
        <v>1</v>
      </c>
      <c r="F2464" s="142">
        <v>3000</v>
      </c>
      <c r="G2464" s="143">
        <v>3000</v>
      </c>
      <c r="H2464" s="219">
        <v>89</v>
      </c>
      <c r="I2464" s="957" t="s">
        <v>2768</v>
      </c>
    </row>
    <row r="2465" spans="1:9" ht="12.75" customHeight="1" x14ac:dyDescent="0.2">
      <c r="A2465" s="130" t="str">
        <f t="shared" si="17"/>
        <v xml:space="preserve">      Orçamento90</v>
      </c>
      <c r="B2465" s="957" t="s">
        <v>585</v>
      </c>
      <c r="C2465" s="957" t="s">
        <v>69</v>
      </c>
      <c r="D2465" s="957" t="s">
        <v>7</v>
      </c>
      <c r="E2465" s="139">
        <v>1</v>
      </c>
      <c r="F2465" s="142">
        <v>8500</v>
      </c>
      <c r="G2465" s="143">
        <v>8500</v>
      </c>
      <c r="H2465" s="219">
        <v>90</v>
      </c>
      <c r="I2465" s="957" t="s">
        <v>2769</v>
      </c>
    </row>
    <row r="2466" spans="1:9" ht="12.75" customHeight="1" x14ac:dyDescent="0.2">
      <c r="A2466" s="130" t="str">
        <f t="shared" si="17"/>
        <v xml:space="preserve">      Planejamento91</v>
      </c>
      <c r="B2466" s="957" t="s">
        <v>586</v>
      </c>
      <c r="C2466" s="957" t="s">
        <v>377</v>
      </c>
      <c r="D2466" s="957" t="s">
        <v>7</v>
      </c>
      <c r="E2466" s="139">
        <v>1</v>
      </c>
      <c r="F2466" s="142">
        <v>5500</v>
      </c>
      <c r="G2466" s="143">
        <v>5500</v>
      </c>
      <c r="H2466" s="219">
        <v>91</v>
      </c>
      <c r="I2466" s="957" t="s">
        <v>2770</v>
      </c>
    </row>
    <row r="2467" spans="1:9" ht="12.75" customHeight="1" x14ac:dyDescent="0.2">
      <c r="A2467" s="130" t="str">
        <f t="shared" si="17"/>
        <v xml:space="preserve">      Despesas com Vizinhança (0,4% despesas  diretas)92</v>
      </c>
      <c r="B2467" s="957" t="s">
        <v>587</v>
      </c>
      <c r="C2467" s="957" t="s">
        <v>839</v>
      </c>
      <c r="D2467" s="957" t="s">
        <v>7</v>
      </c>
      <c r="E2467" s="139">
        <v>1</v>
      </c>
      <c r="F2467" s="142">
        <v>5458.2223999999997</v>
      </c>
      <c r="G2467" s="143">
        <v>5458.22</v>
      </c>
      <c r="H2467" s="219">
        <v>92</v>
      </c>
      <c r="I2467" s="957" t="s">
        <v>2771</v>
      </c>
    </row>
    <row r="2468" spans="1:9" ht="12.75" customHeight="1" x14ac:dyDescent="0.2">
      <c r="A2468" s="130" t="str">
        <f t="shared" si="17"/>
        <v xml:space="preserve">      Xerox93</v>
      </c>
      <c r="B2468" s="957" t="s">
        <v>588</v>
      </c>
      <c r="C2468" s="957" t="s">
        <v>429</v>
      </c>
      <c r="D2468" s="957" t="s">
        <v>7</v>
      </c>
      <c r="E2468" s="139">
        <v>1</v>
      </c>
      <c r="F2468" s="142">
        <v>1000</v>
      </c>
      <c r="G2468" s="143">
        <v>1000</v>
      </c>
      <c r="H2468" s="219">
        <v>93</v>
      </c>
      <c r="I2468" s="957" t="s">
        <v>2772</v>
      </c>
    </row>
    <row r="2469" spans="1:9" ht="12.75" customHeight="1" x14ac:dyDescent="0.2">
      <c r="A2469" s="130" t="str">
        <f t="shared" si="17"/>
        <v xml:space="preserve">      Plotagem de projetos94</v>
      </c>
      <c r="B2469" s="957" t="s">
        <v>589</v>
      </c>
      <c r="C2469" s="957" t="s">
        <v>2160</v>
      </c>
      <c r="D2469" s="957" t="s">
        <v>7</v>
      </c>
      <c r="E2469" s="139">
        <v>1</v>
      </c>
      <c r="F2469" s="142">
        <v>1315</v>
      </c>
      <c r="G2469" s="143">
        <v>1315</v>
      </c>
      <c r="H2469" s="219">
        <v>94</v>
      </c>
      <c r="I2469" s="957" t="s">
        <v>2773</v>
      </c>
    </row>
    <row r="2470" spans="1:9" ht="12.75" customHeight="1" x14ac:dyDescent="0.2">
      <c r="A2470" s="130" t="str">
        <f t="shared" si="17"/>
        <v xml:space="preserve">      Medicamentos95</v>
      </c>
      <c r="B2470" s="957" t="s">
        <v>2161</v>
      </c>
      <c r="C2470" s="957" t="s">
        <v>11</v>
      </c>
      <c r="D2470" s="957" t="s">
        <v>7</v>
      </c>
      <c r="E2470" s="139">
        <v>1</v>
      </c>
      <c r="F2470" s="144">
        <v>200</v>
      </c>
      <c r="G2470" s="145">
        <v>200</v>
      </c>
      <c r="H2470" s="219">
        <v>95</v>
      </c>
      <c r="I2470" s="957" t="s">
        <v>2774</v>
      </c>
    </row>
    <row r="2471" spans="1:9" ht="12.75" customHeight="1" x14ac:dyDescent="0.2">
      <c r="A2471" s="130" t="str">
        <f t="shared" si="17"/>
        <v xml:space="preserve">      Combustivel96</v>
      </c>
      <c r="B2471" s="957" t="s">
        <v>2162</v>
      </c>
      <c r="C2471" s="957" t="s">
        <v>2163</v>
      </c>
      <c r="D2471" s="957" t="s">
        <v>13</v>
      </c>
      <c r="E2471" s="142">
        <v>1160</v>
      </c>
      <c r="F2471" s="139">
        <v>5</v>
      </c>
      <c r="G2471" s="143">
        <v>5800</v>
      </c>
      <c r="H2471" s="219">
        <v>96</v>
      </c>
      <c r="I2471" s="957" t="s">
        <v>2775</v>
      </c>
    </row>
    <row r="2472" spans="1:9" ht="12.75" customHeight="1" x14ac:dyDescent="0.2">
      <c r="A2472" s="130" t="str">
        <f t="shared" si="17"/>
        <v>- ADMINISTRAÇÃO97</v>
      </c>
      <c r="B2472" s="137" t="s">
        <v>105</v>
      </c>
      <c r="C2472" s="137" t="s">
        <v>590</v>
      </c>
      <c r="D2472" s="137"/>
      <c r="E2472" s="138"/>
      <c r="F2472" s="138"/>
      <c r="G2472" s="682">
        <v>1147539.96</v>
      </c>
      <c r="H2472" s="219">
        <v>97</v>
      </c>
      <c r="I2472" s="137" t="s">
        <v>329</v>
      </c>
    </row>
    <row r="2473" spans="1:9" ht="12.75" customHeight="1" x14ac:dyDescent="0.2">
      <c r="A2473" s="130" t="str">
        <f t="shared" si="17"/>
        <v xml:space="preserve">      Taxa de administração (15%)98</v>
      </c>
      <c r="B2473" s="957" t="s">
        <v>106</v>
      </c>
      <c r="C2473" s="957" t="s">
        <v>591</v>
      </c>
      <c r="D2473" s="957" t="s">
        <v>7</v>
      </c>
      <c r="E2473" s="139">
        <v>1</v>
      </c>
      <c r="F2473" s="687">
        <v>1147539.96</v>
      </c>
      <c r="G2473" s="688">
        <v>1147539.96</v>
      </c>
      <c r="H2473" s="115">
        <v>98</v>
      </c>
      <c r="I2473" s="957" t="s">
        <v>2776</v>
      </c>
    </row>
    <row r="2474" spans="1:9" ht="12.75" customHeight="1" x14ac:dyDescent="0.2">
      <c r="B2474" s="246" t="s">
        <v>62</v>
      </c>
      <c r="C2474" s="246"/>
      <c r="D2474" s="246"/>
      <c r="E2474" s="246"/>
      <c r="F2474" s="246"/>
      <c r="G2474" s="686">
        <v>3339583.99</v>
      </c>
      <c r="H2474" s="116"/>
      <c r="I2474" s="137"/>
    </row>
    <row r="2475" spans="1:9" ht="12.75" customHeight="1" x14ac:dyDescent="0.2">
      <c r="B2475" s="246" t="s">
        <v>67</v>
      </c>
      <c r="C2475" s="246"/>
      <c r="D2475" s="246"/>
      <c r="E2475" s="246"/>
      <c r="F2475" s="246"/>
      <c r="G2475" s="686">
        <v>8797806.3599999994</v>
      </c>
      <c r="H2475" s="217"/>
      <c r="I2475" s="481"/>
    </row>
    <row r="2476" spans="1:9" ht="12.75" customHeight="1" x14ac:dyDescent="0.2">
      <c r="B2476" s="653"/>
      <c r="C2476" s="653"/>
      <c r="D2476" s="653"/>
      <c r="E2476" s="654"/>
      <c r="F2476" s="654"/>
      <c r="G2476" s="655"/>
      <c r="H2476" s="116"/>
      <c r="I2476" s="137"/>
    </row>
    <row r="2477" spans="1:9" ht="12.75" customHeight="1" x14ac:dyDescent="0.2">
      <c r="B2477" s="653"/>
      <c r="C2477" s="653"/>
      <c r="D2477" s="653"/>
      <c r="E2477" s="654"/>
      <c r="F2477" s="654"/>
      <c r="G2477" s="665"/>
      <c r="H2477" s="116"/>
      <c r="I2477" s="137"/>
    </row>
    <row r="2478" spans="1:9" ht="12.75" customHeight="1" x14ac:dyDescent="0.2">
      <c r="B2478" s="656"/>
      <c r="C2478" s="656"/>
      <c r="D2478" s="656"/>
      <c r="E2478" s="664"/>
      <c r="F2478" s="664"/>
      <c r="G2478" s="659"/>
      <c r="H2478" s="217"/>
      <c r="I2478" s="481"/>
    </row>
    <row r="2479" spans="1:9" ht="12.75" customHeight="1" x14ac:dyDescent="0.2">
      <c r="B2479" s="656"/>
      <c r="C2479" s="656"/>
      <c r="D2479" s="656"/>
      <c r="E2479" s="658"/>
      <c r="F2479" s="664"/>
      <c r="G2479" s="663"/>
      <c r="H2479" s="217"/>
      <c r="I2479" s="481"/>
    </row>
    <row r="2480" spans="1:9" ht="12.75" customHeight="1" x14ac:dyDescent="0.2">
      <c r="B2480" s="656"/>
      <c r="C2480" s="656"/>
      <c r="D2480" s="656"/>
      <c r="E2480" s="657"/>
      <c r="F2480" s="660"/>
      <c r="G2480" s="661"/>
      <c r="H2480" s="217"/>
      <c r="I2480" s="481"/>
    </row>
    <row r="2481" spans="2:9" ht="12.75" customHeight="1" x14ac:dyDescent="0.2">
      <c r="B2481" s="653"/>
      <c r="C2481" s="653"/>
      <c r="D2481" s="653"/>
      <c r="E2481" s="654"/>
      <c r="F2481" s="654"/>
      <c r="G2481" s="665"/>
      <c r="H2481" s="116"/>
      <c r="I2481" s="137"/>
    </row>
    <row r="2482" spans="2:9" ht="12.75" customHeight="1" x14ac:dyDescent="0.2">
      <c r="B2482" s="656"/>
      <c r="C2482" s="656"/>
      <c r="D2482" s="656"/>
      <c r="E2482" s="662"/>
      <c r="F2482" s="657"/>
      <c r="G2482" s="661"/>
      <c r="H2482" s="217"/>
      <c r="I2482" s="481"/>
    </row>
    <row r="2483" spans="2:9" ht="12.75" customHeight="1" x14ac:dyDescent="0.2">
      <c r="B2483" s="656"/>
      <c r="C2483" s="656"/>
      <c r="D2483" s="656"/>
      <c r="E2483" s="657"/>
      <c r="F2483" s="660"/>
      <c r="G2483" s="661"/>
      <c r="H2483" s="217"/>
      <c r="I2483" s="481"/>
    </row>
    <row r="2484" spans="2:9" ht="12.75" customHeight="1" x14ac:dyDescent="0.2">
      <c r="B2484" s="653"/>
      <c r="C2484" s="653"/>
      <c r="D2484" s="653"/>
      <c r="E2484" s="654"/>
      <c r="F2484" s="654"/>
      <c r="G2484" s="655"/>
      <c r="H2484" s="116"/>
      <c r="I2484" s="137"/>
    </row>
    <row r="2485" spans="2:9" ht="12.75" customHeight="1" x14ac:dyDescent="0.2">
      <c r="B2485" s="656"/>
      <c r="C2485" s="656"/>
      <c r="D2485" s="656"/>
      <c r="E2485" s="657"/>
      <c r="F2485" s="662"/>
      <c r="G2485" s="663"/>
      <c r="H2485" s="217"/>
      <c r="I2485" s="481"/>
    </row>
    <row r="2486" spans="2:9" ht="12.75" customHeight="1" x14ac:dyDescent="0.2">
      <c r="B2486" s="656"/>
      <c r="C2486" s="656"/>
      <c r="D2486" s="656"/>
      <c r="E2486" s="664"/>
      <c r="F2486" s="657"/>
      <c r="G2486" s="659"/>
      <c r="H2486" s="217"/>
      <c r="I2486" s="481"/>
    </row>
    <row r="2487" spans="2:9" ht="12.75" customHeight="1" x14ac:dyDescent="0.2">
      <c r="B2487" s="656"/>
      <c r="C2487" s="656"/>
      <c r="D2487" s="656"/>
      <c r="E2487" s="657"/>
      <c r="F2487" s="662"/>
      <c r="G2487" s="661"/>
      <c r="H2487" s="217"/>
      <c r="I2487" s="481"/>
    </row>
    <row r="2488" spans="2:9" ht="12.75" customHeight="1" x14ac:dyDescent="0.2">
      <c r="B2488" s="656"/>
      <c r="C2488" s="656"/>
      <c r="D2488" s="656"/>
      <c r="E2488" s="657"/>
      <c r="F2488" s="660"/>
      <c r="G2488" s="661"/>
      <c r="H2488" s="217"/>
      <c r="I2488" s="481"/>
    </row>
    <row r="2489" spans="2:9" ht="12.75" customHeight="1" x14ac:dyDescent="0.2">
      <c r="B2489" s="656"/>
      <c r="C2489" s="656"/>
      <c r="D2489" s="656"/>
      <c r="E2489" s="657"/>
      <c r="F2489" s="658"/>
      <c r="G2489" s="659"/>
      <c r="H2489" s="217"/>
      <c r="I2489" s="481"/>
    </row>
    <row r="2490" spans="2:9" ht="12.75" customHeight="1" x14ac:dyDescent="0.2">
      <c r="B2490" s="656"/>
      <c r="C2490" s="656"/>
      <c r="D2490" s="656"/>
      <c r="E2490" s="657"/>
      <c r="F2490" s="662"/>
      <c r="G2490" s="663"/>
      <c r="H2490" s="217"/>
      <c r="I2490" s="481"/>
    </row>
    <row r="2491" spans="2:9" ht="12.75" customHeight="1" x14ac:dyDescent="0.2">
      <c r="B2491" s="656"/>
      <c r="C2491" s="656"/>
      <c r="D2491" s="656"/>
      <c r="E2491" s="657"/>
      <c r="F2491" s="660"/>
      <c r="G2491" s="661"/>
      <c r="H2491" s="217"/>
      <c r="I2491" s="481"/>
    </row>
    <row r="2492" spans="2:9" ht="12.75" customHeight="1" x14ac:dyDescent="0.2">
      <c r="B2492" s="656"/>
      <c r="C2492" s="656"/>
      <c r="D2492" s="656"/>
      <c r="E2492" s="657"/>
      <c r="F2492" s="660"/>
      <c r="G2492" s="661"/>
      <c r="H2492" s="217"/>
      <c r="I2492" s="481"/>
    </row>
    <row r="2493" spans="2:9" ht="12.75" customHeight="1" x14ac:dyDescent="0.2">
      <c r="B2493" s="656"/>
      <c r="C2493" s="656"/>
      <c r="D2493" s="656"/>
      <c r="E2493" s="657"/>
      <c r="F2493" s="660"/>
      <c r="G2493" s="661"/>
      <c r="H2493" s="217"/>
      <c r="I2493" s="481"/>
    </row>
    <row r="2494" spans="2:9" ht="12.75" customHeight="1" x14ac:dyDescent="0.2">
      <c r="B2494" s="656"/>
      <c r="C2494" s="656"/>
      <c r="D2494" s="656"/>
      <c r="E2494" s="657"/>
      <c r="F2494" s="662"/>
      <c r="G2494" s="663"/>
      <c r="H2494" s="217"/>
      <c r="I2494" s="481"/>
    </row>
    <row r="2495" spans="2:9" ht="12.75" customHeight="1" x14ac:dyDescent="0.2">
      <c r="B2495" s="488"/>
      <c r="C2495" s="489"/>
      <c r="D2495" s="489"/>
      <c r="E2495" s="490"/>
      <c r="F2495" s="490"/>
      <c r="G2495" s="505"/>
      <c r="H2495" s="217"/>
      <c r="I2495" s="481"/>
    </row>
    <row r="2496" spans="2:9" ht="12.75" customHeight="1" x14ac:dyDescent="0.2">
      <c r="B2496" s="492"/>
      <c r="C2496" s="493"/>
      <c r="D2496" s="493"/>
      <c r="E2496" s="495"/>
      <c r="F2496" s="494"/>
      <c r="G2496" s="496"/>
      <c r="H2496" s="217"/>
      <c r="I2496" s="481"/>
    </row>
    <row r="2497" spans="2:9" ht="12.75" customHeight="1" x14ac:dyDescent="0.2">
      <c r="B2497" s="492"/>
      <c r="C2497" s="493"/>
      <c r="D2497" s="493"/>
      <c r="E2497" s="495"/>
      <c r="F2497" s="494"/>
      <c r="G2497" s="496"/>
      <c r="H2497" s="217"/>
      <c r="I2497" s="481"/>
    </row>
    <row r="2498" spans="2:9" ht="12.75" customHeight="1" x14ac:dyDescent="0.2">
      <c r="B2498" s="492"/>
      <c r="C2498" s="493"/>
      <c r="D2498" s="493"/>
      <c r="E2498" s="494"/>
      <c r="F2498" s="495"/>
      <c r="G2498" s="496"/>
      <c r="H2498" s="217"/>
      <c r="I2498" s="481"/>
    </row>
    <row r="2499" spans="2:9" ht="12.75" customHeight="1" x14ac:dyDescent="0.2">
      <c r="B2499" s="488"/>
      <c r="C2499" s="489"/>
      <c r="D2499" s="489"/>
      <c r="E2499" s="490"/>
      <c r="F2499" s="490"/>
      <c r="G2499" s="506"/>
      <c r="H2499" s="116"/>
      <c r="I2499" s="137"/>
    </row>
    <row r="2500" spans="2:9" ht="12.75" customHeight="1" x14ac:dyDescent="0.2">
      <c r="B2500" s="492"/>
      <c r="C2500" s="493"/>
      <c r="D2500" s="493"/>
      <c r="E2500" s="495"/>
      <c r="F2500" s="494"/>
      <c r="G2500" s="496"/>
      <c r="H2500" s="217"/>
      <c r="I2500" s="481"/>
    </row>
    <row r="2501" spans="2:9" ht="12.75" customHeight="1" x14ac:dyDescent="0.2">
      <c r="B2501" s="488"/>
      <c r="C2501" s="489"/>
      <c r="D2501" s="489"/>
      <c r="E2501" s="490"/>
      <c r="F2501" s="490"/>
      <c r="G2501" s="491"/>
      <c r="H2501" s="116"/>
      <c r="I2501" s="137"/>
    </row>
    <row r="2502" spans="2:9" ht="12.75" customHeight="1" x14ac:dyDescent="0.2">
      <c r="B2502" s="492"/>
      <c r="C2502" s="493"/>
      <c r="D2502" s="493"/>
      <c r="E2502" s="495"/>
      <c r="F2502" s="494"/>
      <c r="G2502" s="496"/>
      <c r="H2502" s="217"/>
      <c r="I2502" s="481"/>
    </row>
    <row r="2503" spans="2:9" ht="12.75" customHeight="1" x14ac:dyDescent="0.2">
      <c r="B2503" s="492"/>
      <c r="C2503" s="493"/>
      <c r="D2503" s="493"/>
      <c r="E2503" s="495"/>
      <c r="F2503" s="494"/>
      <c r="G2503" s="496"/>
      <c r="H2503" s="217"/>
      <c r="I2503" s="481"/>
    </row>
    <row r="2504" spans="2:9" ht="12.75" customHeight="1" x14ac:dyDescent="0.2">
      <c r="B2504" s="492"/>
      <c r="C2504" s="493"/>
      <c r="D2504" s="493"/>
      <c r="E2504" s="499"/>
      <c r="F2504" s="494"/>
      <c r="G2504" s="500"/>
      <c r="H2504" s="217"/>
      <c r="I2504" s="481"/>
    </row>
    <row r="2505" spans="2:9" ht="12.75" customHeight="1" x14ac:dyDescent="0.2">
      <c r="B2505" s="492"/>
      <c r="C2505" s="493"/>
      <c r="D2505" s="493"/>
      <c r="E2505" s="495"/>
      <c r="F2505" s="501"/>
      <c r="G2505" s="500"/>
      <c r="H2505" s="217"/>
      <c r="I2505" s="481"/>
    </row>
    <row r="2506" spans="2:9" ht="12.75" customHeight="1" x14ac:dyDescent="0.2">
      <c r="B2506" s="492"/>
      <c r="C2506" s="493"/>
      <c r="D2506" s="493"/>
      <c r="E2506" s="495"/>
      <c r="F2506" s="501"/>
      <c r="G2506" s="498"/>
      <c r="H2506" s="217"/>
      <c r="I2506" s="481"/>
    </row>
    <row r="2507" spans="2:9" ht="12.75" customHeight="1" x14ac:dyDescent="0.2">
      <c r="B2507" s="492"/>
      <c r="C2507" s="493"/>
      <c r="D2507" s="493"/>
      <c r="E2507" s="499"/>
      <c r="F2507" s="501"/>
      <c r="G2507" s="498"/>
      <c r="H2507" s="217"/>
      <c r="I2507" s="481"/>
    </row>
    <row r="2508" spans="2:9" ht="12.75" customHeight="1" x14ac:dyDescent="0.2">
      <c r="B2508" s="492"/>
      <c r="C2508" s="493"/>
      <c r="D2508" s="493"/>
      <c r="E2508" s="495"/>
      <c r="F2508" s="494"/>
      <c r="G2508" s="500"/>
      <c r="H2508" s="217"/>
      <c r="I2508" s="481"/>
    </row>
    <row r="2509" spans="2:9" ht="12.75" customHeight="1" x14ac:dyDescent="0.2">
      <c r="B2509" s="492"/>
      <c r="C2509" s="493"/>
      <c r="D2509" s="493"/>
      <c r="E2509" s="501"/>
      <c r="F2509" s="494"/>
      <c r="G2509" s="496"/>
      <c r="H2509" s="217"/>
      <c r="I2509" s="481"/>
    </row>
    <row r="2510" spans="2:9" ht="12.75" customHeight="1" x14ac:dyDescent="0.2">
      <c r="B2510" s="492"/>
      <c r="C2510" s="493"/>
      <c r="D2510" s="493"/>
      <c r="E2510" s="494"/>
      <c r="F2510" s="504"/>
      <c r="G2510" s="502"/>
      <c r="H2510" s="217"/>
      <c r="I2510" s="481"/>
    </row>
    <row r="2511" spans="2:9" ht="12.75" customHeight="1" x14ac:dyDescent="0.2">
      <c r="B2511" s="488"/>
      <c r="C2511" s="489"/>
      <c r="D2511" s="489"/>
      <c r="E2511" s="490"/>
      <c r="F2511" s="490"/>
      <c r="G2511" s="491"/>
      <c r="H2511" s="116"/>
      <c r="I2511" s="137"/>
    </row>
    <row r="2512" spans="2:9" ht="12.75" customHeight="1" x14ac:dyDescent="0.2">
      <c r="B2512" s="488"/>
      <c r="C2512" s="489"/>
      <c r="D2512" s="489"/>
      <c r="E2512" s="490"/>
      <c r="F2512" s="490"/>
      <c r="G2512" s="503"/>
      <c r="H2512" s="116"/>
      <c r="I2512" s="137"/>
    </row>
    <row r="2513" spans="1:9" ht="12.75" customHeight="1" x14ac:dyDescent="0.2">
      <c r="B2513" s="492"/>
      <c r="C2513" s="493"/>
      <c r="D2513" s="493"/>
      <c r="E2513" s="501"/>
      <c r="F2513" s="501"/>
      <c r="G2513" s="496"/>
      <c r="H2513" s="217"/>
      <c r="I2513" s="481"/>
    </row>
    <row r="2514" spans="1:9" ht="12.75" customHeight="1" x14ac:dyDescent="0.2">
      <c r="B2514" s="492"/>
      <c r="C2514" s="493"/>
      <c r="D2514" s="493"/>
      <c r="E2514" s="501"/>
      <c r="F2514" s="501"/>
      <c r="G2514" s="500"/>
      <c r="H2514" s="217"/>
      <c r="I2514" s="481"/>
    </row>
    <row r="2515" spans="1:9" ht="12.75" customHeight="1" x14ac:dyDescent="0.2">
      <c r="B2515" s="492"/>
      <c r="C2515" s="493"/>
      <c r="D2515" s="493"/>
      <c r="E2515" s="494"/>
      <c r="F2515" s="497"/>
      <c r="G2515" s="498"/>
      <c r="H2515" s="217"/>
      <c r="I2515" s="481"/>
    </row>
    <row r="2516" spans="1:9" ht="12.75" customHeight="1" x14ac:dyDescent="0.2">
      <c r="B2516" s="488"/>
      <c r="C2516" s="489"/>
      <c r="D2516" s="489"/>
      <c r="E2516" s="490"/>
      <c r="F2516" s="490"/>
      <c r="G2516" s="503"/>
      <c r="H2516" s="116"/>
      <c r="I2516" s="137"/>
    </row>
    <row r="2517" spans="1:9" ht="12.75" customHeight="1" x14ac:dyDescent="0.2">
      <c r="B2517" s="492"/>
      <c r="C2517" s="493"/>
      <c r="D2517" s="493"/>
      <c r="E2517" s="499"/>
      <c r="F2517" s="494"/>
      <c r="G2517" s="498"/>
      <c r="H2517" s="217"/>
      <c r="I2517" s="481"/>
    </row>
    <row r="2518" spans="1:9" ht="12.75" customHeight="1" x14ac:dyDescent="0.2">
      <c r="B2518" s="492"/>
      <c r="C2518" s="493"/>
      <c r="D2518" s="493"/>
      <c r="E2518" s="494"/>
      <c r="F2518" s="497"/>
      <c r="G2518" s="498"/>
      <c r="H2518" s="217"/>
      <c r="I2518" s="481"/>
    </row>
    <row r="2519" spans="1:9" ht="12.75" customHeight="1" x14ac:dyDescent="0.2">
      <c r="B2519" s="488"/>
      <c r="C2519" s="489"/>
      <c r="D2519" s="489"/>
      <c r="E2519" s="490"/>
      <c r="F2519" s="490"/>
      <c r="G2519" s="491"/>
      <c r="H2519" s="116"/>
      <c r="I2519" s="137"/>
    </row>
    <row r="2520" spans="1:9" ht="12.75" customHeight="1" x14ac:dyDescent="0.2">
      <c r="B2520" s="492"/>
      <c r="C2520" s="493"/>
      <c r="D2520" s="493"/>
      <c r="E2520" s="501"/>
      <c r="F2520" s="494"/>
      <c r="G2520" s="496"/>
      <c r="H2520" s="217"/>
      <c r="I2520" s="481"/>
    </row>
    <row r="2521" spans="1:9" ht="12.75" customHeight="1" x14ac:dyDescent="0.2">
      <c r="B2521" s="492"/>
      <c r="C2521" s="493"/>
      <c r="D2521" s="493"/>
      <c r="E2521" s="494"/>
      <c r="F2521" s="499"/>
      <c r="G2521" s="500"/>
      <c r="H2521" s="217"/>
      <c r="I2521" s="481"/>
    </row>
    <row r="2522" spans="1:9" ht="12.75" customHeight="1" x14ac:dyDescent="0.2">
      <c r="B2522" s="492"/>
      <c r="C2522" s="493"/>
      <c r="D2522" s="493"/>
      <c r="E2522" s="494"/>
      <c r="F2522" s="497"/>
      <c r="G2522" s="498"/>
      <c r="H2522" s="217"/>
      <c r="I2522" s="481"/>
    </row>
    <row r="2523" spans="1:9" ht="12.75" customHeight="1" x14ac:dyDescent="0.2">
      <c r="B2523" s="492"/>
      <c r="C2523" s="493"/>
      <c r="D2523" s="493"/>
      <c r="E2523" s="494"/>
      <c r="F2523" s="495"/>
      <c r="G2523" s="496"/>
      <c r="H2523" s="217"/>
      <c r="I2523" s="481"/>
    </row>
    <row r="2524" spans="1:9" ht="12.75" customHeight="1" x14ac:dyDescent="0.2">
      <c r="B2524" s="492"/>
      <c r="C2524" s="493"/>
      <c r="D2524" s="493"/>
      <c r="E2524" s="494"/>
      <c r="F2524" s="499"/>
      <c r="G2524" s="500"/>
      <c r="H2524" s="217"/>
      <c r="I2524" s="481"/>
    </row>
    <row r="2525" spans="1:9" ht="12.75" customHeight="1" x14ac:dyDescent="0.2">
      <c r="B2525" s="492"/>
      <c r="C2525" s="493"/>
      <c r="D2525" s="493"/>
      <c r="E2525" s="494"/>
      <c r="F2525" s="497"/>
      <c r="G2525" s="498"/>
      <c r="H2525" s="217"/>
      <c r="I2525" s="481"/>
    </row>
    <row r="2526" spans="1:9" ht="12.75" customHeight="1" x14ac:dyDescent="0.2">
      <c r="B2526" s="492"/>
      <c r="C2526" s="493"/>
      <c r="D2526" s="493"/>
      <c r="E2526" s="494"/>
      <c r="F2526" s="497"/>
      <c r="G2526" s="498"/>
      <c r="H2526" s="217"/>
      <c r="I2526" s="481"/>
    </row>
    <row r="2527" spans="1:9" ht="12.75" customHeight="1" x14ac:dyDescent="0.2">
      <c r="B2527" s="492"/>
      <c r="C2527" s="493"/>
      <c r="D2527" s="493"/>
      <c r="E2527" s="494"/>
      <c r="F2527" s="499"/>
      <c r="G2527" s="500"/>
      <c r="H2527" s="217"/>
      <c r="I2527" s="481"/>
    </row>
    <row r="2528" spans="1:9" s="120" customFormat="1" ht="12.75" customHeight="1" x14ac:dyDescent="0.2">
      <c r="A2528" s="365"/>
      <c r="B2528" s="481"/>
      <c r="C2528" s="481"/>
      <c r="D2528" s="481"/>
      <c r="E2528" s="139"/>
      <c r="F2528" s="144"/>
      <c r="G2528" s="145"/>
      <c r="H2528" s="217"/>
      <c r="I2528" s="481"/>
    </row>
    <row r="2529" spans="1:9" s="120" customFormat="1" ht="12.75" customHeight="1" x14ac:dyDescent="0.2">
      <c r="A2529" s="365"/>
      <c r="B2529" s="481"/>
      <c r="C2529" s="481"/>
      <c r="D2529" s="481"/>
      <c r="E2529" s="139"/>
      <c r="F2529" s="142"/>
      <c r="G2529" s="143"/>
      <c r="H2529" s="217"/>
      <c r="I2529" s="481"/>
    </row>
    <row r="2530" spans="1:9" s="120" customFormat="1" ht="12.75" customHeight="1" x14ac:dyDescent="0.2">
      <c r="A2530" s="365"/>
      <c r="B2530" s="481"/>
      <c r="C2530" s="481"/>
      <c r="D2530" s="481"/>
      <c r="E2530" s="139"/>
      <c r="F2530" s="140"/>
      <c r="G2530" s="141"/>
      <c r="H2530" s="217"/>
      <c r="I2530" s="481"/>
    </row>
    <row r="2531" spans="1:9" s="120" customFormat="1" ht="12.75" customHeight="1" x14ac:dyDescent="0.2">
      <c r="A2531" s="365"/>
      <c r="B2531" s="481"/>
      <c r="C2531" s="481"/>
      <c r="D2531" s="481"/>
      <c r="E2531" s="139"/>
      <c r="F2531" s="140"/>
      <c r="G2531" s="141"/>
      <c r="H2531" s="217"/>
      <c r="I2531" s="481"/>
    </row>
    <row r="2532" spans="1:9" s="120" customFormat="1" ht="12.75" customHeight="1" x14ac:dyDescent="0.2">
      <c r="A2532" s="365"/>
      <c r="B2532" s="481"/>
      <c r="C2532" s="481"/>
      <c r="D2532" s="481"/>
      <c r="E2532" s="139"/>
      <c r="F2532" s="142"/>
      <c r="G2532" s="143"/>
      <c r="H2532" s="217"/>
      <c r="I2532" s="481"/>
    </row>
  </sheetData>
  <autoFilter ref="A1523:I1974">
    <filterColumn colId="8">
      <filters>
        <filter val="01/03/2020"/>
        <filter val="10/02/2020"/>
      </filters>
    </filterColumn>
  </autoFilter>
  <mergeCells count="51">
    <mergeCell ref="CC14:CE14"/>
    <mergeCell ref="CC13:CE13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G13:H13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O1978:V1978"/>
    <mergeCell ref="E1979:N1979"/>
    <mergeCell ref="O1979:X1979"/>
    <mergeCell ref="B2002:C2002"/>
    <mergeCell ref="Y1995:AD1995"/>
    <mergeCell ref="B2003:C2003"/>
    <mergeCell ref="Y1979:AD1979"/>
    <mergeCell ref="B1993:C1993"/>
    <mergeCell ref="E1995:N1995"/>
    <mergeCell ref="O1995:X1995"/>
    <mergeCell ref="AG14:AI14"/>
    <mergeCell ref="AJ14:AL14"/>
    <mergeCell ref="AP14:AR14"/>
    <mergeCell ref="P960:Y960"/>
    <mergeCell ref="Z960:AC960"/>
    <mergeCell ref="I489:P489"/>
    <mergeCell ref="N490:O490"/>
    <mergeCell ref="F960:O960"/>
    <mergeCell ref="I490:K490"/>
    <mergeCell ref="L490:M490"/>
    <mergeCell ref="AD14:AF14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F471"/>
  <sheetViews>
    <sheetView showGridLines="0" showZeros="0" topLeftCell="A454" zoomScale="150" zoomScaleNormal="150" workbookViewId="0">
      <selection activeCell="A372" sqref="A372:F471"/>
    </sheetView>
  </sheetViews>
  <sheetFormatPr defaultColWidth="9.140625" defaultRowHeight="12.75" x14ac:dyDescent="0.2"/>
  <cols>
    <col min="1" max="1" width="9.7109375" bestFit="1" customWidth="1"/>
    <col min="2" max="2" width="43" bestFit="1" customWidth="1"/>
    <col min="3" max="3" width="3.5703125" customWidth="1"/>
    <col min="4" max="4" width="14.85546875" bestFit="1" customWidth="1"/>
    <col min="5" max="5" width="11.5703125" bestFit="1" customWidth="1"/>
    <col min="6" max="6" width="10.28515625" bestFit="1" customWidth="1"/>
    <col min="7" max="8" width="5.42578125" customWidth="1"/>
  </cols>
  <sheetData>
    <row r="1" spans="1:6" ht="20.65" customHeight="1" x14ac:dyDescent="0.2">
      <c r="A1" s="1013"/>
      <c r="B1" s="1013"/>
      <c r="C1" s="1011"/>
      <c r="D1" s="1011"/>
      <c r="E1" s="1011"/>
      <c r="F1" s="1011"/>
    </row>
    <row r="2" spans="1:6" ht="20.85" customHeight="1" x14ac:dyDescent="0.2">
      <c r="A2" s="1014"/>
      <c r="B2" s="1014"/>
      <c r="C2" s="1012"/>
      <c r="D2" s="1012"/>
      <c r="E2" s="1012"/>
      <c r="F2" s="1012"/>
    </row>
    <row r="3" spans="1:6" ht="21.75" customHeight="1" x14ac:dyDescent="0.2">
      <c r="A3" s="357" t="s">
        <v>70</v>
      </c>
      <c r="B3" s="357" t="s">
        <v>39</v>
      </c>
      <c r="C3" s="357" t="s">
        <v>71</v>
      </c>
      <c r="D3" s="983" t="s">
        <v>72</v>
      </c>
      <c r="E3" s="983" t="s">
        <v>73</v>
      </c>
      <c r="F3" s="983" t="s">
        <v>74</v>
      </c>
    </row>
    <row r="4" spans="1:6" ht="9.75" customHeight="1" x14ac:dyDescent="0.2">
      <c r="A4" s="137" t="s">
        <v>75</v>
      </c>
      <c r="B4" s="137" t="s">
        <v>592</v>
      </c>
      <c r="C4" s="137"/>
      <c r="D4" s="138"/>
      <c r="E4" s="138"/>
      <c r="F4" s="680">
        <v>170985</v>
      </c>
    </row>
    <row r="5" spans="1:6" ht="9.75" customHeight="1" x14ac:dyDescent="0.2">
      <c r="A5" s="957" t="s">
        <v>76</v>
      </c>
      <c r="B5" s="957" t="s">
        <v>407</v>
      </c>
      <c r="C5" s="957" t="s">
        <v>7</v>
      </c>
      <c r="D5" s="139">
        <v>1</v>
      </c>
      <c r="E5" s="140">
        <v>56000</v>
      </c>
      <c r="F5" s="141">
        <v>56000</v>
      </c>
    </row>
    <row r="6" spans="1:6" ht="9.75" customHeight="1" x14ac:dyDescent="0.2">
      <c r="A6" s="957" t="s">
        <v>77</v>
      </c>
      <c r="B6" s="957" t="s">
        <v>2037</v>
      </c>
      <c r="C6" s="957" t="s">
        <v>7</v>
      </c>
      <c r="D6" s="139">
        <v>1</v>
      </c>
      <c r="E6" s="142">
        <v>9735</v>
      </c>
      <c r="F6" s="143">
        <v>9735</v>
      </c>
    </row>
    <row r="7" spans="1:6" ht="9.75" customHeight="1" x14ac:dyDescent="0.2">
      <c r="A7" s="957" t="s">
        <v>78</v>
      </c>
      <c r="B7" s="957" t="s">
        <v>2038</v>
      </c>
      <c r="C7" s="957" t="s">
        <v>7</v>
      </c>
      <c r="D7" s="139">
        <v>1</v>
      </c>
      <c r="E7" s="142">
        <v>5000</v>
      </c>
      <c r="F7" s="143">
        <v>5000</v>
      </c>
    </row>
    <row r="8" spans="1:6" ht="9.75" customHeight="1" x14ac:dyDescent="0.2">
      <c r="A8" s="957" t="s">
        <v>79</v>
      </c>
      <c r="B8" s="957" t="s">
        <v>1377</v>
      </c>
      <c r="C8" s="957" t="s">
        <v>7</v>
      </c>
      <c r="D8" s="139">
        <v>1</v>
      </c>
      <c r="E8" s="142">
        <v>2800</v>
      </c>
      <c r="F8" s="143">
        <v>2800</v>
      </c>
    </row>
    <row r="9" spans="1:6" ht="9.75" customHeight="1" x14ac:dyDescent="0.2">
      <c r="A9" s="957" t="s">
        <v>80</v>
      </c>
      <c r="B9" s="957" t="s">
        <v>425</v>
      </c>
      <c r="C9" s="957" t="s">
        <v>7</v>
      </c>
      <c r="D9" s="139">
        <v>1</v>
      </c>
      <c r="E9" s="140">
        <v>50000</v>
      </c>
      <c r="F9" s="141">
        <v>50000</v>
      </c>
    </row>
    <row r="10" spans="1:6" ht="19.350000000000001" customHeight="1" x14ac:dyDescent="0.2">
      <c r="A10" s="957" t="s">
        <v>81</v>
      </c>
      <c r="B10" s="957" t="s">
        <v>2039</v>
      </c>
      <c r="C10" s="957" t="s">
        <v>7</v>
      </c>
      <c r="D10" s="139">
        <v>1</v>
      </c>
      <c r="E10" s="140">
        <v>22250</v>
      </c>
      <c r="F10" s="141">
        <v>22250</v>
      </c>
    </row>
    <row r="11" spans="1:6" ht="9.75" customHeight="1" x14ac:dyDescent="0.2">
      <c r="A11" s="957" t="s">
        <v>153</v>
      </c>
      <c r="B11" s="957" t="s">
        <v>2198</v>
      </c>
      <c r="C11" s="957" t="s">
        <v>7</v>
      </c>
      <c r="D11" s="139">
        <v>1</v>
      </c>
      <c r="E11" s="142">
        <v>3500</v>
      </c>
      <c r="F11" s="143">
        <v>3500</v>
      </c>
    </row>
    <row r="12" spans="1:6" ht="9.75" customHeight="1" x14ac:dyDescent="0.2">
      <c r="A12" s="957" t="s">
        <v>261</v>
      </c>
      <c r="B12" s="957" t="s">
        <v>767</v>
      </c>
      <c r="C12" s="957" t="s">
        <v>7</v>
      </c>
      <c r="D12" s="139">
        <v>1</v>
      </c>
      <c r="E12" s="142">
        <v>3000</v>
      </c>
      <c r="F12" s="143">
        <v>3000</v>
      </c>
    </row>
    <row r="13" spans="1:6" ht="9.75" customHeight="1" x14ac:dyDescent="0.2">
      <c r="A13" s="957" t="s">
        <v>262</v>
      </c>
      <c r="B13" s="957" t="s">
        <v>2199</v>
      </c>
      <c r="C13" s="957" t="s">
        <v>7</v>
      </c>
      <c r="D13" s="139">
        <v>1</v>
      </c>
      <c r="E13" s="142">
        <v>2400</v>
      </c>
      <c r="F13" s="143">
        <v>2400</v>
      </c>
    </row>
    <row r="14" spans="1:6" ht="9.75" customHeight="1" x14ac:dyDescent="0.2">
      <c r="A14" s="957" t="s">
        <v>764</v>
      </c>
      <c r="B14" s="957" t="s">
        <v>2200</v>
      </c>
      <c r="C14" s="957" t="s">
        <v>7</v>
      </c>
      <c r="D14" s="139">
        <v>1</v>
      </c>
      <c r="E14" s="140">
        <v>15000</v>
      </c>
      <c r="F14" s="141">
        <v>15000</v>
      </c>
    </row>
    <row r="15" spans="1:6" ht="9.75" customHeight="1" x14ac:dyDescent="0.2">
      <c r="A15" s="957" t="s">
        <v>766</v>
      </c>
      <c r="B15" s="957" t="s">
        <v>2201</v>
      </c>
      <c r="C15" s="957" t="s">
        <v>7</v>
      </c>
      <c r="D15" s="139">
        <v>1</v>
      </c>
      <c r="E15" s="142">
        <v>1300</v>
      </c>
      <c r="F15" s="143">
        <v>1300</v>
      </c>
    </row>
    <row r="16" spans="1:6" ht="9.75" customHeight="1" x14ac:dyDescent="0.2">
      <c r="A16" s="137" t="s">
        <v>82</v>
      </c>
      <c r="B16" s="137" t="s">
        <v>593</v>
      </c>
      <c r="C16" s="137"/>
      <c r="D16" s="138"/>
      <c r="E16" s="138"/>
      <c r="F16" s="681">
        <v>46168</v>
      </c>
    </row>
    <row r="17" spans="1:6" ht="9.75" customHeight="1" x14ac:dyDescent="0.2">
      <c r="A17" s="957" t="s">
        <v>83</v>
      </c>
      <c r="B17" s="957" t="s">
        <v>410</v>
      </c>
      <c r="C17" s="957" t="s">
        <v>7</v>
      </c>
      <c r="D17" s="139">
        <v>1</v>
      </c>
      <c r="E17" s="140">
        <v>12000</v>
      </c>
      <c r="F17" s="141">
        <v>12000</v>
      </c>
    </row>
    <row r="18" spans="1:6" ht="9.75" customHeight="1" x14ac:dyDescent="0.2">
      <c r="A18" s="957" t="s">
        <v>84</v>
      </c>
      <c r="B18" s="957" t="s">
        <v>594</v>
      </c>
      <c r="C18" s="957" t="s">
        <v>7</v>
      </c>
      <c r="D18" s="139">
        <v>1</v>
      </c>
      <c r="E18" s="142">
        <v>1500</v>
      </c>
      <c r="F18" s="143">
        <v>1500</v>
      </c>
    </row>
    <row r="19" spans="1:6" ht="9.75" customHeight="1" x14ac:dyDescent="0.2">
      <c r="A19" s="957" t="s">
        <v>85</v>
      </c>
      <c r="B19" s="957" t="s">
        <v>453</v>
      </c>
      <c r="C19" s="957" t="s">
        <v>7</v>
      </c>
      <c r="D19" s="139">
        <v>1</v>
      </c>
      <c r="E19" s="142">
        <v>3520</v>
      </c>
      <c r="F19" s="143">
        <v>3520</v>
      </c>
    </row>
    <row r="20" spans="1:6" ht="9.75" customHeight="1" x14ac:dyDescent="0.2">
      <c r="A20" s="957" t="s">
        <v>157</v>
      </c>
      <c r="B20" s="957" t="s">
        <v>447</v>
      </c>
      <c r="C20" s="957" t="s">
        <v>7</v>
      </c>
      <c r="D20" s="139">
        <v>1</v>
      </c>
      <c r="E20" s="140">
        <v>12148</v>
      </c>
      <c r="F20" s="141">
        <v>12148</v>
      </c>
    </row>
    <row r="21" spans="1:6" ht="9.75" customHeight="1" x14ac:dyDescent="0.2">
      <c r="A21" s="957" t="s">
        <v>158</v>
      </c>
      <c r="B21" s="957" t="s">
        <v>434</v>
      </c>
      <c r="C21" s="957" t="s">
        <v>7</v>
      </c>
      <c r="D21" s="139">
        <v>1</v>
      </c>
      <c r="E21" s="142">
        <v>4000</v>
      </c>
      <c r="F21" s="143">
        <v>4000</v>
      </c>
    </row>
    <row r="22" spans="1:6" ht="9.75" customHeight="1" x14ac:dyDescent="0.2">
      <c r="A22" s="957" t="s">
        <v>518</v>
      </c>
      <c r="B22" s="957" t="s">
        <v>1378</v>
      </c>
      <c r="C22" s="957" t="s">
        <v>7</v>
      </c>
      <c r="D22" s="139">
        <v>1</v>
      </c>
      <c r="E22" s="142">
        <v>3000</v>
      </c>
      <c r="F22" s="143">
        <v>3000</v>
      </c>
    </row>
    <row r="23" spans="1:6" ht="9.75" customHeight="1" x14ac:dyDescent="0.2">
      <c r="A23" s="957" t="s">
        <v>519</v>
      </c>
      <c r="B23" s="957" t="s">
        <v>1379</v>
      </c>
      <c r="C23" s="957" t="s">
        <v>7</v>
      </c>
      <c r="D23" s="139">
        <v>1</v>
      </c>
      <c r="E23" s="140">
        <v>10000</v>
      </c>
      <c r="F23" s="141">
        <v>10000</v>
      </c>
    </row>
    <row r="24" spans="1:6" ht="9.75" customHeight="1" x14ac:dyDescent="0.2">
      <c r="A24" s="137" t="s">
        <v>86</v>
      </c>
      <c r="B24" s="137" t="s">
        <v>595</v>
      </c>
      <c r="C24" s="137"/>
      <c r="D24" s="138"/>
      <c r="E24" s="138"/>
      <c r="F24" s="681">
        <v>42635.11</v>
      </c>
    </row>
    <row r="25" spans="1:6" ht="9.75" customHeight="1" x14ac:dyDescent="0.2">
      <c r="A25" s="957" t="s">
        <v>87</v>
      </c>
      <c r="B25" s="957" t="s">
        <v>436</v>
      </c>
      <c r="C25" s="957" t="s">
        <v>7</v>
      </c>
      <c r="D25" s="139">
        <v>1</v>
      </c>
      <c r="E25" s="142">
        <v>2500</v>
      </c>
      <c r="F25" s="143">
        <v>2500</v>
      </c>
    </row>
    <row r="26" spans="1:6" ht="9.75" customHeight="1" x14ac:dyDescent="0.2">
      <c r="A26" s="957" t="s">
        <v>88</v>
      </c>
      <c r="B26" s="957" t="s">
        <v>426</v>
      </c>
      <c r="C26" s="957" t="s">
        <v>7</v>
      </c>
      <c r="D26" s="139">
        <v>1</v>
      </c>
      <c r="E26" s="142">
        <v>4000</v>
      </c>
      <c r="F26" s="143">
        <v>4000</v>
      </c>
    </row>
    <row r="27" spans="1:6" ht="9.75" customHeight="1" x14ac:dyDescent="0.2">
      <c r="A27" s="957" t="s">
        <v>89</v>
      </c>
      <c r="B27" s="957" t="s">
        <v>442</v>
      </c>
      <c r="C27" s="957" t="s">
        <v>7</v>
      </c>
      <c r="D27" s="139">
        <v>1</v>
      </c>
      <c r="E27" s="144">
        <v>960</v>
      </c>
      <c r="F27" s="145">
        <v>960</v>
      </c>
    </row>
    <row r="28" spans="1:6" ht="9.75" customHeight="1" x14ac:dyDescent="0.2">
      <c r="A28" s="957" t="s">
        <v>1380</v>
      </c>
      <c r="B28" s="957" t="s">
        <v>768</v>
      </c>
      <c r="C28" s="957" t="s">
        <v>10</v>
      </c>
      <c r="D28" s="139">
        <v>7</v>
      </c>
      <c r="E28" s="142">
        <v>1200</v>
      </c>
      <c r="F28" s="143">
        <v>8400</v>
      </c>
    </row>
    <row r="29" spans="1:6" ht="9.75" customHeight="1" x14ac:dyDescent="0.2">
      <c r="A29" s="957" t="s">
        <v>1381</v>
      </c>
      <c r="B29" s="957" t="s">
        <v>1382</v>
      </c>
      <c r="C29" s="957" t="s">
        <v>7</v>
      </c>
      <c r="D29" s="139">
        <v>1</v>
      </c>
      <c r="E29" s="142">
        <v>2000</v>
      </c>
      <c r="F29" s="143">
        <v>2000</v>
      </c>
    </row>
    <row r="30" spans="1:6" ht="9.75" customHeight="1" x14ac:dyDescent="0.2">
      <c r="A30" s="137" t="s">
        <v>596</v>
      </c>
      <c r="B30" s="137" t="s">
        <v>599</v>
      </c>
      <c r="C30" s="137"/>
      <c r="D30" s="138"/>
      <c r="E30" s="138"/>
      <c r="F30" s="681">
        <v>13644.86</v>
      </c>
    </row>
    <row r="31" spans="1:6" ht="9.75" customHeight="1" x14ac:dyDescent="0.2">
      <c r="A31" s="957" t="s">
        <v>597</v>
      </c>
      <c r="B31" s="957" t="s">
        <v>2202</v>
      </c>
      <c r="C31" s="957" t="s">
        <v>90</v>
      </c>
      <c r="D31" s="146">
        <v>30</v>
      </c>
      <c r="E31" s="144">
        <v>136.4667</v>
      </c>
      <c r="F31" s="143">
        <v>4094</v>
      </c>
    </row>
    <row r="32" spans="1:6" ht="9.75" customHeight="1" x14ac:dyDescent="0.2">
      <c r="A32" s="957" t="s">
        <v>769</v>
      </c>
      <c r="B32" s="957" t="s">
        <v>2203</v>
      </c>
      <c r="C32" s="957" t="s">
        <v>90</v>
      </c>
      <c r="D32" s="139">
        <v>9</v>
      </c>
      <c r="E32" s="144">
        <v>206.74549999999999</v>
      </c>
      <c r="F32" s="143">
        <v>1860.71</v>
      </c>
    </row>
    <row r="33" spans="1:6" ht="9.75" customHeight="1" x14ac:dyDescent="0.2">
      <c r="A33" s="957" t="s">
        <v>770</v>
      </c>
      <c r="B33" s="957" t="s">
        <v>2204</v>
      </c>
      <c r="C33" s="957" t="s">
        <v>90</v>
      </c>
      <c r="D33" s="139">
        <v>9</v>
      </c>
      <c r="E33" s="144">
        <v>155.6473</v>
      </c>
      <c r="F33" s="143">
        <v>1400.83</v>
      </c>
    </row>
    <row r="34" spans="1:6" ht="9.75" customHeight="1" x14ac:dyDescent="0.2">
      <c r="A34" s="957" t="s">
        <v>1384</v>
      </c>
      <c r="B34" s="957" t="s">
        <v>2205</v>
      </c>
      <c r="C34" s="957" t="s">
        <v>90</v>
      </c>
      <c r="D34" s="146">
        <v>18</v>
      </c>
      <c r="E34" s="146">
        <v>70.384399999999999</v>
      </c>
      <c r="F34" s="143">
        <v>1266.92</v>
      </c>
    </row>
    <row r="35" spans="1:6" ht="9.75" customHeight="1" x14ac:dyDescent="0.2">
      <c r="A35" s="957" t="s">
        <v>1386</v>
      </c>
      <c r="B35" s="957" t="s">
        <v>2206</v>
      </c>
      <c r="C35" s="957" t="s">
        <v>90</v>
      </c>
      <c r="D35" s="146">
        <v>15</v>
      </c>
      <c r="E35" s="144">
        <v>157.62729999999999</v>
      </c>
      <c r="F35" s="143">
        <v>2364.41</v>
      </c>
    </row>
    <row r="36" spans="1:6" ht="9.75" customHeight="1" x14ac:dyDescent="0.2">
      <c r="A36" s="957" t="s">
        <v>1387</v>
      </c>
      <c r="B36" s="957" t="s">
        <v>2207</v>
      </c>
      <c r="C36" s="957" t="s">
        <v>90</v>
      </c>
      <c r="D36" s="139">
        <v>6</v>
      </c>
      <c r="E36" s="146">
        <v>83.174700000000001</v>
      </c>
      <c r="F36" s="145">
        <v>499.05</v>
      </c>
    </row>
    <row r="37" spans="1:6" ht="9.75" customHeight="1" x14ac:dyDescent="0.2">
      <c r="A37" s="957" t="s">
        <v>1388</v>
      </c>
      <c r="B37" s="957" t="s">
        <v>424</v>
      </c>
      <c r="C37" s="957" t="s">
        <v>7</v>
      </c>
      <c r="D37" s="139">
        <v>1</v>
      </c>
      <c r="E37" s="142">
        <v>2158.94</v>
      </c>
      <c r="F37" s="143">
        <v>2158.94</v>
      </c>
    </row>
    <row r="38" spans="1:6" ht="9.75" customHeight="1" x14ac:dyDescent="0.2">
      <c r="A38" s="137" t="s">
        <v>598</v>
      </c>
      <c r="B38" s="137" t="s">
        <v>117</v>
      </c>
      <c r="C38" s="137"/>
      <c r="D38" s="138"/>
      <c r="E38" s="138"/>
      <c r="F38" s="681">
        <v>11130.25</v>
      </c>
    </row>
    <row r="39" spans="1:6" ht="9.75" customHeight="1" x14ac:dyDescent="0.2">
      <c r="A39" s="957" t="s">
        <v>600</v>
      </c>
      <c r="B39" s="957" t="s">
        <v>430</v>
      </c>
      <c r="C39" s="957" t="s">
        <v>7</v>
      </c>
      <c r="D39" s="139">
        <v>1</v>
      </c>
      <c r="E39" s="144">
        <v>800</v>
      </c>
      <c r="F39" s="145">
        <v>800</v>
      </c>
    </row>
    <row r="40" spans="1:6" ht="9.75" customHeight="1" x14ac:dyDescent="0.2">
      <c r="A40" s="957" t="s">
        <v>601</v>
      </c>
      <c r="B40" s="957" t="s">
        <v>449</v>
      </c>
      <c r="C40" s="957" t="s">
        <v>7</v>
      </c>
      <c r="D40" s="139">
        <v>1</v>
      </c>
      <c r="E40" s="142">
        <v>3039.1</v>
      </c>
      <c r="F40" s="143">
        <v>3039.1</v>
      </c>
    </row>
    <row r="41" spans="1:6" ht="9.75" customHeight="1" x14ac:dyDescent="0.2">
      <c r="A41" s="957" t="s">
        <v>602</v>
      </c>
      <c r="B41" s="957" t="s">
        <v>2040</v>
      </c>
      <c r="C41" s="957" t="s">
        <v>90</v>
      </c>
      <c r="D41" s="146">
        <v>60</v>
      </c>
      <c r="E41" s="146">
        <v>75.224699999999999</v>
      </c>
      <c r="F41" s="143">
        <v>4513.49</v>
      </c>
    </row>
    <row r="42" spans="1:6" ht="9.75" customHeight="1" x14ac:dyDescent="0.2">
      <c r="A42" s="957" t="s">
        <v>603</v>
      </c>
      <c r="B42" s="957" t="s">
        <v>451</v>
      </c>
      <c r="C42" s="957" t="s">
        <v>90</v>
      </c>
      <c r="D42" s="144">
        <v>816</v>
      </c>
      <c r="E42" s="139">
        <v>3.4039999999999999</v>
      </c>
      <c r="F42" s="143">
        <v>2777.66</v>
      </c>
    </row>
    <row r="43" spans="1:6" ht="9.75" customHeight="1" x14ac:dyDescent="0.2">
      <c r="A43" s="137" t="s">
        <v>91</v>
      </c>
      <c r="B43" s="137" t="s">
        <v>604</v>
      </c>
      <c r="C43" s="137"/>
      <c r="D43" s="138"/>
      <c r="E43" s="138"/>
      <c r="F43" s="681">
        <v>39800</v>
      </c>
    </row>
    <row r="44" spans="1:6" ht="9.75" customHeight="1" x14ac:dyDescent="0.2">
      <c r="A44" s="957" t="s">
        <v>92</v>
      </c>
      <c r="B44" s="957" t="s">
        <v>2041</v>
      </c>
      <c r="C44" s="957" t="s">
        <v>7</v>
      </c>
      <c r="D44" s="139">
        <v>1</v>
      </c>
      <c r="E44" s="140">
        <v>24000</v>
      </c>
      <c r="F44" s="141">
        <v>24000</v>
      </c>
    </row>
    <row r="45" spans="1:6" ht="9.75" customHeight="1" x14ac:dyDescent="0.2">
      <c r="A45" s="957" t="s">
        <v>93</v>
      </c>
      <c r="B45" s="957" t="s">
        <v>1601</v>
      </c>
      <c r="C45" s="957" t="s">
        <v>7</v>
      </c>
      <c r="D45" s="139">
        <v>1</v>
      </c>
      <c r="E45" s="140">
        <v>15800</v>
      </c>
      <c r="F45" s="141">
        <v>15800</v>
      </c>
    </row>
    <row r="46" spans="1:6" ht="9.75" customHeight="1" x14ac:dyDescent="0.2">
      <c r="A46" s="137" t="s">
        <v>95</v>
      </c>
      <c r="B46" s="137" t="s">
        <v>605</v>
      </c>
      <c r="C46" s="137"/>
      <c r="D46" s="138"/>
      <c r="E46" s="138"/>
      <c r="F46" s="680">
        <v>570487.78</v>
      </c>
    </row>
    <row r="47" spans="1:6" ht="9.75" customHeight="1" x14ac:dyDescent="0.2">
      <c r="A47" s="137" t="s">
        <v>96</v>
      </c>
      <c r="B47" s="137" t="s">
        <v>606</v>
      </c>
      <c r="C47" s="137"/>
      <c r="D47" s="138"/>
      <c r="E47" s="138"/>
      <c r="F47" s="680">
        <v>121331.5</v>
      </c>
    </row>
    <row r="48" spans="1:6" ht="9.75" customHeight="1" x14ac:dyDescent="0.2">
      <c r="A48" s="957" t="s">
        <v>97</v>
      </c>
      <c r="B48" s="957" t="s">
        <v>2208</v>
      </c>
      <c r="C48" s="957" t="s">
        <v>94</v>
      </c>
      <c r="D48" s="144">
        <v>161.13999999999999</v>
      </c>
      <c r="E48" s="146">
        <v>80</v>
      </c>
      <c r="F48" s="141">
        <v>12891.2</v>
      </c>
    </row>
    <row r="49" spans="1:6" ht="9.75" customHeight="1" x14ac:dyDescent="0.2">
      <c r="A49" s="957" t="s">
        <v>98</v>
      </c>
      <c r="B49" s="957" t="s">
        <v>2209</v>
      </c>
      <c r="C49" s="957" t="s">
        <v>90</v>
      </c>
      <c r="D49" s="144">
        <v>103.39</v>
      </c>
      <c r="E49" s="146">
        <v>19.342300000000002</v>
      </c>
      <c r="F49" s="143">
        <v>1999.8</v>
      </c>
    </row>
    <row r="50" spans="1:6" ht="9.75" customHeight="1" x14ac:dyDescent="0.2">
      <c r="A50" s="957" t="s">
        <v>99</v>
      </c>
      <c r="B50" s="957" t="s">
        <v>2210</v>
      </c>
      <c r="C50" s="957" t="s">
        <v>94</v>
      </c>
      <c r="D50" s="139">
        <v>7.2</v>
      </c>
      <c r="E50" s="144">
        <v>296.41149999999999</v>
      </c>
      <c r="F50" s="143">
        <v>2134.17</v>
      </c>
    </row>
    <row r="51" spans="1:6" ht="9.75" customHeight="1" x14ac:dyDescent="0.2">
      <c r="A51" s="957" t="s">
        <v>100</v>
      </c>
      <c r="B51" s="957" t="s">
        <v>2211</v>
      </c>
      <c r="C51" s="957" t="s">
        <v>90</v>
      </c>
      <c r="D51" s="144">
        <v>433.37</v>
      </c>
      <c r="E51" s="146">
        <v>60.5</v>
      </c>
      <c r="F51" s="141">
        <v>26218.89</v>
      </c>
    </row>
    <row r="52" spans="1:6" ht="9.75" customHeight="1" x14ac:dyDescent="0.2">
      <c r="A52" s="957" t="s">
        <v>102</v>
      </c>
      <c r="B52" s="957" t="s">
        <v>2212</v>
      </c>
      <c r="C52" s="957" t="s">
        <v>101</v>
      </c>
      <c r="D52" s="142">
        <v>6933.09</v>
      </c>
      <c r="E52" s="139">
        <v>6.0964</v>
      </c>
      <c r="F52" s="141">
        <v>42266.89</v>
      </c>
    </row>
    <row r="53" spans="1:6" ht="9.75" customHeight="1" x14ac:dyDescent="0.2">
      <c r="A53" s="957" t="s">
        <v>607</v>
      </c>
      <c r="B53" s="957" t="s">
        <v>2213</v>
      </c>
      <c r="C53" s="957" t="s">
        <v>94</v>
      </c>
      <c r="D53" s="146">
        <v>90.69</v>
      </c>
      <c r="E53" s="144">
        <v>289.86669999999998</v>
      </c>
      <c r="F53" s="141">
        <v>26288.01</v>
      </c>
    </row>
    <row r="54" spans="1:6" ht="9.75" customHeight="1" x14ac:dyDescent="0.2">
      <c r="A54" s="957" t="s">
        <v>2214</v>
      </c>
      <c r="B54" s="957" t="s">
        <v>2215</v>
      </c>
      <c r="C54" s="957" t="s">
        <v>94</v>
      </c>
      <c r="D54" s="146">
        <v>85.99</v>
      </c>
      <c r="E54" s="146">
        <v>12.515599999999999</v>
      </c>
      <c r="F54" s="143">
        <v>1076.22</v>
      </c>
    </row>
    <row r="55" spans="1:6" ht="9.75" customHeight="1" x14ac:dyDescent="0.2">
      <c r="A55" s="957" t="s">
        <v>2216</v>
      </c>
      <c r="B55" s="957" t="s">
        <v>2217</v>
      </c>
      <c r="C55" s="957" t="s">
        <v>94</v>
      </c>
      <c r="D55" s="144">
        <v>123.55</v>
      </c>
      <c r="E55" s="146">
        <v>68.444500000000005</v>
      </c>
      <c r="F55" s="143">
        <v>8456.32</v>
      </c>
    </row>
    <row r="56" spans="1:6" ht="9.75" customHeight="1" x14ac:dyDescent="0.2">
      <c r="A56" s="137" t="s">
        <v>103</v>
      </c>
      <c r="B56" s="137" t="s">
        <v>773</v>
      </c>
      <c r="C56" s="137"/>
      <c r="D56" s="138"/>
      <c r="E56" s="138"/>
      <c r="F56" s="680">
        <v>404143.14</v>
      </c>
    </row>
    <row r="57" spans="1:6" ht="9.75" customHeight="1" x14ac:dyDescent="0.2">
      <c r="A57" s="957" t="s">
        <v>104</v>
      </c>
      <c r="B57" s="957" t="s">
        <v>774</v>
      </c>
      <c r="C57" s="957" t="s">
        <v>94</v>
      </c>
      <c r="D57" s="144">
        <v>251.9</v>
      </c>
      <c r="E57" s="144">
        <v>170</v>
      </c>
      <c r="F57" s="141">
        <v>42823</v>
      </c>
    </row>
    <row r="58" spans="1:6" ht="9.75" customHeight="1" x14ac:dyDescent="0.2">
      <c r="A58" s="957" t="s">
        <v>608</v>
      </c>
      <c r="B58" s="957" t="s">
        <v>775</v>
      </c>
      <c r="C58" s="957" t="s">
        <v>94</v>
      </c>
      <c r="D58" s="144">
        <v>334.38</v>
      </c>
      <c r="E58" s="144">
        <v>200</v>
      </c>
      <c r="F58" s="141">
        <v>66876</v>
      </c>
    </row>
    <row r="59" spans="1:6" ht="9.75" customHeight="1" x14ac:dyDescent="0.2">
      <c r="A59" s="957" t="s">
        <v>609</v>
      </c>
      <c r="B59" s="957" t="s">
        <v>2218</v>
      </c>
      <c r="C59" s="957" t="s">
        <v>94</v>
      </c>
      <c r="D59" s="144">
        <v>586.28</v>
      </c>
      <c r="E59" s="144">
        <v>296.39240000000001</v>
      </c>
      <c r="F59" s="683">
        <v>173768.94</v>
      </c>
    </row>
    <row r="60" spans="1:6" ht="9.75" customHeight="1" x14ac:dyDescent="0.2">
      <c r="A60" s="957" t="s">
        <v>610</v>
      </c>
      <c r="B60" s="957" t="s">
        <v>2219</v>
      </c>
      <c r="C60" s="957" t="s">
        <v>101</v>
      </c>
      <c r="D60" s="140">
        <v>10565.05</v>
      </c>
      <c r="E60" s="139">
        <v>5.8371000000000004</v>
      </c>
      <c r="F60" s="141">
        <v>61669.26</v>
      </c>
    </row>
    <row r="61" spans="1:6" ht="9.75" customHeight="1" x14ac:dyDescent="0.2">
      <c r="A61" s="957" t="s">
        <v>611</v>
      </c>
      <c r="B61" s="957" t="s">
        <v>2042</v>
      </c>
      <c r="C61" s="957" t="s">
        <v>8</v>
      </c>
      <c r="D61" s="146">
        <v>71</v>
      </c>
      <c r="E61" s="146">
        <v>39.822299999999998</v>
      </c>
      <c r="F61" s="143">
        <v>2827.38</v>
      </c>
    </row>
    <row r="62" spans="1:6" ht="9.75" customHeight="1" x14ac:dyDescent="0.2">
      <c r="A62" s="957" t="s">
        <v>612</v>
      </c>
      <c r="B62" s="957" t="s">
        <v>2220</v>
      </c>
      <c r="C62" s="957" t="s">
        <v>94</v>
      </c>
      <c r="D62" s="144">
        <v>820.79</v>
      </c>
      <c r="E62" s="146">
        <v>68.444500000000005</v>
      </c>
      <c r="F62" s="141">
        <v>56178.559999999998</v>
      </c>
    </row>
    <row r="63" spans="1:6" ht="9.75" customHeight="1" x14ac:dyDescent="0.2">
      <c r="A63" s="137" t="s">
        <v>772</v>
      </c>
      <c r="B63" s="137" t="s">
        <v>2221</v>
      </c>
      <c r="C63" s="137"/>
      <c r="D63" s="138"/>
      <c r="E63" s="138"/>
      <c r="F63" s="681">
        <v>45013.14</v>
      </c>
    </row>
    <row r="64" spans="1:6" ht="9.75" customHeight="1" x14ac:dyDescent="0.2">
      <c r="A64" s="137" t="s">
        <v>2222</v>
      </c>
      <c r="B64" s="137" t="s">
        <v>2223</v>
      </c>
      <c r="C64" s="137"/>
      <c r="D64" s="138"/>
      <c r="E64" s="138"/>
      <c r="F64" s="681">
        <v>45013.14</v>
      </c>
    </row>
    <row r="65" spans="1:6" ht="9.75" customHeight="1" x14ac:dyDescent="0.2">
      <c r="A65" s="957" t="s">
        <v>2224</v>
      </c>
      <c r="B65" s="957" t="s">
        <v>776</v>
      </c>
      <c r="C65" s="957" t="s">
        <v>94</v>
      </c>
      <c r="D65" s="146">
        <v>46.83</v>
      </c>
      <c r="E65" s="144">
        <v>170</v>
      </c>
      <c r="F65" s="143">
        <v>7961.1</v>
      </c>
    </row>
    <row r="66" spans="1:6" ht="9.75" customHeight="1" x14ac:dyDescent="0.2">
      <c r="A66" s="957" t="s">
        <v>2225</v>
      </c>
      <c r="B66" s="957" t="s">
        <v>1394</v>
      </c>
      <c r="C66" s="957" t="s">
        <v>90</v>
      </c>
      <c r="D66" s="144">
        <v>246.49</v>
      </c>
      <c r="E66" s="146">
        <v>60.5</v>
      </c>
      <c r="F66" s="141">
        <v>14912.65</v>
      </c>
    </row>
    <row r="67" spans="1:6" ht="9.75" customHeight="1" x14ac:dyDescent="0.2">
      <c r="A67" s="957" t="s">
        <v>2226</v>
      </c>
      <c r="B67" s="957" t="s">
        <v>771</v>
      </c>
      <c r="C67" s="957" t="s">
        <v>101</v>
      </c>
      <c r="D67" s="142">
        <v>1873.32</v>
      </c>
      <c r="E67" s="139">
        <v>5.9490999999999996</v>
      </c>
      <c r="F67" s="141">
        <v>11144.57</v>
      </c>
    </row>
    <row r="68" spans="1:6" ht="9.75" customHeight="1" x14ac:dyDescent="0.2">
      <c r="A68" s="957" t="s">
        <v>2227</v>
      </c>
      <c r="B68" s="957" t="s">
        <v>1389</v>
      </c>
      <c r="C68" s="957" t="s">
        <v>94</v>
      </c>
      <c r="D68" s="146">
        <v>23.41</v>
      </c>
      <c r="E68" s="144">
        <v>277.95400000000001</v>
      </c>
      <c r="F68" s="143">
        <v>6506.91</v>
      </c>
    </row>
    <row r="69" spans="1:6" ht="9.75" customHeight="1" x14ac:dyDescent="0.2">
      <c r="A69" s="957" t="s">
        <v>2228</v>
      </c>
      <c r="B69" s="957" t="s">
        <v>446</v>
      </c>
      <c r="C69" s="957" t="s">
        <v>94</v>
      </c>
      <c r="D69" s="146">
        <v>65.569999999999993</v>
      </c>
      <c r="E69" s="146">
        <v>68.444500000000005</v>
      </c>
      <c r="F69" s="143">
        <v>4487.91</v>
      </c>
    </row>
    <row r="70" spans="1:6" ht="9.75" customHeight="1" x14ac:dyDescent="0.2">
      <c r="A70" s="137" t="s">
        <v>105</v>
      </c>
      <c r="B70" s="137" t="s">
        <v>613</v>
      </c>
      <c r="C70" s="137"/>
      <c r="D70" s="138"/>
      <c r="E70" s="138"/>
      <c r="F70" s="682">
        <v>1069382.3799999999</v>
      </c>
    </row>
    <row r="71" spans="1:6" ht="9.75" customHeight="1" x14ac:dyDescent="0.2">
      <c r="A71" s="957" t="s">
        <v>106</v>
      </c>
      <c r="B71" s="957" t="s">
        <v>460</v>
      </c>
      <c r="C71" s="957" t="s">
        <v>90</v>
      </c>
      <c r="D71" s="142">
        <v>7237.57</v>
      </c>
      <c r="E71" s="146">
        <v>60.5</v>
      </c>
      <c r="F71" s="683">
        <v>437872.99</v>
      </c>
    </row>
    <row r="72" spans="1:6" ht="9.75" customHeight="1" x14ac:dyDescent="0.2">
      <c r="A72" s="957" t="s">
        <v>107</v>
      </c>
      <c r="B72" s="957" t="s">
        <v>771</v>
      </c>
      <c r="C72" s="957" t="s">
        <v>101</v>
      </c>
      <c r="D72" s="140">
        <v>64466.71</v>
      </c>
      <c r="E72" s="139">
        <v>6.0964</v>
      </c>
      <c r="F72" s="683">
        <v>393014.85</v>
      </c>
    </row>
    <row r="73" spans="1:6" ht="9.75" customHeight="1" x14ac:dyDescent="0.2">
      <c r="A73" s="957" t="s">
        <v>614</v>
      </c>
      <c r="B73" s="957" t="s">
        <v>1395</v>
      </c>
      <c r="C73" s="957" t="s">
        <v>94</v>
      </c>
      <c r="D73" s="144">
        <v>805.83</v>
      </c>
      <c r="E73" s="144">
        <v>272.8</v>
      </c>
      <c r="F73" s="683">
        <v>219830.42</v>
      </c>
    </row>
    <row r="74" spans="1:6" ht="9.75" customHeight="1" x14ac:dyDescent="0.2">
      <c r="A74" s="957" t="s">
        <v>615</v>
      </c>
      <c r="B74" s="957" t="s">
        <v>459</v>
      </c>
      <c r="C74" s="957" t="s">
        <v>90</v>
      </c>
      <c r="D74" s="142">
        <v>2934.61</v>
      </c>
      <c r="E74" s="139">
        <v>6.36</v>
      </c>
      <c r="F74" s="141">
        <v>18664.12</v>
      </c>
    </row>
    <row r="75" spans="1:6" ht="9.75" customHeight="1" x14ac:dyDescent="0.2">
      <c r="A75" s="137" t="s">
        <v>108</v>
      </c>
      <c r="B75" s="137" t="s">
        <v>616</v>
      </c>
      <c r="C75" s="137"/>
      <c r="D75" s="138"/>
      <c r="E75" s="138"/>
      <c r="F75" s="680">
        <v>217000.26</v>
      </c>
    </row>
    <row r="76" spans="1:6" ht="9.75" customHeight="1" x14ac:dyDescent="0.2">
      <c r="A76" s="137" t="s">
        <v>617</v>
      </c>
      <c r="B76" s="137" t="s">
        <v>618</v>
      </c>
      <c r="C76" s="137"/>
      <c r="D76" s="138"/>
      <c r="E76" s="138"/>
      <c r="F76" s="680">
        <v>131453.79999999999</v>
      </c>
    </row>
    <row r="77" spans="1:6" ht="9.75" customHeight="1" x14ac:dyDescent="0.2">
      <c r="A77" s="957" t="s">
        <v>619</v>
      </c>
      <c r="B77" s="957" t="s">
        <v>777</v>
      </c>
      <c r="C77" s="957" t="s">
        <v>90</v>
      </c>
      <c r="D77" s="144">
        <v>285.58999999999997</v>
      </c>
      <c r="E77" s="146">
        <v>14.001099999999999</v>
      </c>
      <c r="F77" s="143">
        <v>3998.57</v>
      </c>
    </row>
    <row r="78" spans="1:6" ht="9.75" customHeight="1" x14ac:dyDescent="0.2">
      <c r="A78" s="957" t="s">
        <v>620</v>
      </c>
      <c r="B78" s="957" t="s">
        <v>778</v>
      </c>
      <c r="C78" s="957" t="s">
        <v>90</v>
      </c>
      <c r="D78" s="142">
        <v>2731.92</v>
      </c>
      <c r="E78" s="146">
        <v>21.100100000000001</v>
      </c>
      <c r="F78" s="141">
        <v>57643.79</v>
      </c>
    </row>
    <row r="79" spans="1:6" ht="9.75" customHeight="1" x14ac:dyDescent="0.2">
      <c r="A79" s="957" t="s">
        <v>621</v>
      </c>
      <c r="B79" s="957" t="s">
        <v>779</v>
      </c>
      <c r="C79" s="957" t="s">
        <v>90</v>
      </c>
      <c r="D79" s="144">
        <v>632.16999999999996</v>
      </c>
      <c r="E79" s="146">
        <v>31.061499999999999</v>
      </c>
      <c r="F79" s="141">
        <v>19636.150000000001</v>
      </c>
    </row>
    <row r="80" spans="1:6" ht="9.75" customHeight="1" x14ac:dyDescent="0.2">
      <c r="A80" s="957" t="s">
        <v>622</v>
      </c>
      <c r="B80" s="957" t="s">
        <v>469</v>
      </c>
      <c r="C80" s="957" t="s">
        <v>90</v>
      </c>
      <c r="D80" s="142">
        <v>3991.67</v>
      </c>
      <c r="E80" s="146">
        <v>12.57</v>
      </c>
      <c r="F80" s="141">
        <v>50175.29</v>
      </c>
    </row>
    <row r="81" spans="1:6" ht="9.75" customHeight="1" x14ac:dyDescent="0.2">
      <c r="A81" s="137" t="s">
        <v>623</v>
      </c>
      <c r="B81" s="137" t="s">
        <v>2229</v>
      </c>
      <c r="C81" s="137"/>
      <c r="D81" s="138"/>
      <c r="E81" s="138"/>
      <c r="F81" s="681">
        <v>21354.28</v>
      </c>
    </row>
    <row r="82" spans="1:6" ht="9.75" customHeight="1" x14ac:dyDescent="0.2">
      <c r="A82" s="957" t="s">
        <v>624</v>
      </c>
      <c r="B82" s="957" t="s">
        <v>473</v>
      </c>
      <c r="C82" s="957" t="s">
        <v>90</v>
      </c>
      <c r="D82" s="144">
        <v>188.95</v>
      </c>
      <c r="E82" s="146">
        <v>52.879199999999997</v>
      </c>
      <c r="F82" s="143">
        <v>9991.52</v>
      </c>
    </row>
    <row r="83" spans="1:6" ht="9.75" customHeight="1" x14ac:dyDescent="0.2">
      <c r="A83" s="957" t="s">
        <v>2043</v>
      </c>
      <c r="B83" s="957" t="s">
        <v>2044</v>
      </c>
      <c r="C83" s="957" t="s">
        <v>90</v>
      </c>
      <c r="D83" s="144">
        <v>188.95</v>
      </c>
      <c r="E83" s="146">
        <v>22.8644</v>
      </c>
      <c r="F83" s="143">
        <v>4320.2299999999996</v>
      </c>
    </row>
    <row r="84" spans="1:6" ht="9.75" customHeight="1" x14ac:dyDescent="0.2">
      <c r="A84" s="957" t="s">
        <v>2045</v>
      </c>
      <c r="B84" s="957" t="s">
        <v>2046</v>
      </c>
      <c r="C84" s="957" t="s">
        <v>90</v>
      </c>
      <c r="D84" s="146">
        <v>48.2</v>
      </c>
      <c r="E84" s="146">
        <v>54.453000000000003</v>
      </c>
      <c r="F84" s="143">
        <v>2624.63</v>
      </c>
    </row>
    <row r="85" spans="1:6" ht="9.75" customHeight="1" x14ac:dyDescent="0.2">
      <c r="A85" s="957" t="s">
        <v>2047</v>
      </c>
      <c r="B85" s="957" t="s">
        <v>2048</v>
      </c>
      <c r="C85" s="957" t="s">
        <v>90</v>
      </c>
      <c r="D85" s="146">
        <v>48.2</v>
      </c>
      <c r="E85" s="146">
        <v>91.657600000000002</v>
      </c>
      <c r="F85" s="143">
        <v>4417.8999999999996</v>
      </c>
    </row>
    <row r="86" spans="1:6" ht="9.75" customHeight="1" x14ac:dyDescent="0.2">
      <c r="A86" s="137" t="s">
        <v>625</v>
      </c>
      <c r="B86" s="137" t="s">
        <v>626</v>
      </c>
      <c r="C86" s="137"/>
      <c r="D86" s="138"/>
      <c r="E86" s="138"/>
      <c r="F86" s="681">
        <v>25695.18</v>
      </c>
    </row>
    <row r="87" spans="1:6" ht="9.75" customHeight="1" x14ac:dyDescent="0.2">
      <c r="A87" s="957" t="s">
        <v>627</v>
      </c>
      <c r="B87" s="957" t="s">
        <v>109</v>
      </c>
      <c r="C87" s="957" t="s">
        <v>94</v>
      </c>
      <c r="D87" s="139">
        <v>4.71</v>
      </c>
      <c r="E87" s="142">
        <v>1344</v>
      </c>
      <c r="F87" s="143">
        <v>6330.24</v>
      </c>
    </row>
    <row r="88" spans="1:6" ht="9.75" customHeight="1" x14ac:dyDescent="0.2">
      <c r="A88" s="957" t="s">
        <v>628</v>
      </c>
      <c r="B88" s="957" t="s">
        <v>1397</v>
      </c>
      <c r="C88" s="957" t="s">
        <v>15</v>
      </c>
      <c r="D88" s="142">
        <v>1572.72</v>
      </c>
      <c r="E88" s="139">
        <v>3.93</v>
      </c>
      <c r="F88" s="143">
        <v>6180.79</v>
      </c>
    </row>
    <row r="89" spans="1:6" ht="9.75" customHeight="1" x14ac:dyDescent="0.2">
      <c r="A89" s="957" t="s">
        <v>629</v>
      </c>
      <c r="B89" s="957" t="s">
        <v>471</v>
      </c>
      <c r="C89" s="957" t="s">
        <v>94</v>
      </c>
      <c r="D89" s="146">
        <v>14.24</v>
      </c>
      <c r="E89" s="144">
        <v>925.8528</v>
      </c>
      <c r="F89" s="141">
        <v>13184.15</v>
      </c>
    </row>
    <row r="90" spans="1:6" ht="9.75" customHeight="1" x14ac:dyDescent="0.2">
      <c r="A90" s="137" t="s">
        <v>1398</v>
      </c>
      <c r="B90" s="137" t="s">
        <v>1399</v>
      </c>
      <c r="C90" s="137"/>
      <c r="D90" s="138"/>
      <c r="E90" s="138"/>
      <c r="F90" s="681">
        <v>38497</v>
      </c>
    </row>
    <row r="91" spans="1:6" ht="9.75" customHeight="1" x14ac:dyDescent="0.2">
      <c r="A91" s="957" t="s">
        <v>1400</v>
      </c>
      <c r="B91" s="957" t="s">
        <v>1401</v>
      </c>
      <c r="C91" s="957" t="s">
        <v>8</v>
      </c>
      <c r="D91" s="146">
        <v>10</v>
      </c>
      <c r="E91" s="144">
        <v>140</v>
      </c>
      <c r="F91" s="143">
        <v>1400</v>
      </c>
    </row>
    <row r="92" spans="1:6" ht="9.75" customHeight="1" x14ac:dyDescent="0.2">
      <c r="A92" s="957" t="s">
        <v>1402</v>
      </c>
      <c r="B92" s="957" t="s">
        <v>1403</v>
      </c>
      <c r="C92" s="957" t="s">
        <v>8</v>
      </c>
      <c r="D92" s="146">
        <v>46</v>
      </c>
      <c r="E92" s="144">
        <v>140</v>
      </c>
      <c r="F92" s="143">
        <v>6440</v>
      </c>
    </row>
    <row r="93" spans="1:6" ht="9.75" customHeight="1" x14ac:dyDescent="0.2">
      <c r="A93" s="957" t="s">
        <v>2230</v>
      </c>
      <c r="B93" s="957" t="s">
        <v>2049</v>
      </c>
      <c r="C93" s="957" t="s">
        <v>90</v>
      </c>
      <c r="D93" s="146">
        <v>31.32</v>
      </c>
      <c r="E93" s="144">
        <v>350</v>
      </c>
      <c r="F93" s="141">
        <v>10962</v>
      </c>
    </row>
    <row r="94" spans="1:6" ht="9.75" customHeight="1" x14ac:dyDescent="0.2">
      <c r="A94" s="957" t="s">
        <v>2231</v>
      </c>
      <c r="B94" s="957" t="s">
        <v>2232</v>
      </c>
      <c r="C94" s="957" t="s">
        <v>90</v>
      </c>
      <c r="D94" s="144">
        <v>151.5</v>
      </c>
      <c r="E94" s="144">
        <v>130</v>
      </c>
      <c r="F94" s="141">
        <v>19695</v>
      </c>
    </row>
    <row r="95" spans="1:6" ht="9.75" customHeight="1" x14ac:dyDescent="0.2">
      <c r="A95" s="137" t="s">
        <v>110</v>
      </c>
      <c r="B95" s="137" t="s">
        <v>630</v>
      </c>
      <c r="C95" s="137"/>
      <c r="D95" s="138"/>
      <c r="E95" s="138"/>
      <c r="F95" s="681">
        <v>82737.070000000007</v>
      </c>
    </row>
    <row r="96" spans="1:6" ht="9.75" customHeight="1" x14ac:dyDescent="0.2">
      <c r="A96" s="957" t="s">
        <v>631</v>
      </c>
      <c r="B96" s="957" t="s">
        <v>483</v>
      </c>
      <c r="C96" s="957" t="s">
        <v>90</v>
      </c>
      <c r="D96" s="144">
        <v>785.39</v>
      </c>
      <c r="E96" s="146">
        <v>68.696700000000007</v>
      </c>
      <c r="F96" s="141">
        <v>53953.7</v>
      </c>
    </row>
    <row r="97" spans="1:6" ht="9.75" customHeight="1" x14ac:dyDescent="0.2">
      <c r="A97" s="957" t="s">
        <v>632</v>
      </c>
      <c r="B97" s="957" t="s">
        <v>486</v>
      </c>
      <c r="C97" s="957" t="s">
        <v>90</v>
      </c>
      <c r="D97" s="144">
        <v>559.57000000000005</v>
      </c>
      <c r="E97" s="139">
        <v>8</v>
      </c>
      <c r="F97" s="143">
        <v>4476.5600000000004</v>
      </c>
    </row>
    <row r="98" spans="1:6" ht="9.75" customHeight="1" x14ac:dyDescent="0.2">
      <c r="A98" s="957" t="s">
        <v>633</v>
      </c>
      <c r="B98" s="957" t="s">
        <v>1406</v>
      </c>
      <c r="C98" s="957" t="s">
        <v>90</v>
      </c>
      <c r="D98" s="146">
        <v>70.38</v>
      </c>
      <c r="E98" s="146">
        <v>32.515900000000002</v>
      </c>
      <c r="F98" s="143">
        <v>2288.46</v>
      </c>
    </row>
    <row r="99" spans="1:6" ht="9.75" customHeight="1" x14ac:dyDescent="0.2">
      <c r="A99" s="957" t="s">
        <v>634</v>
      </c>
      <c r="B99" s="957" t="s">
        <v>111</v>
      </c>
      <c r="C99" s="957" t="s">
        <v>90</v>
      </c>
      <c r="D99" s="146">
        <v>27.56</v>
      </c>
      <c r="E99" s="146">
        <v>12.29</v>
      </c>
      <c r="F99" s="145">
        <v>338.71</v>
      </c>
    </row>
    <row r="100" spans="1:6" ht="9.75" customHeight="1" x14ac:dyDescent="0.2">
      <c r="A100" s="957" t="s">
        <v>635</v>
      </c>
      <c r="B100" s="957" t="s">
        <v>484</v>
      </c>
      <c r="C100" s="957" t="s">
        <v>90</v>
      </c>
      <c r="D100" s="144">
        <v>214.68</v>
      </c>
      <c r="E100" s="146">
        <v>81.255899999999997</v>
      </c>
      <c r="F100" s="141">
        <v>17444.009999999998</v>
      </c>
    </row>
    <row r="101" spans="1:6" ht="9.75" customHeight="1" x14ac:dyDescent="0.2">
      <c r="A101" s="957" t="s">
        <v>1407</v>
      </c>
      <c r="B101" s="957" t="s">
        <v>1408</v>
      </c>
      <c r="C101" s="957" t="s">
        <v>90</v>
      </c>
      <c r="D101" s="146">
        <v>59.04</v>
      </c>
      <c r="E101" s="146">
        <v>71.741699999999994</v>
      </c>
      <c r="F101" s="143">
        <v>4235.63</v>
      </c>
    </row>
    <row r="102" spans="1:6" ht="9.75" customHeight="1" x14ac:dyDescent="0.2">
      <c r="A102" s="137" t="s">
        <v>112</v>
      </c>
      <c r="B102" s="137" t="s">
        <v>636</v>
      </c>
      <c r="C102" s="137"/>
      <c r="D102" s="138"/>
      <c r="E102" s="138"/>
      <c r="F102" s="680">
        <v>344752.42</v>
      </c>
    </row>
    <row r="103" spans="1:6" ht="9.75" customHeight="1" x14ac:dyDescent="0.2">
      <c r="A103" s="137" t="s">
        <v>113</v>
      </c>
      <c r="B103" s="137" t="s">
        <v>2050</v>
      </c>
      <c r="C103" s="137"/>
      <c r="D103" s="138"/>
      <c r="E103" s="138"/>
      <c r="F103" s="681">
        <v>66056.83</v>
      </c>
    </row>
    <row r="104" spans="1:6" ht="9.75" customHeight="1" x14ac:dyDescent="0.2">
      <c r="A104" s="957" t="s">
        <v>2051</v>
      </c>
      <c r="B104" s="957" t="s">
        <v>464</v>
      </c>
      <c r="C104" s="957" t="s">
        <v>90</v>
      </c>
      <c r="D104" s="144">
        <v>177.65</v>
      </c>
      <c r="E104" s="139">
        <v>6.8266999999999998</v>
      </c>
      <c r="F104" s="143">
        <v>1212.76</v>
      </c>
    </row>
    <row r="105" spans="1:6" ht="9.75" customHeight="1" x14ac:dyDescent="0.2">
      <c r="A105" s="957" t="s">
        <v>2052</v>
      </c>
      <c r="B105" s="957" t="s">
        <v>114</v>
      </c>
      <c r="C105" s="957" t="s">
        <v>90</v>
      </c>
      <c r="D105" s="144">
        <v>124.03</v>
      </c>
      <c r="E105" s="139">
        <v>5.8312999999999997</v>
      </c>
      <c r="F105" s="145">
        <v>723.25</v>
      </c>
    </row>
    <row r="106" spans="1:6" ht="9.75" customHeight="1" x14ac:dyDescent="0.2">
      <c r="A106" s="957" t="s">
        <v>2053</v>
      </c>
      <c r="B106" s="957" t="s">
        <v>2233</v>
      </c>
      <c r="C106" s="957" t="s">
        <v>90</v>
      </c>
      <c r="D106" s="144">
        <v>169.73</v>
      </c>
      <c r="E106" s="146">
        <v>21.388300000000001</v>
      </c>
      <c r="F106" s="143">
        <v>3630.23</v>
      </c>
    </row>
    <row r="107" spans="1:6" ht="9.75" customHeight="1" x14ac:dyDescent="0.2">
      <c r="A107" s="957" t="s">
        <v>2054</v>
      </c>
      <c r="B107" s="957" t="s">
        <v>2234</v>
      </c>
      <c r="C107" s="957" t="s">
        <v>90</v>
      </c>
      <c r="D107" s="142">
        <v>1902.37</v>
      </c>
      <c r="E107" s="146">
        <v>22.600899999999999</v>
      </c>
      <c r="F107" s="141">
        <v>42995.28</v>
      </c>
    </row>
    <row r="108" spans="1:6" ht="9.75" customHeight="1" x14ac:dyDescent="0.2">
      <c r="A108" s="957" t="s">
        <v>2055</v>
      </c>
      <c r="B108" s="957" t="s">
        <v>2235</v>
      </c>
      <c r="C108" s="957" t="s">
        <v>90</v>
      </c>
      <c r="D108" s="144">
        <v>182.48</v>
      </c>
      <c r="E108" s="146">
        <v>26.500900000000001</v>
      </c>
      <c r="F108" s="143">
        <v>4835.88</v>
      </c>
    </row>
    <row r="109" spans="1:6" ht="9.75" customHeight="1" x14ac:dyDescent="0.2">
      <c r="A109" s="957" t="s">
        <v>2056</v>
      </c>
      <c r="B109" s="957" t="s">
        <v>1412</v>
      </c>
      <c r="C109" s="957" t="s">
        <v>90</v>
      </c>
      <c r="D109" s="146">
        <v>26.04</v>
      </c>
      <c r="E109" s="146">
        <v>78.67</v>
      </c>
      <c r="F109" s="143">
        <v>2048.56</v>
      </c>
    </row>
    <row r="110" spans="1:6" ht="9.75" customHeight="1" x14ac:dyDescent="0.2">
      <c r="A110" s="957" t="s">
        <v>2057</v>
      </c>
      <c r="B110" s="957" t="s">
        <v>2058</v>
      </c>
      <c r="C110" s="957" t="s">
        <v>90</v>
      </c>
      <c r="D110" s="144">
        <v>132.28</v>
      </c>
      <c r="E110" s="146">
        <v>20.137</v>
      </c>
      <c r="F110" s="143">
        <v>2663.72</v>
      </c>
    </row>
    <row r="111" spans="1:6" ht="9.75" customHeight="1" x14ac:dyDescent="0.2">
      <c r="A111" s="957" t="s">
        <v>2059</v>
      </c>
      <c r="B111" s="957" t="s">
        <v>475</v>
      </c>
      <c r="C111" s="957" t="s">
        <v>90</v>
      </c>
      <c r="D111" s="144">
        <v>768.87</v>
      </c>
      <c r="E111" s="139">
        <v>7.35</v>
      </c>
      <c r="F111" s="143">
        <v>5651.19</v>
      </c>
    </row>
    <row r="112" spans="1:6" ht="9.75" customHeight="1" x14ac:dyDescent="0.2">
      <c r="A112" s="957" t="s">
        <v>2060</v>
      </c>
      <c r="B112" s="957" t="s">
        <v>2061</v>
      </c>
      <c r="C112" s="957" t="s">
        <v>90</v>
      </c>
      <c r="D112" s="146">
        <v>53</v>
      </c>
      <c r="E112" s="146">
        <v>43.32</v>
      </c>
      <c r="F112" s="143">
        <v>2295.96</v>
      </c>
    </row>
    <row r="113" spans="1:6" ht="9.75" customHeight="1" x14ac:dyDescent="0.2">
      <c r="A113" s="137" t="s">
        <v>118</v>
      </c>
      <c r="B113" s="137" t="s">
        <v>2062</v>
      </c>
      <c r="C113" s="137"/>
      <c r="D113" s="138"/>
      <c r="E113" s="138"/>
      <c r="F113" s="685">
        <v>1518.28</v>
      </c>
    </row>
    <row r="114" spans="1:6" ht="9.75" customHeight="1" x14ac:dyDescent="0.2">
      <c r="A114" s="957" t="s">
        <v>119</v>
      </c>
      <c r="B114" s="957" t="s">
        <v>2236</v>
      </c>
      <c r="C114" s="957" t="s">
        <v>90</v>
      </c>
      <c r="D114" s="146">
        <v>23.17</v>
      </c>
      <c r="E114" s="146">
        <v>32.802</v>
      </c>
      <c r="F114" s="145">
        <v>760.02</v>
      </c>
    </row>
    <row r="115" spans="1:6" ht="9.75" customHeight="1" x14ac:dyDescent="0.2">
      <c r="A115" s="957" t="s">
        <v>120</v>
      </c>
      <c r="B115" s="957" t="s">
        <v>2063</v>
      </c>
      <c r="C115" s="957" t="s">
        <v>90</v>
      </c>
      <c r="D115" s="146">
        <v>23.17</v>
      </c>
      <c r="E115" s="146">
        <v>26.21</v>
      </c>
      <c r="F115" s="145">
        <v>607.29</v>
      </c>
    </row>
    <row r="116" spans="1:6" ht="9.75" customHeight="1" x14ac:dyDescent="0.2">
      <c r="A116" s="137" t="s">
        <v>2064</v>
      </c>
      <c r="B116" s="137" t="s">
        <v>2067</v>
      </c>
      <c r="C116" s="137"/>
      <c r="D116" s="138"/>
      <c r="E116" s="138"/>
      <c r="F116" s="684">
        <v>150.97</v>
      </c>
    </row>
    <row r="117" spans="1:6" ht="9.75" customHeight="1" x14ac:dyDescent="0.2">
      <c r="A117" s="957" t="s">
        <v>2065</v>
      </c>
      <c r="B117" s="957" t="s">
        <v>2237</v>
      </c>
      <c r="C117" s="957" t="s">
        <v>90</v>
      </c>
      <c r="D117" s="146">
        <v>23.17</v>
      </c>
      <c r="E117" s="139">
        <v>1.3160000000000001</v>
      </c>
      <c r="F117" s="147">
        <v>30.49</v>
      </c>
    </row>
    <row r="118" spans="1:6" ht="9.75" customHeight="1" x14ac:dyDescent="0.2">
      <c r="A118" s="957" t="s">
        <v>2066</v>
      </c>
      <c r="B118" s="957" t="s">
        <v>2238</v>
      </c>
      <c r="C118" s="957" t="s">
        <v>90</v>
      </c>
      <c r="D118" s="146">
        <v>23.17</v>
      </c>
      <c r="E118" s="139">
        <v>5.2</v>
      </c>
      <c r="F118" s="145">
        <v>120.48</v>
      </c>
    </row>
    <row r="119" spans="1:6" ht="9.75" customHeight="1" x14ac:dyDescent="0.2">
      <c r="A119" s="137" t="s">
        <v>121</v>
      </c>
      <c r="B119" s="137" t="s">
        <v>115</v>
      </c>
      <c r="C119" s="137"/>
      <c r="D119" s="138"/>
      <c r="E119" s="138"/>
      <c r="F119" s="680">
        <v>146901.59</v>
      </c>
    </row>
    <row r="120" spans="1:6" ht="9.75" customHeight="1" x14ac:dyDescent="0.2">
      <c r="A120" s="137" t="s">
        <v>2068</v>
      </c>
      <c r="B120" s="137" t="s">
        <v>1415</v>
      </c>
      <c r="C120" s="137"/>
      <c r="D120" s="138"/>
      <c r="E120" s="138"/>
      <c r="F120" s="680">
        <v>127583.35</v>
      </c>
    </row>
    <row r="121" spans="1:6" ht="19.350000000000001" customHeight="1" x14ac:dyDescent="0.2">
      <c r="A121" s="957" t="s">
        <v>2069</v>
      </c>
      <c r="B121" s="957" t="s">
        <v>2239</v>
      </c>
      <c r="C121" s="957" t="s">
        <v>90</v>
      </c>
      <c r="D121" s="144">
        <v>712.77</v>
      </c>
      <c r="E121" s="146">
        <v>55.528500000000001</v>
      </c>
      <c r="F121" s="141">
        <v>39579.050000000003</v>
      </c>
    </row>
    <row r="122" spans="1:6" ht="19.350000000000001" customHeight="1" x14ac:dyDescent="0.2">
      <c r="A122" s="957" t="s">
        <v>2070</v>
      </c>
      <c r="B122" s="957" t="s">
        <v>2240</v>
      </c>
      <c r="C122" s="957" t="s">
        <v>90</v>
      </c>
      <c r="D122" s="144">
        <v>263.70999999999998</v>
      </c>
      <c r="E122" s="146">
        <v>35.619999999999997</v>
      </c>
      <c r="F122" s="143">
        <v>9393.35</v>
      </c>
    </row>
    <row r="123" spans="1:6" ht="19.350000000000001" customHeight="1" x14ac:dyDescent="0.2">
      <c r="A123" s="957" t="s">
        <v>2071</v>
      </c>
      <c r="B123" s="957" t="s">
        <v>2241</v>
      </c>
      <c r="C123" s="957" t="s">
        <v>90</v>
      </c>
      <c r="D123" s="144">
        <v>433.79</v>
      </c>
      <c r="E123" s="146">
        <v>77.052999999999997</v>
      </c>
      <c r="F123" s="141">
        <v>33424.82</v>
      </c>
    </row>
    <row r="124" spans="1:6" ht="9.75" customHeight="1" x14ac:dyDescent="0.2">
      <c r="A124" s="957" t="s">
        <v>2072</v>
      </c>
      <c r="B124" s="957" t="s">
        <v>1425</v>
      </c>
      <c r="C124" s="957" t="s">
        <v>90</v>
      </c>
      <c r="D124" s="142">
        <v>1410.27</v>
      </c>
      <c r="E124" s="146">
        <v>26.21</v>
      </c>
      <c r="F124" s="141">
        <v>36963.18</v>
      </c>
    </row>
    <row r="125" spans="1:6" ht="19.350000000000001" customHeight="1" x14ac:dyDescent="0.2">
      <c r="A125" s="957" t="s">
        <v>2073</v>
      </c>
      <c r="B125" s="957" t="s">
        <v>2096</v>
      </c>
      <c r="C125" s="957" t="s">
        <v>90</v>
      </c>
      <c r="D125" s="146">
        <v>29.08</v>
      </c>
      <c r="E125" s="144">
        <v>249.77</v>
      </c>
      <c r="F125" s="143">
        <v>7263.31</v>
      </c>
    </row>
    <row r="126" spans="1:6" ht="9.75" customHeight="1" x14ac:dyDescent="0.2">
      <c r="A126" s="957" t="s">
        <v>2074</v>
      </c>
      <c r="B126" s="957" t="s">
        <v>2242</v>
      </c>
      <c r="C126" s="957" t="s">
        <v>90</v>
      </c>
      <c r="D126" s="146">
        <v>29.08</v>
      </c>
      <c r="E126" s="146">
        <v>33</v>
      </c>
      <c r="F126" s="145">
        <v>959.64</v>
      </c>
    </row>
    <row r="127" spans="1:6" ht="9.75" customHeight="1" x14ac:dyDescent="0.2">
      <c r="A127" s="137" t="s">
        <v>2075</v>
      </c>
      <c r="B127" s="137" t="s">
        <v>1427</v>
      </c>
      <c r="C127" s="137"/>
      <c r="D127" s="138"/>
      <c r="E127" s="138"/>
      <c r="F127" s="681">
        <v>11687.88</v>
      </c>
    </row>
    <row r="128" spans="1:6" ht="19.350000000000001" customHeight="1" x14ac:dyDescent="0.2">
      <c r="A128" s="957" t="s">
        <v>2076</v>
      </c>
      <c r="B128" s="957" t="s">
        <v>2243</v>
      </c>
      <c r="C128" s="957" t="s">
        <v>15</v>
      </c>
      <c r="D128" s="144">
        <v>233.77</v>
      </c>
      <c r="E128" s="139">
        <v>6.1220999999999997</v>
      </c>
      <c r="F128" s="143">
        <v>1431.16</v>
      </c>
    </row>
    <row r="129" spans="1:6" ht="19.350000000000001" customHeight="1" x14ac:dyDescent="0.2">
      <c r="A129" s="957" t="s">
        <v>2077</v>
      </c>
      <c r="B129" s="957" t="s">
        <v>2244</v>
      </c>
      <c r="C129" s="957" t="s">
        <v>15</v>
      </c>
      <c r="D129" s="144">
        <v>179.68</v>
      </c>
      <c r="E129" s="139">
        <v>4.1563999999999997</v>
      </c>
      <c r="F129" s="145">
        <v>746.82</v>
      </c>
    </row>
    <row r="130" spans="1:6" ht="19.350000000000001" customHeight="1" x14ac:dyDescent="0.2">
      <c r="A130" s="957" t="s">
        <v>2078</v>
      </c>
      <c r="B130" s="957" t="s">
        <v>2245</v>
      </c>
      <c r="C130" s="957" t="s">
        <v>15</v>
      </c>
      <c r="D130" s="144">
        <v>193.4</v>
      </c>
      <c r="E130" s="139">
        <v>8.0670000000000002</v>
      </c>
      <c r="F130" s="143">
        <v>1560.16</v>
      </c>
    </row>
    <row r="131" spans="1:6" ht="9.75" customHeight="1" x14ac:dyDescent="0.2">
      <c r="A131" s="957" t="s">
        <v>2079</v>
      </c>
      <c r="B131" s="957" t="s">
        <v>1431</v>
      </c>
      <c r="C131" s="957" t="s">
        <v>15</v>
      </c>
      <c r="D131" s="144">
        <v>606.85</v>
      </c>
      <c r="E131" s="146">
        <v>13.1</v>
      </c>
      <c r="F131" s="143">
        <v>7949.74</v>
      </c>
    </row>
    <row r="132" spans="1:6" ht="9.75" customHeight="1" x14ac:dyDescent="0.2">
      <c r="A132" s="137" t="s">
        <v>2080</v>
      </c>
      <c r="B132" s="137" t="s">
        <v>1433</v>
      </c>
      <c r="C132" s="137"/>
      <c r="D132" s="138"/>
      <c r="E132" s="138"/>
      <c r="F132" s="685">
        <v>7630.36</v>
      </c>
    </row>
    <row r="133" spans="1:6" ht="9.75" customHeight="1" x14ac:dyDescent="0.2">
      <c r="A133" s="957" t="s">
        <v>2081</v>
      </c>
      <c r="B133" s="957" t="s">
        <v>2085</v>
      </c>
      <c r="C133" s="957" t="s">
        <v>90</v>
      </c>
      <c r="D133" s="144">
        <v>712.77</v>
      </c>
      <c r="E133" s="139">
        <v>7.9899999999999999E-2</v>
      </c>
      <c r="F133" s="147">
        <v>56.95</v>
      </c>
    </row>
    <row r="134" spans="1:6" ht="9.75" customHeight="1" x14ac:dyDescent="0.2">
      <c r="A134" s="957" t="s">
        <v>2083</v>
      </c>
      <c r="B134" s="957" t="s">
        <v>1960</v>
      </c>
      <c r="C134" s="957" t="s">
        <v>90</v>
      </c>
      <c r="D134" s="144">
        <v>697.5</v>
      </c>
      <c r="E134" s="139">
        <v>0.11749999999999999</v>
      </c>
      <c r="F134" s="147">
        <v>81.96</v>
      </c>
    </row>
    <row r="135" spans="1:6" ht="9.75" customHeight="1" x14ac:dyDescent="0.2">
      <c r="A135" s="957" t="s">
        <v>2084</v>
      </c>
      <c r="B135" s="957" t="s">
        <v>2082</v>
      </c>
      <c r="C135" s="957" t="s">
        <v>90</v>
      </c>
      <c r="D135" s="146">
        <v>29.08</v>
      </c>
      <c r="E135" s="139">
        <v>0.23499999999999999</v>
      </c>
      <c r="F135" s="148">
        <v>6.83</v>
      </c>
    </row>
    <row r="136" spans="1:6" ht="9.75" customHeight="1" x14ac:dyDescent="0.2">
      <c r="A136" s="957" t="s">
        <v>2086</v>
      </c>
      <c r="B136" s="957" t="s">
        <v>2246</v>
      </c>
      <c r="C136" s="957" t="s">
        <v>90</v>
      </c>
      <c r="D136" s="142">
        <v>1439.35</v>
      </c>
      <c r="E136" s="139">
        <v>5.2</v>
      </c>
      <c r="F136" s="143">
        <v>7484.62</v>
      </c>
    </row>
    <row r="137" spans="1:6" ht="9.75" customHeight="1" x14ac:dyDescent="0.2">
      <c r="A137" s="137" t="s">
        <v>637</v>
      </c>
      <c r="B137" s="137" t="s">
        <v>639</v>
      </c>
      <c r="C137" s="137"/>
      <c r="D137" s="138"/>
      <c r="E137" s="138"/>
      <c r="F137" s="681">
        <v>60765.27</v>
      </c>
    </row>
    <row r="138" spans="1:6" ht="9.75" customHeight="1" x14ac:dyDescent="0.2">
      <c r="A138" s="137" t="s">
        <v>1414</v>
      </c>
      <c r="B138" s="137" t="s">
        <v>1436</v>
      </c>
      <c r="C138" s="137"/>
      <c r="D138" s="138"/>
      <c r="E138" s="138"/>
      <c r="F138" s="685">
        <v>5623.11</v>
      </c>
    </row>
    <row r="139" spans="1:6" ht="9.75" customHeight="1" x14ac:dyDescent="0.2">
      <c r="A139" s="957" t="s">
        <v>1416</v>
      </c>
      <c r="B139" s="957" t="s">
        <v>783</v>
      </c>
      <c r="C139" s="957" t="s">
        <v>90</v>
      </c>
      <c r="D139" s="139">
        <v>4.4800000000000004</v>
      </c>
      <c r="E139" s="144">
        <v>337.46199999999999</v>
      </c>
      <c r="F139" s="143">
        <v>1511.83</v>
      </c>
    </row>
    <row r="140" spans="1:6" ht="9.75" customHeight="1" x14ac:dyDescent="0.2">
      <c r="A140" s="957" t="s">
        <v>1418</v>
      </c>
      <c r="B140" s="957" t="s">
        <v>1437</v>
      </c>
      <c r="C140" s="957" t="s">
        <v>90</v>
      </c>
      <c r="D140" s="146">
        <v>10.29</v>
      </c>
      <c r="E140" s="144">
        <v>337.46199999999999</v>
      </c>
      <c r="F140" s="143">
        <v>3472.48</v>
      </c>
    </row>
    <row r="141" spans="1:6" ht="9.75" customHeight="1" x14ac:dyDescent="0.2">
      <c r="A141" s="957" t="s">
        <v>1420</v>
      </c>
      <c r="B141" s="957" t="s">
        <v>2247</v>
      </c>
      <c r="C141" s="957" t="s">
        <v>90</v>
      </c>
      <c r="D141" s="146">
        <v>14.77</v>
      </c>
      <c r="E141" s="146">
        <v>43.25</v>
      </c>
      <c r="F141" s="145">
        <v>638.79999999999995</v>
      </c>
    </row>
    <row r="142" spans="1:6" ht="9.75" customHeight="1" x14ac:dyDescent="0.2">
      <c r="A142" s="137" t="s">
        <v>1426</v>
      </c>
      <c r="B142" s="137" t="s">
        <v>1438</v>
      </c>
      <c r="C142" s="137"/>
      <c r="D142" s="138"/>
      <c r="E142" s="138"/>
      <c r="F142" s="685">
        <v>4871.62</v>
      </c>
    </row>
    <row r="143" spans="1:6" ht="9.75" customHeight="1" x14ac:dyDescent="0.2">
      <c r="A143" s="957" t="s">
        <v>1428</v>
      </c>
      <c r="B143" s="957" t="s">
        <v>2248</v>
      </c>
      <c r="C143" s="957" t="s">
        <v>15</v>
      </c>
      <c r="D143" s="146">
        <v>26.22</v>
      </c>
      <c r="E143" s="146">
        <v>48.396999999999998</v>
      </c>
      <c r="F143" s="143">
        <v>1268.97</v>
      </c>
    </row>
    <row r="144" spans="1:6" ht="9.75" customHeight="1" x14ac:dyDescent="0.2">
      <c r="A144" s="957" t="s">
        <v>1429</v>
      </c>
      <c r="B144" s="957" t="s">
        <v>2249</v>
      </c>
      <c r="C144" s="957" t="s">
        <v>15</v>
      </c>
      <c r="D144" s="146">
        <v>54.44</v>
      </c>
      <c r="E144" s="146">
        <v>48.396999999999998</v>
      </c>
      <c r="F144" s="143">
        <v>2634.73</v>
      </c>
    </row>
    <row r="145" spans="1:6" ht="9.75" customHeight="1" x14ac:dyDescent="0.2">
      <c r="A145" s="957" t="s">
        <v>1430</v>
      </c>
      <c r="B145" s="957" t="s">
        <v>1439</v>
      </c>
      <c r="C145" s="957" t="s">
        <v>15</v>
      </c>
      <c r="D145" s="146">
        <v>80.66</v>
      </c>
      <c r="E145" s="146">
        <v>12</v>
      </c>
      <c r="F145" s="145">
        <v>967.92</v>
      </c>
    </row>
    <row r="146" spans="1:6" ht="9.75" customHeight="1" x14ac:dyDescent="0.2">
      <c r="A146" s="137" t="s">
        <v>1432</v>
      </c>
      <c r="B146" s="137" t="s">
        <v>1440</v>
      </c>
      <c r="C146" s="137"/>
      <c r="D146" s="138"/>
      <c r="E146" s="138"/>
      <c r="F146" s="958">
        <v>78.430000000000007</v>
      </c>
    </row>
    <row r="147" spans="1:6" ht="9.75" customHeight="1" x14ac:dyDescent="0.2">
      <c r="A147" s="957" t="s">
        <v>1434</v>
      </c>
      <c r="B147" s="957" t="s">
        <v>496</v>
      </c>
      <c r="C147" s="957" t="s">
        <v>90</v>
      </c>
      <c r="D147" s="146">
        <v>14.77</v>
      </c>
      <c r="E147" s="139">
        <v>0.1105</v>
      </c>
      <c r="F147" s="148">
        <v>1.63</v>
      </c>
    </row>
    <row r="148" spans="1:6" ht="9.75" customHeight="1" x14ac:dyDescent="0.2">
      <c r="A148" s="957" t="s">
        <v>1435</v>
      </c>
      <c r="B148" s="957" t="s">
        <v>2250</v>
      </c>
      <c r="C148" s="957" t="s">
        <v>90</v>
      </c>
      <c r="D148" s="146">
        <v>14.77</v>
      </c>
      <c r="E148" s="139">
        <v>5.2</v>
      </c>
      <c r="F148" s="147">
        <v>76.8</v>
      </c>
    </row>
    <row r="149" spans="1:6" ht="9.75" customHeight="1" x14ac:dyDescent="0.2">
      <c r="A149" s="137" t="s">
        <v>2087</v>
      </c>
      <c r="B149" s="137" t="s">
        <v>1441</v>
      </c>
      <c r="C149" s="137"/>
      <c r="D149" s="138"/>
      <c r="E149" s="138"/>
      <c r="F149" s="681">
        <v>49075.14</v>
      </c>
    </row>
    <row r="150" spans="1:6" ht="9.75" customHeight="1" x14ac:dyDescent="0.2">
      <c r="A150" s="957" t="s">
        <v>2088</v>
      </c>
      <c r="B150" s="957" t="s">
        <v>1442</v>
      </c>
      <c r="C150" s="957" t="s">
        <v>15</v>
      </c>
      <c r="D150" s="144">
        <v>188.51</v>
      </c>
      <c r="E150" s="146">
        <v>84.234899999999996</v>
      </c>
      <c r="F150" s="141">
        <v>15879.12</v>
      </c>
    </row>
    <row r="151" spans="1:6" ht="9.75" customHeight="1" x14ac:dyDescent="0.2">
      <c r="A151" s="957" t="s">
        <v>2089</v>
      </c>
      <c r="B151" s="957" t="s">
        <v>2251</v>
      </c>
      <c r="C151" s="957" t="s">
        <v>15</v>
      </c>
      <c r="D151" s="144">
        <v>141.6</v>
      </c>
      <c r="E151" s="146">
        <v>38.909999999999997</v>
      </c>
      <c r="F151" s="143">
        <v>5509.66</v>
      </c>
    </row>
    <row r="152" spans="1:6" ht="9.75" customHeight="1" x14ac:dyDescent="0.2">
      <c r="A152" s="957" t="s">
        <v>2090</v>
      </c>
      <c r="B152" s="957" t="s">
        <v>2252</v>
      </c>
      <c r="C152" s="957" t="s">
        <v>15</v>
      </c>
      <c r="D152" s="146">
        <v>76.7</v>
      </c>
      <c r="E152" s="146">
        <v>38.909999999999997</v>
      </c>
      <c r="F152" s="143">
        <v>2984.4</v>
      </c>
    </row>
    <row r="153" spans="1:6" ht="9.75" customHeight="1" x14ac:dyDescent="0.2">
      <c r="A153" s="957" t="s">
        <v>2091</v>
      </c>
      <c r="B153" s="957" t="s">
        <v>485</v>
      </c>
      <c r="C153" s="957" t="s">
        <v>15</v>
      </c>
      <c r="D153" s="144">
        <v>302.14999999999998</v>
      </c>
      <c r="E153" s="146">
        <v>62.315600000000003</v>
      </c>
      <c r="F153" s="141">
        <v>18828.650000000001</v>
      </c>
    </row>
    <row r="154" spans="1:6" ht="9.75" customHeight="1" x14ac:dyDescent="0.2">
      <c r="A154" s="957" t="s">
        <v>2092</v>
      </c>
      <c r="B154" s="957" t="s">
        <v>781</v>
      </c>
      <c r="C154" s="957" t="s">
        <v>15</v>
      </c>
      <c r="D154" s="146">
        <v>73.209999999999994</v>
      </c>
      <c r="E154" s="146">
        <v>80.2256</v>
      </c>
      <c r="F154" s="143">
        <v>5873.31</v>
      </c>
    </row>
    <row r="155" spans="1:6" ht="9.75" customHeight="1" x14ac:dyDescent="0.2">
      <c r="A155" s="137" t="s">
        <v>2253</v>
      </c>
      <c r="B155" s="137" t="s">
        <v>2254</v>
      </c>
      <c r="C155" s="137"/>
      <c r="D155" s="138"/>
      <c r="E155" s="138"/>
      <c r="F155" s="685">
        <v>1116.97</v>
      </c>
    </row>
    <row r="156" spans="1:6" ht="9.75" customHeight="1" x14ac:dyDescent="0.2">
      <c r="A156" s="957" t="s">
        <v>2255</v>
      </c>
      <c r="B156" s="957" t="s">
        <v>2256</v>
      </c>
      <c r="C156" s="957" t="s">
        <v>15</v>
      </c>
      <c r="D156" s="139">
        <v>2.8</v>
      </c>
      <c r="E156" s="144">
        <v>398.91860000000003</v>
      </c>
      <c r="F156" s="143">
        <v>1116.97</v>
      </c>
    </row>
    <row r="157" spans="1:6" ht="9.75" customHeight="1" x14ac:dyDescent="0.2">
      <c r="A157" s="137" t="s">
        <v>638</v>
      </c>
      <c r="B157" s="137" t="s">
        <v>116</v>
      </c>
      <c r="C157" s="137"/>
      <c r="D157" s="138"/>
      <c r="E157" s="138"/>
      <c r="F157" s="681">
        <v>44137.38</v>
      </c>
    </row>
    <row r="158" spans="1:6" ht="19.350000000000001" customHeight="1" x14ac:dyDescent="0.2">
      <c r="A158" s="957" t="s">
        <v>2093</v>
      </c>
      <c r="B158" s="957" t="s">
        <v>1961</v>
      </c>
      <c r="C158" s="957" t="s">
        <v>90</v>
      </c>
      <c r="D158" s="144">
        <v>568.64</v>
      </c>
      <c r="E158" s="146">
        <v>57.456000000000003</v>
      </c>
      <c r="F158" s="141">
        <v>32671.78</v>
      </c>
    </row>
    <row r="159" spans="1:6" ht="9.75" customHeight="1" x14ac:dyDescent="0.2">
      <c r="A159" s="957" t="s">
        <v>2094</v>
      </c>
      <c r="B159" s="957" t="s">
        <v>1962</v>
      </c>
      <c r="C159" s="957" t="s">
        <v>90</v>
      </c>
      <c r="D159" s="144">
        <v>568.64</v>
      </c>
      <c r="E159" s="146">
        <v>10</v>
      </c>
      <c r="F159" s="143">
        <v>5686.4</v>
      </c>
    </row>
    <row r="160" spans="1:6" ht="9.75" customHeight="1" x14ac:dyDescent="0.2">
      <c r="A160" s="957" t="s">
        <v>2095</v>
      </c>
      <c r="B160" s="957" t="s">
        <v>784</v>
      </c>
      <c r="C160" s="957" t="s">
        <v>90</v>
      </c>
      <c r="D160" s="146">
        <v>13.76</v>
      </c>
      <c r="E160" s="144">
        <v>420</v>
      </c>
      <c r="F160" s="143">
        <v>5779.2</v>
      </c>
    </row>
    <row r="161" spans="1:6" ht="9.75" customHeight="1" x14ac:dyDescent="0.2">
      <c r="A161" s="137" t="s">
        <v>640</v>
      </c>
      <c r="B161" s="137" t="s">
        <v>238</v>
      </c>
      <c r="C161" s="137"/>
      <c r="D161" s="138"/>
      <c r="E161" s="138"/>
      <c r="F161" s="681">
        <v>25373.07</v>
      </c>
    </row>
    <row r="162" spans="1:6" ht="9.75" customHeight="1" x14ac:dyDescent="0.2">
      <c r="A162" s="957" t="s">
        <v>641</v>
      </c>
      <c r="B162" s="957" t="s">
        <v>503</v>
      </c>
      <c r="C162" s="957" t="s">
        <v>15</v>
      </c>
      <c r="D162" s="139">
        <v>7.2</v>
      </c>
      <c r="E162" s="146">
        <v>25.9117</v>
      </c>
      <c r="F162" s="145">
        <v>186.56</v>
      </c>
    </row>
    <row r="163" spans="1:6" ht="9.75" customHeight="1" x14ac:dyDescent="0.2">
      <c r="A163" s="957" t="s">
        <v>642</v>
      </c>
      <c r="B163" s="957" t="s">
        <v>1409</v>
      </c>
      <c r="C163" s="957" t="s">
        <v>90</v>
      </c>
      <c r="D163" s="139">
        <v>7.32</v>
      </c>
      <c r="E163" s="146">
        <v>76.728300000000004</v>
      </c>
      <c r="F163" s="145">
        <v>561.65</v>
      </c>
    </row>
    <row r="164" spans="1:6" ht="9.75" customHeight="1" x14ac:dyDescent="0.2">
      <c r="A164" s="957" t="s">
        <v>1963</v>
      </c>
      <c r="B164" s="957" t="s">
        <v>1410</v>
      </c>
      <c r="C164" s="957" t="s">
        <v>90</v>
      </c>
      <c r="D164" s="139">
        <v>3.42</v>
      </c>
      <c r="E164" s="146">
        <v>76.728300000000004</v>
      </c>
      <c r="F164" s="145">
        <v>262.41000000000003</v>
      </c>
    </row>
    <row r="165" spans="1:6" ht="9.75" customHeight="1" x14ac:dyDescent="0.2">
      <c r="A165" s="957" t="s">
        <v>2098</v>
      </c>
      <c r="B165" s="957" t="s">
        <v>1411</v>
      </c>
      <c r="C165" s="957" t="s">
        <v>90</v>
      </c>
      <c r="D165" s="139">
        <v>9.6</v>
      </c>
      <c r="E165" s="146">
        <v>76.728300000000004</v>
      </c>
      <c r="F165" s="145">
        <v>736.59</v>
      </c>
    </row>
    <row r="166" spans="1:6" ht="9.75" customHeight="1" x14ac:dyDescent="0.2">
      <c r="A166" s="957" t="s">
        <v>2099</v>
      </c>
      <c r="B166" s="957" t="s">
        <v>2257</v>
      </c>
      <c r="C166" s="957" t="s">
        <v>90</v>
      </c>
      <c r="D166" s="146">
        <v>43.2</v>
      </c>
      <c r="E166" s="146">
        <v>76.728300000000004</v>
      </c>
      <c r="F166" s="143">
        <v>3314.66</v>
      </c>
    </row>
    <row r="167" spans="1:6" ht="9.75" customHeight="1" x14ac:dyDescent="0.2">
      <c r="A167" s="957" t="s">
        <v>2100</v>
      </c>
      <c r="B167" s="957" t="s">
        <v>2097</v>
      </c>
      <c r="C167" s="957" t="s">
        <v>90</v>
      </c>
      <c r="D167" s="146">
        <v>22.41</v>
      </c>
      <c r="E167" s="144">
        <v>135.54</v>
      </c>
      <c r="F167" s="143">
        <v>3037.45</v>
      </c>
    </row>
    <row r="168" spans="1:6" ht="9.75" customHeight="1" x14ac:dyDescent="0.2">
      <c r="A168" s="957" t="s">
        <v>2101</v>
      </c>
      <c r="B168" s="957" t="s">
        <v>2258</v>
      </c>
      <c r="C168" s="957" t="s">
        <v>15</v>
      </c>
      <c r="D168" s="144">
        <v>607.07000000000005</v>
      </c>
      <c r="E168" s="146">
        <v>13.148999999999999</v>
      </c>
      <c r="F168" s="143">
        <v>7982.36</v>
      </c>
    </row>
    <row r="169" spans="1:6" ht="9.75" customHeight="1" x14ac:dyDescent="0.2">
      <c r="A169" s="957" t="s">
        <v>2259</v>
      </c>
      <c r="B169" s="957" t="s">
        <v>2260</v>
      </c>
      <c r="C169" s="957" t="s">
        <v>15</v>
      </c>
      <c r="D169" s="144">
        <v>607.07000000000005</v>
      </c>
      <c r="E169" s="146">
        <v>11</v>
      </c>
      <c r="F169" s="143">
        <v>6677.77</v>
      </c>
    </row>
    <row r="170" spans="1:6" ht="9.75" customHeight="1" x14ac:dyDescent="0.2">
      <c r="A170" s="957" t="s">
        <v>2261</v>
      </c>
      <c r="B170" s="957" t="s">
        <v>2262</v>
      </c>
      <c r="C170" s="957" t="s">
        <v>15</v>
      </c>
      <c r="D170" s="144">
        <v>607.07000000000005</v>
      </c>
      <c r="E170" s="139">
        <v>4.3052999999999999</v>
      </c>
      <c r="F170" s="143">
        <v>2613.62</v>
      </c>
    </row>
    <row r="171" spans="1:6" ht="9.75" customHeight="1" x14ac:dyDescent="0.2">
      <c r="A171" s="137" t="s">
        <v>122</v>
      </c>
      <c r="B171" s="137" t="s">
        <v>643</v>
      </c>
      <c r="C171" s="137"/>
      <c r="D171" s="138"/>
      <c r="E171" s="138"/>
      <c r="F171" s="680">
        <v>281145.40000000002</v>
      </c>
    </row>
    <row r="172" spans="1:6" ht="9.75" customHeight="1" x14ac:dyDescent="0.2">
      <c r="A172" s="137" t="s">
        <v>123</v>
      </c>
      <c r="B172" s="137" t="s">
        <v>644</v>
      </c>
      <c r="C172" s="137"/>
      <c r="D172" s="138"/>
      <c r="E172" s="138"/>
      <c r="F172" s="681">
        <v>16055.04</v>
      </c>
    </row>
    <row r="173" spans="1:6" ht="9.75" customHeight="1" x14ac:dyDescent="0.2">
      <c r="A173" s="957" t="s">
        <v>124</v>
      </c>
      <c r="B173" s="957" t="s">
        <v>785</v>
      </c>
      <c r="C173" s="957" t="s">
        <v>90</v>
      </c>
      <c r="D173" s="142">
        <v>1926.16</v>
      </c>
      <c r="E173" s="139">
        <v>5.0818000000000003</v>
      </c>
      <c r="F173" s="143">
        <v>9788.36</v>
      </c>
    </row>
    <row r="174" spans="1:6" ht="9.75" customHeight="1" x14ac:dyDescent="0.2">
      <c r="A174" s="957" t="s">
        <v>1449</v>
      </c>
      <c r="B174" s="957" t="s">
        <v>1450</v>
      </c>
      <c r="C174" s="957" t="s">
        <v>90</v>
      </c>
      <c r="D174" s="142">
        <v>1106.21</v>
      </c>
      <c r="E174" s="139">
        <v>5.665</v>
      </c>
      <c r="F174" s="143">
        <v>6266.68</v>
      </c>
    </row>
    <row r="175" spans="1:6" ht="9.75" customHeight="1" x14ac:dyDescent="0.2">
      <c r="A175" s="137" t="s">
        <v>125</v>
      </c>
      <c r="B175" s="137" t="s">
        <v>645</v>
      </c>
      <c r="C175" s="137"/>
      <c r="D175" s="138"/>
      <c r="E175" s="138"/>
      <c r="F175" s="681">
        <v>28858.78</v>
      </c>
    </row>
    <row r="176" spans="1:6" ht="9.75" customHeight="1" x14ac:dyDescent="0.2">
      <c r="A176" s="957" t="s">
        <v>126</v>
      </c>
      <c r="B176" s="957" t="s">
        <v>1964</v>
      </c>
      <c r="C176" s="957" t="s">
        <v>90</v>
      </c>
      <c r="D176" s="142">
        <v>1223.6300000000001</v>
      </c>
      <c r="E176" s="139">
        <v>6.5039999999999996</v>
      </c>
      <c r="F176" s="143">
        <v>7958.49</v>
      </c>
    </row>
    <row r="177" spans="1:6" ht="9.75" customHeight="1" x14ac:dyDescent="0.2">
      <c r="A177" s="957" t="s">
        <v>127</v>
      </c>
      <c r="B177" s="957" t="s">
        <v>1451</v>
      </c>
      <c r="C177" s="957" t="s">
        <v>90</v>
      </c>
      <c r="D177" s="142">
        <v>1341.17</v>
      </c>
      <c r="E177" s="146">
        <v>15.5</v>
      </c>
      <c r="F177" s="141">
        <v>20788.14</v>
      </c>
    </row>
    <row r="178" spans="1:6" ht="9.75" customHeight="1" x14ac:dyDescent="0.2">
      <c r="A178" s="957" t="s">
        <v>128</v>
      </c>
      <c r="B178" s="957" t="s">
        <v>2102</v>
      </c>
      <c r="C178" s="957" t="s">
        <v>15</v>
      </c>
      <c r="D178" s="146">
        <v>10.72</v>
      </c>
      <c r="E178" s="146">
        <v>10.462</v>
      </c>
      <c r="F178" s="145">
        <v>112.15</v>
      </c>
    </row>
    <row r="179" spans="1:6" ht="9.75" customHeight="1" x14ac:dyDescent="0.2">
      <c r="A179" s="137" t="s">
        <v>129</v>
      </c>
      <c r="B179" s="137" t="s">
        <v>646</v>
      </c>
      <c r="C179" s="137"/>
      <c r="D179" s="138"/>
      <c r="E179" s="138"/>
      <c r="F179" s="681">
        <v>15029.64</v>
      </c>
    </row>
    <row r="180" spans="1:6" ht="9.75" customHeight="1" x14ac:dyDescent="0.2">
      <c r="A180" s="957" t="s">
        <v>130</v>
      </c>
      <c r="B180" s="957" t="s">
        <v>1965</v>
      </c>
      <c r="C180" s="957" t="s">
        <v>90</v>
      </c>
      <c r="D180" s="144">
        <v>668.46</v>
      </c>
      <c r="E180" s="139">
        <v>6.5039999999999996</v>
      </c>
      <c r="F180" s="143">
        <v>4347.66</v>
      </c>
    </row>
    <row r="181" spans="1:6" ht="9.75" customHeight="1" x14ac:dyDescent="0.2">
      <c r="A181" s="957" t="s">
        <v>647</v>
      </c>
      <c r="B181" s="957" t="s">
        <v>1453</v>
      </c>
      <c r="C181" s="957" t="s">
        <v>90</v>
      </c>
      <c r="D181" s="144">
        <v>689.16</v>
      </c>
      <c r="E181" s="146">
        <v>15.5</v>
      </c>
      <c r="F181" s="141">
        <v>10681.98</v>
      </c>
    </row>
    <row r="182" spans="1:6" ht="9.75" customHeight="1" x14ac:dyDescent="0.2">
      <c r="A182" s="137" t="s">
        <v>131</v>
      </c>
      <c r="B182" s="137" t="s">
        <v>648</v>
      </c>
      <c r="C182" s="137"/>
      <c r="D182" s="138"/>
      <c r="E182" s="138"/>
      <c r="F182" s="681">
        <v>99877.18</v>
      </c>
    </row>
    <row r="183" spans="1:6" ht="9.75" customHeight="1" x14ac:dyDescent="0.2">
      <c r="A183" s="957" t="s">
        <v>132</v>
      </c>
      <c r="B183" s="957" t="s">
        <v>2263</v>
      </c>
      <c r="C183" s="957" t="s">
        <v>90</v>
      </c>
      <c r="D183" s="142">
        <v>4781.1000000000004</v>
      </c>
      <c r="E183" s="146">
        <v>20.89</v>
      </c>
      <c r="F183" s="141">
        <v>99877.18</v>
      </c>
    </row>
    <row r="184" spans="1:6" ht="9.75" customHeight="1" x14ac:dyDescent="0.2">
      <c r="A184" s="137" t="s">
        <v>649</v>
      </c>
      <c r="B184" s="137" t="s">
        <v>650</v>
      </c>
      <c r="C184" s="137"/>
      <c r="D184" s="138"/>
      <c r="E184" s="138"/>
      <c r="F184" s="681">
        <v>95130.77</v>
      </c>
    </row>
    <row r="185" spans="1:6" ht="9.75" customHeight="1" x14ac:dyDescent="0.2">
      <c r="A185" s="137" t="s">
        <v>1454</v>
      </c>
      <c r="B185" s="137" t="s">
        <v>1455</v>
      </c>
      <c r="C185" s="137"/>
      <c r="D185" s="138"/>
      <c r="E185" s="138"/>
      <c r="F185" s="681">
        <v>87444.89</v>
      </c>
    </row>
    <row r="186" spans="1:6" ht="19.350000000000001" customHeight="1" x14ac:dyDescent="0.2">
      <c r="A186" s="957" t="s">
        <v>1456</v>
      </c>
      <c r="B186" s="957" t="s">
        <v>2264</v>
      </c>
      <c r="C186" s="957" t="s">
        <v>90</v>
      </c>
      <c r="D186" s="142">
        <v>1191.24</v>
      </c>
      <c r="E186" s="146">
        <v>27.378499999999999</v>
      </c>
      <c r="F186" s="141">
        <v>32614.36</v>
      </c>
    </row>
    <row r="187" spans="1:6" ht="19.350000000000001" customHeight="1" x14ac:dyDescent="0.2">
      <c r="A187" s="957" t="s">
        <v>1458</v>
      </c>
      <c r="B187" s="957" t="s">
        <v>2265</v>
      </c>
      <c r="C187" s="957" t="s">
        <v>90</v>
      </c>
      <c r="D187" s="146">
        <v>65.5</v>
      </c>
      <c r="E187" s="146">
        <v>33.976700000000001</v>
      </c>
      <c r="F187" s="143">
        <v>2225.4699999999998</v>
      </c>
    </row>
    <row r="188" spans="1:6" ht="19.350000000000001" customHeight="1" x14ac:dyDescent="0.2">
      <c r="A188" s="957" t="s">
        <v>1459</v>
      </c>
      <c r="B188" s="957" t="s">
        <v>2266</v>
      </c>
      <c r="C188" s="957" t="s">
        <v>90</v>
      </c>
      <c r="D188" s="146">
        <v>25.2</v>
      </c>
      <c r="E188" s="144">
        <v>183.572</v>
      </c>
      <c r="F188" s="143">
        <v>4626.01</v>
      </c>
    </row>
    <row r="189" spans="1:6" ht="9.75" customHeight="1" x14ac:dyDescent="0.2">
      <c r="A189" s="957" t="s">
        <v>2103</v>
      </c>
      <c r="B189" s="957" t="s">
        <v>2267</v>
      </c>
      <c r="C189" s="957" t="s">
        <v>90</v>
      </c>
      <c r="D189" s="146">
        <v>15.16</v>
      </c>
      <c r="E189" s="146">
        <v>37.667000000000002</v>
      </c>
      <c r="F189" s="145">
        <v>571.03</v>
      </c>
    </row>
    <row r="190" spans="1:6" ht="9.75" customHeight="1" x14ac:dyDescent="0.2">
      <c r="A190" s="957" t="s">
        <v>2104</v>
      </c>
      <c r="B190" s="957" t="s">
        <v>482</v>
      </c>
      <c r="C190" s="957" t="s">
        <v>90</v>
      </c>
      <c r="D190" s="142">
        <v>1411.7</v>
      </c>
      <c r="E190" s="146">
        <v>26.21</v>
      </c>
      <c r="F190" s="141">
        <v>37000.660000000003</v>
      </c>
    </row>
    <row r="191" spans="1:6" ht="19.350000000000001" customHeight="1" x14ac:dyDescent="0.2">
      <c r="A191" s="957" t="s">
        <v>2268</v>
      </c>
      <c r="B191" s="957" t="s">
        <v>2110</v>
      </c>
      <c r="C191" s="957" t="s">
        <v>90</v>
      </c>
      <c r="D191" s="146">
        <v>29.96</v>
      </c>
      <c r="E191" s="144">
        <v>216.77</v>
      </c>
      <c r="F191" s="143">
        <v>6494.43</v>
      </c>
    </row>
    <row r="192" spans="1:6" ht="19.350000000000001" customHeight="1" x14ac:dyDescent="0.2">
      <c r="A192" s="957" t="s">
        <v>2269</v>
      </c>
      <c r="B192" s="957" t="s">
        <v>2111</v>
      </c>
      <c r="C192" s="957" t="s">
        <v>15</v>
      </c>
      <c r="D192" s="146">
        <v>29.96</v>
      </c>
      <c r="E192" s="146">
        <v>97.605000000000004</v>
      </c>
      <c r="F192" s="143">
        <v>2924.25</v>
      </c>
    </row>
    <row r="193" spans="1:6" ht="9.75" customHeight="1" x14ac:dyDescent="0.2">
      <c r="A193" s="957" t="s">
        <v>2270</v>
      </c>
      <c r="B193" s="957" t="s">
        <v>2271</v>
      </c>
      <c r="C193" s="957" t="s">
        <v>90</v>
      </c>
      <c r="D193" s="146">
        <v>29.96</v>
      </c>
      <c r="E193" s="146">
        <v>33</v>
      </c>
      <c r="F193" s="145">
        <v>988.68</v>
      </c>
    </row>
    <row r="194" spans="1:6" ht="9.75" customHeight="1" x14ac:dyDescent="0.2">
      <c r="A194" s="137" t="s">
        <v>1460</v>
      </c>
      <c r="B194" s="137" t="s">
        <v>1461</v>
      </c>
      <c r="C194" s="137"/>
      <c r="D194" s="138"/>
      <c r="E194" s="138"/>
      <c r="F194" s="684">
        <v>253.48</v>
      </c>
    </row>
    <row r="195" spans="1:6" ht="9.75" customHeight="1" x14ac:dyDescent="0.2">
      <c r="A195" s="957" t="s">
        <v>1462</v>
      </c>
      <c r="B195" s="957" t="s">
        <v>1966</v>
      </c>
      <c r="C195" s="957" t="s">
        <v>15</v>
      </c>
      <c r="D195" s="146">
        <v>10.72</v>
      </c>
      <c r="E195" s="146">
        <v>10.446099999999999</v>
      </c>
      <c r="F195" s="145">
        <v>111.98</v>
      </c>
    </row>
    <row r="196" spans="1:6" ht="9.75" customHeight="1" x14ac:dyDescent="0.2">
      <c r="A196" s="957" t="s">
        <v>2105</v>
      </c>
      <c r="B196" s="957" t="s">
        <v>2106</v>
      </c>
      <c r="C196" s="957" t="s">
        <v>15</v>
      </c>
      <c r="D196" s="146">
        <v>10.72</v>
      </c>
      <c r="E196" s="146">
        <v>13.2</v>
      </c>
      <c r="F196" s="145">
        <v>141.5</v>
      </c>
    </row>
    <row r="197" spans="1:6" ht="9.75" customHeight="1" x14ac:dyDescent="0.2">
      <c r="A197" s="137" t="s">
        <v>1464</v>
      </c>
      <c r="B197" s="137" t="s">
        <v>1465</v>
      </c>
      <c r="C197" s="137"/>
      <c r="D197" s="138"/>
      <c r="E197" s="138"/>
      <c r="F197" s="685">
        <v>7182.88</v>
      </c>
    </row>
    <row r="198" spans="1:6" ht="9.75" customHeight="1" x14ac:dyDescent="0.2">
      <c r="A198" s="957" t="s">
        <v>1466</v>
      </c>
      <c r="B198" s="957" t="s">
        <v>1967</v>
      </c>
      <c r="C198" s="957" t="s">
        <v>90</v>
      </c>
      <c r="D198" s="142">
        <v>1191.24</v>
      </c>
      <c r="E198" s="139">
        <v>0.188</v>
      </c>
      <c r="F198" s="145">
        <v>223.95</v>
      </c>
    </row>
    <row r="199" spans="1:6" ht="9.75" customHeight="1" x14ac:dyDescent="0.2">
      <c r="A199" s="957" t="s">
        <v>1467</v>
      </c>
      <c r="B199" s="957" t="s">
        <v>2082</v>
      </c>
      <c r="C199" s="957" t="s">
        <v>90</v>
      </c>
      <c r="D199" s="146">
        <v>29.96</v>
      </c>
      <c r="E199" s="139">
        <v>0.23499999999999999</v>
      </c>
      <c r="F199" s="148">
        <v>7.04</v>
      </c>
    </row>
    <row r="200" spans="1:6" ht="9.75" customHeight="1" x14ac:dyDescent="0.2">
      <c r="A200" s="957" t="s">
        <v>2107</v>
      </c>
      <c r="B200" s="957" t="s">
        <v>2272</v>
      </c>
      <c r="C200" s="957" t="s">
        <v>90</v>
      </c>
      <c r="D200" s="146">
        <v>25.2</v>
      </c>
      <c r="E200" s="139">
        <v>0.376</v>
      </c>
      <c r="F200" s="148">
        <v>9.48</v>
      </c>
    </row>
    <row r="201" spans="1:6" ht="9.75" customHeight="1" x14ac:dyDescent="0.2">
      <c r="A201" s="957" t="s">
        <v>2108</v>
      </c>
      <c r="B201" s="957" t="s">
        <v>2273</v>
      </c>
      <c r="C201" s="957" t="s">
        <v>90</v>
      </c>
      <c r="D201" s="146">
        <v>80.66</v>
      </c>
      <c r="E201" s="139">
        <v>0.51700000000000002</v>
      </c>
      <c r="F201" s="147">
        <v>41.7</v>
      </c>
    </row>
    <row r="202" spans="1:6" ht="9.75" customHeight="1" x14ac:dyDescent="0.2">
      <c r="A202" s="957" t="s">
        <v>2109</v>
      </c>
      <c r="B202" s="957" t="s">
        <v>2274</v>
      </c>
      <c r="C202" s="957" t="s">
        <v>90</v>
      </c>
      <c r="D202" s="142">
        <v>1327.06</v>
      </c>
      <c r="E202" s="139">
        <v>5.2</v>
      </c>
      <c r="F202" s="143">
        <v>6900.71</v>
      </c>
    </row>
    <row r="203" spans="1:6" ht="9.75" customHeight="1" x14ac:dyDescent="0.2">
      <c r="A203" s="137" t="s">
        <v>1468</v>
      </c>
      <c r="B203" s="137" t="s">
        <v>1469</v>
      </c>
      <c r="C203" s="137"/>
      <c r="D203" s="138"/>
      <c r="E203" s="138"/>
      <c r="F203" s="684">
        <v>249.52</v>
      </c>
    </row>
    <row r="204" spans="1:6" ht="9.75" customHeight="1" x14ac:dyDescent="0.2">
      <c r="A204" s="957" t="s">
        <v>1470</v>
      </c>
      <c r="B204" s="957" t="s">
        <v>1471</v>
      </c>
      <c r="C204" s="957" t="s">
        <v>15</v>
      </c>
      <c r="D204" s="146">
        <v>33.36</v>
      </c>
      <c r="E204" s="139">
        <v>7.4798</v>
      </c>
      <c r="F204" s="145">
        <v>249.52</v>
      </c>
    </row>
    <row r="205" spans="1:6" ht="9.75" customHeight="1" x14ac:dyDescent="0.2">
      <c r="A205" s="137" t="s">
        <v>651</v>
      </c>
      <c r="B205" s="137" t="s">
        <v>652</v>
      </c>
      <c r="C205" s="137"/>
      <c r="D205" s="138"/>
      <c r="E205" s="138"/>
      <c r="F205" s="681">
        <v>11445.46</v>
      </c>
    </row>
    <row r="206" spans="1:6" ht="9.75" customHeight="1" x14ac:dyDescent="0.2">
      <c r="A206" s="957" t="s">
        <v>653</v>
      </c>
      <c r="B206" s="957" t="s">
        <v>1473</v>
      </c>
      <c r="C206" s="957" t="s">
        <v>15</v>
      </c>
      <c r="D206" s="146">
        <v>98.1</v>
      </c>
      <c r="E206" s="144">
        <v>116.67140000000001</v>
      </c>
      <c r="F206" s="141">
        <v>11445.46</v>
      </c>
    </row>
    <row r="207" spans="1:6" ht="9.75" customHeight="1" x14ac:dyDescent="0.2">
      <c r="A207" s="137" t="s">
        <v>1474</v>
      </c>
      <c r="B207" s="137" t="s">
        <v>116</v>
      </c>
      <c r="C207" s="137"/>
      <c r="D207" s="138"/>
      <c r="E207" s="138"/>
      <c r="F207" s="681">
        <v>14748.53</v>
      </c>
    </row>
    <row r="208" spans="1:6" ht="9.75" customHeight="1" x14ac:dyDescent="0.2">
      <c r="A208" s="957" t="s">
        <v>1475</v>
      </c>
      <c r="B208" s="957" t="s">
        <v>2275</v>
      </c>
      <c r="C208" s="957" t="s">
        <v>90</v>
      </c>
      <c r="D208" s="146">
        <v>18.899999999999999</v>
      </c>
      <c r="E208" s="144">
        <v>424.91390000000001</v>
      </c>
      <c r="F208" s="143">
        <v>8030.87</v>
      </c>
    </row>
    <row r="209" spans="1:6" ht="19.350000000000001" customHeight="1" x14ac:dyDescent="0.2">
      <c r="A209" s="957" t="s">
        <v>1476</v>
      </c>
      <c r="B209" s="957" t="s">
        <v>2276</v>
      </c>
      <c r="C209" s="957" t="s">
        <v>90</v>
      </c>
      <c r="D209" s="146">
        <v>29.29</v>
      </c>
      <c r="E209" s="144">
        <v>229.34989999999999</v>
      </c>
      <c r="F209" s="143">
        <v>6717.66</v>
      </c>
    </row>
    <row r="210" spans="1:6" ht="9.75" customHeight="1" x14ac:dyDescent="0.2">
      <c r="A210" s="137" t="s">
        <v>133</v>
      </c>
      <c r="B210" s="137" t="s">
        <v>654</v>
      </c>
      <c r="C210" s="137"/>
      <c r="D210" s="138"/>
      <c r="E210" s="138"/>
      <c r="F210" s="681">
        <v>43276.78</v>
      </c>
    </row>
    <row r="211" spans="1:6" ht="9.75" customHeight="1" x14ac:dyDescent="0.2">
      <c r="A211" s="137" t="s">
        <v>239</v>
      </c>
      <c r="B211" s="137" t="s">
        <v>655</v>
      </c>
      <c r="C211" s="137"/>
      <c r="D211" s="138"/>
      <c r="E211" s="138"/>
      <c r="F211" s="681">
        <v>43276.78</v>
      </c>
    </row>
    <row r="212" spans="1:6" ht="9.75" customHeight="1" x14ac:dyDescent="0.2">
      <c r="A212" s="957" t="s">
        <v>240</v>
      </c>
      <c r="B212" s="957" t="s">
        <v>2112</v>
      </c>
      <c r="C212" s="957" t="s">
        <v>90</v>
      </c>
      <c r="D212" s="144">
        <v>501.94</v>
      </c>
      <c r="E212" s="146">
        <v>37</v>
      </c>
      <c r="F212" s="141">
        <v>18571.78</v>
      </c>
    </row>
    <row r="213" spans="1:6" ht="9.75" customHeight="1" x14ac:dyDescent="0.2">
      <c r="A213" s="957" t="s">
        <v>241</v>
      </c>
      <c r="B213" s="957" t="s">
        <v>2277</v>
      </c>
      <c r="C213" s="957" t="s">
        <v>90</v>
      </c>
      <c r="D213" s="146">
        <v>65.36</v>
      </c>
      <c r="E213" s="144">
        <v>190</v>
      </c>
      <c r="F213" s="141">
        <v>12418.4</v>
      </c>
    </row>
    <row r="214" spans="1:6" ht="9.75" customHeight="1" x14ac:dyDescent="0.2">
      <c r="A214" s="957" t="s">
        <v>656</v>
      </c>
      <c r="B214" s="957" t="s">
        <v>489</v>
      </c>
      <c r="C214" s="957" t="s">
        <v>15</v>
      </c>
      <c r="D214" s="144">
        <v>955.66</v>
      </c>
      <c r="E214" s="146">
        <v>10</v>
      </c>
      <c r="F214" s="143">
        <v>9556.6</v>
      </c>
    </row>
    <row r="215" spans="1:6" ht="9.75" customHeight="1" x14ac:dyDescent="0.2">
      <c r="A215" s="957" t="s">
        <v>657</v>
      </c>
      <c r="B215" s="957" t="s">
        <v>2278</v>
      </c>
      <c r="C215" s="957" t="s">
        <v>15</v>
      </c>
      <c r="D215" s="146">
        <v>78</v>
      </c>
      <c r="E215" s="146">
        <v>35</v>
      </c>
      <c r="F215" s="143">
        <v>2730</v>
      </c>
    </row>
    <row r="216" spans="1:6" ht="9.75" customHeight="1" x14ac:dyDescent="0.2">
      <c r="A216" s="137" t="s">
        <v>134</v>
      </c>
      <c r="B216" s="137" t="s">
        <v>1</v>
      </c>
      <c r="C216" s="137"/>
      <c r="D216" s="138"/>
      <c r="E216" s="138"/>
      <c r="F216" s="680">
        <v>385076.31</v>
      </c>
    </row>
    <row r="217" spans="1:6" ht="9.75" customHeight="1" x14ac:dyDescent="0.2">
      <c r="A217" s="137" t="s">
        <v>135</v>
      </c>
      <c r="B217" s="137" t="s">
        <v>478</v>
      </c>
      <c r="C217" s="137"/>
      <c r="D217" s="138"/>
      <c r="E217" s="138"/>
      <c r="F217" s="681">
        <v>10117.76</v>
      </c>
    </row>
    <row r="218" spans="1:6" ht="9.75" customHeight="1" x14ac:dyDescent="0.2">
      <c r="A218" s="957" t="s">
        <v>136</v>
      </c>
      <c r="B218" s="957" t="s">
        <v>478</v>
      </c>
      <c r="C218" s="957" t="s">
        <v>90</v>
      </c>
      <c r="D218" s="142">
        <v>1154.52</v>
      </c>
      <c r="E218" s="139">
        <v>7.0453999999999999</v>
      </c>
      <c r="F218" s="143">
        <v>8134.06</v>
      </c>
    </row>
    <row r="219" spans="1:6" ht="9.75" customHeight="1" x14ac:dyDescent="0.2">
      <c r="A219" s="957" t="s">
        <v>2279</v>
      </c>
      <c r="B219" s="957" t="s">
        <v>2280</v>
      </c>
      <c r="C219" s="957" t="s">
        <v>90</v>
      </c>
      <c r="D219" s="144">
        <v>281.56</v>
      </c>
      <c r="E219" s="139">
        <v>7.0453999999999999</v>
      </c>
      <c r="F219" s="143">
        <v>1983.7</v>
      </c>
    </row>
    <row r="220" spans="1:6" ht="9.75" customHeight="1" x14ac:dyDescent="0.2">
      <c r="A220" s="137" t="s">
        <v>137</v>
      </c>
      <c r="B220" s="137" t="s">
        <v>480</v>
      </c>
      <c r="C220" s="137"/>
      <c r="D220" s="138"/>
      <c r="E220" s="138"/>
      <c r="F220" s="681">
        <v>66488.11</v>
      </c>
    </row>
    <row r="221" spans="1:6" ht="9.75" customHeight="1" x14ac:dyDescent="0.2">
      <c r="A221" s="957" t="s">
        <v>138</v>
      </c>
      <c r="B221" s="957" t="s">
        <v>1968</v>
      </c>
      <c r="C221" s="957" t="s">
        <v>90</v>
      </c>
      <c r="D221" s="142">
        <v>1484.62</v>
      </c>
      <c r="E221" s="139">
        <v>7.65</v>
      </c>
      <c r="F221" s="141">
        <v>11357.34</v>
      </c>
    </row>
    <row r="222" spans="1:6" ht="9.75" customHeight="1" x14ac:dyDescent="0.2">
      <c r="A222" s="957" t="s">
        <v>139</v>
      </c>
      <c r="B222" s="957" t="s">
        <v>2281</v>
      </c>
      <c r="C222" s="957" t="s">
        <v>90</v>
      </c>
      <c r="D222" s="144">
        <v>286</v>
      </c>
      <c r="E222" s="146">
        <v>76.5</v>
      </c>
      <c r="F222" s="141">
        <v>21879</v>
      </c>
    </row>
    <row r="223" spans="1:6" ht="9.75" customHeight="1" x14ac:dyDescent="0.2">
      <c r="A223" s="957" t="s">
        <v>243</v>
      </c>
      <c r="B223" s="957" t="s">
        <v>479</v>
      </c>
      <c r="C223" s="957" t="s">
        <v>90</v>
      </c>
      <c r="D223" s="142">
        <v>1485.7</v>
      </c>
      <c r="E223" s="146">
        <v>17.87</v>
      </c>
      <c r="F223" s="141">
        <v>26549.46</v>
      </c>
    </row>
    <row r="224" spans="1:6" ht="9.75" customHeight="1" x14ac:dyDescent="0.2">
      <c r="A224" s="957" t="s">
        <v>2282</v>
      </c>
      <c r="B224" s="957" t="s">
        <v>2350</v>
      </c>
      <c r="C224" s="957" t="s">
        <v>15</v>
      </c>
      <c r="D224" s="144">
        <v>493.87</v>
      </c>
      <c r="E224" s="146">
        <v>13.571</v>
      </c>
      <c r="F224" s="143">
        <v>6702.31</v>
      </c>
    </row>
    <row r="225" spans="1:6" ht="9.75" customHeight="1" x14ac:dyDescent="0.2">
      <c r="A225" s="137" t="s">
        <v>658</v>
      </c>
      <c r="B225" s="137" t="s">
        <v>786</v>
      </c>
      <c r="C225" s="137"/>
      <c r="D225" s="138"/>
      <c r="E225" s="138"/>
      <c r="F225" s="680">
        <v>177194.21</v>
      </c>
    </row>
    <row r="226" spans="1:6" ht="9.75" customHeight="1" x14ac:dyDescent="0.2">
      <c r="A226" s="957" t="s">
        <v>659</v>
      </c>
      <c r="B226" s="957" t="s">
        <v>2351</v>
      </c>
      <c r="C226" s="957" t="s">
        <v>90</v>
      </c>
      <c r="D226" s="144">
        <v>693.34</v>
      </c>
      <c r="E226" s="146">
        <v>69.157200000000003</v>
      </c>
      <c r="F226" s="141">
        <v>47949.45</v>
      </c>
    </row>
    <row r="227" spans="1:6" ht="19.350000000000001" customHeight="1" x14ac:dyDescent="0.2">
      <c r="A227" s="957" t="s">
        <v>660</v>
      </c>
      <c r="B227" s="957" t="s">
        <v>2352</v>
      </c>
      <c r="C227" s="957" t="s">
        <v>15</v>
      </c>
      <c r="D227" s="144">
        <v>952.43</v>
      </c>
      <c r="E227" s="146">
        <v>31.322600000000001</v>
      </c>
      <c r="F227" s="141">
        <v>29832.58</v>
      </c>
    </row>
    <row r="228" spans="1:6" ht="9.75" customHeight="1" x14ac:dyDescent="0.2">
      <c r="A228" s="957" t="s">
        <v>2283</v>
      </c>
      <c r="B228" s="957" t="s">
        <v>2285</v>
      </c>
      <c r="C228" s="957" t="s">
        <v>90</v>
      </c>
      <c r="D228" s="144">
        <v>693.34</v>
      </c>
      <c r="E228" s="146">
        <v>85</v>
      </c>
      <c r="F228" s="141">
        <v>58933.9</v>
      </c>
    </row>
    <row r="229" spans="1:6" ht="9.75" customHeight="1" x14ac:dyDescent="0.2">
      <c r="A229" s="957" t="s">
        <v>2284</v>
      </c>
      <c r="B229" s="957" t="s">
        <v>1487</v>
      </c>
      <c r="C229" s="957" t="s">
        <v>15</v>
      </c>
      <c r="D229" s="144">
        <v>952.43</v>
      </c>
      <c r="E229" s="146">
        <v>42.5</v>
      </c>
      <c r="F229" s="141">
        <v>40478.28</v>
      </c>
    </row>
    <row r="230" spans="1:6" ht="9.75" customHeight="1" x14ac:dyDescent="0.2">
      <c r="A230" s="137" t="s">
        <v>661</v>
      </c>
      <c r="B230" s="137" t="s">
        <v>2286</v>
      </c>
      <c r="C230" s="137"/>
      <c r="D230" s="138"/>
      <c r="E230" s="138"/>
      <c r="F230" s="680">
        <v>131276.23000000001</v>
      </c>
    </row>
    <row r="231" spans="1:6" ht="19.350000000000001" customHeight="1" x14ac:dyDescent="0.2">
      <c r="A231" s="957" t="s">
        <v>662</v>
      </c>
      <c r="B231" s="957" t="s">
        <v>2353</v>
      </c>
      <c r="C231" s="957" t="s">
        <v>90</v>
      </c>
      <c r="D231" s="144">
        <v>123.74</v>
      </c>
      <c r="E231" s="146">
        <v>33.627000000000002</v>
      </c>
      <c r="F231" s="143">
        <v>4161</v>
      </c>
    </row>
    <row r="232" spans="1:6" ht="19.350000000000001" customHeight="1" x14ac:dyDescent="0.2">
      <c r="A232" s="957" t="s">
        <v>663</v>
      </c>
      <c r="B232" s="957" t="s">
        <v>2354</v>
      </c>
      <c r="C232" s="957" t="s">
        <v>15</v>
      </c>
      <c r="D232" s="146">
        <v>77.099999999999994</v>
      </c>
      <c r="E232" s="146">
        <v>29.966000000000001</v>
      </c>
      <c r="F232" s="143">
        <v>2310.38</v>
      </c>
    </row>
    <row r="233" spans="1:6" ht="9.75" customHeight="1" x14ac:dyDescent="0.2">
      <c r="A233" s="957" t="s">
        <v>1482</v>
      </c>
      <c r="B233" s="957" t="s">
        <v>2355</v>
      </c>
      <c r="C233" s="957" t="s">
        <v>90</v>
      </c>
      <c r="D233" s="144">
        <v>584.87</v>
      </c>
      <c r="E233" s="144">
        <v>114.983</v>
      </c>
      <c r="F233" s="141">
        <v>67250.11</v>
      </c>
    </row>
    <row r="234" spans="1:6" ht="9.75" customHeight="1" x14ac:dyDescent="0.2">
      <c r="A234" s="957" t="s">
        <v>1484</v>
      </c>
      <c r="B234" s="957" t="s">
        <v>2356</v>
      </c>
      <c r="C234" s="957" t="s">
        <v>15</v>
      </c>
      <c r="D234" s="144">
        <v>434.18</v>
      </c>
      <c r="E234" s="146">
        <v>44.002000000000002</v>
      </c>
      <c r="F234" s="141">
        <v>19104.79</v>
      </c>
    </row>
    <row r="235" spans="1:6" ht="9.75" customHeight="1" x14ac:dyDescent="0.2">
      <c r="A235" s="957" t="s">
        <v>1485</v>
      </c>
      <c r="B235" s="957" t="s">
        <v>2287</v>
      </c>
      <c r="C235" s="957" t="s">
        <v>90</v>
      </c>
      <c r="D235" s="144">
        <v>123.74</v>
      </c>
      <c r="E235" s="139">
        <v>0.188</v>
      </c>
      <c r="F235" s="147">
        <v>23.26</v>
      </c>
    </row>
    <row r="236" spans="1:6" ht="9.75" customHeight="1" x14ac:dyDescent="0.2">
      <c r="A236" s="957" t="s">
        <v>1486</v>
      </c>
      <c r="B236" s="957" t="s">
        <v>2288</v>
      </c>
      <c r="C236" s="957" t="s">
        <v>90</v>
      </c>
      <c r="D236" s="144">
        <v>123.74</v>
      </c>
      <c r="E236" s="139">
        <v>5.2</v>
      </c>
      <c r="F236" s="145">
        <v>643.45000000000005</v>
      </c>
    </row>
    <row r="237" spans="1:6" ht="9.75" customHeight="1" x14ac:dyDescent="0.2">
      <c r="A237" s="957" t="s">
        <v>2113</v>
      </c>
      <c r="B237" s="957" t="s">
        <v>2357</v>
      </c>
      <c r="C237" s="957" t="s">
        <v>90</v>
      </c>
      <c r="D237" s="144">
        <v>584.87</v>
      </c>
      <c r="E237" s="139">
        <v>0.188</v>
      </c>
      <c r="F237" s="145">
        <v>109.96</v>
      </c>
    </row>
    <row r="238" spans="1:6" ht="9.75" customHeight="1" x14ac:dyDescent="0.2">
      <c r="A238" s="957" t="s">
        <v>2114</v>
      </c>
      <c r="B238" s="957" t="s">
        <v>2358</v>
      </c>
      <c r="C238" s="957" t="s">
        <v>90</v>
      </c>
      <c r="D238" s="144">
        <v>584.87</v>
      </c>
      <c r="E238" s="139">
        <v>5.2</v>
      </c>
      <c r="F238" s="143">
        <v>3041.32</v>
      </c>
    </row>
    <row r="239" spans="1:6" ht="9.75" customHeight="1" x14ac:dyDescent="0.2">
      <c r="A239" s="957" t="s">
        <v>2115</v>
      </c>
      <c r="B239" s="957" t="s">
        <v>1488</v>
      </c>
      <c r="C239" s="957" t="s">
        <v>90</v>
      </c>
      <c r="D239" s="144">
        <v>708.6</v>
      </c>
      <c r="E239" s="146">
        <v>33</v>
      </c>
      <c r="F239" s="141">
        <v>23383.8</v>
      </c>
    </row>
    <row r="240" spans="1:6" ht="9.75" customHeight="1" x14ac:dyDescent="0.2">
      <c r="A240" s="957" t="s">
        <v>2116</v>
      </c>
      <c r="B240" s="957" t="s">
        <v>1489</v>
      </c>
      <c r="C240" s="957" t="s">
        <v>15</v>
      </c>
      <c r="D240" s="144">
        <v>511.28</v>
      </c>
      <c r="E240" s="146">
        <v>22</v>
      </c>
      <c r="F240" s="141">
        <v>11248.16</v>
      </c>
    </row>
    <row r="241" spans="1:6" ht="9.75" customHeight="1" x14ac:dyDescent="0.2">
      <c r="A241" s="137" t="s">
        <v>140</v>
      </c>
      <c r="B241" s="137" t="s">
        <v>664</v>
      </c>
      <c r="C241" s="137"/>
      <c r="D241" s="138"/>
      <c r="E241" s="138"/>
      <c r="F241" s="680">
        <v>553372.31999999995</v>
      </c>
    </row>
    <row r="242" spans="1:6" ht="9.75" customHeight="1" x14ac:dyDescent="0.2">
      <c r="A242" s="137" t="s">
        <v>2117</v>
      </c>
      <c r="B242" s="137" t="s">
        <v>2119</v>
      </c>
      <c r="C242" s="137"/>
      <c r="D242" s="138"/>
      <c r="E242" s="138"/>
      <c r="F242" s="680">
        <v>553372.31999999995</v>
      </c>
    </row>
    <row r="243" spans="1:6" ht="19.350000000000001" customHeight="1" x14ac:dyDescent="0.2">
      <c r="A243" s="957" t="s">
        <v>2118</v>
      </c>
      <c r="B243" s="957" t="s">
        <v>2289</v>
      </c>
      <c r="C243" s="957" t="s">
        <v>7</v>
      </c>
      <c r="D243" s="139">
        <v>1</v>
      </c>
      <c r="E243" s="149">
        <v>392109.61690000002</v>
      </c>
      <c r="F243" s="683">
        <v>392109.62</v>
      </c>
    </row>
    <row r="244" spans="1:6" ht="9.75" customHeight="1" x14ac:dyDescent="0.2">
      <c r="A244" s="957" t="s">
        <v>2290</v>
      </c>
      <c r="B244" s="957" t="s">
        <v>2291</v>
      </c>
      <c r="C244" s="957" t="s">
        <v>7</v>
      </c>
      <c r="D244" s="139">
        <v>1</v>
      </c>
      <c r="E244" s="149">
        <v>161262.70189999999</v>
      </c>
      <c r="F244" s="683">
        <v>161262.70000000001</v>
      </c>
    </row>
    <row r="245" spans="1:6" ht="9.75" customHeight="1" x14ac:dyDescent="0.2">
      <c r="A245" s="137" t="s">
        <v>141</v>
      </c>
      <c r="B245" s="137" t="s">
        <v>665</v>
      </c>
      <c r="C245" s="137"/>
      <c r="D245" s="138"/>
      <c r="E245" s="138"/>
      <c r="F245" s="681">
        <v>57592.480000000003</v>
      </c>
    </row>
    <row r="246" spans="1:6" ht="9.75" customHeight="1" x14ac:dyDescent="0.2">
      <c r="A246" s="957" t="s">
        <v>142</v>
      </c>
      <c r="B246" s="957" t="s">
        <v>237</v>
      </c>
      <c r="C246" s="957" t="s">
        <v>15</v>
      </c>
      <c r="D246" s="146">
        <v>88.09</v>
      </c>
      <c r="E246" s="144">
        <v>101.42100000000001</v>
      </c>
      <c r="F246" s="143">
        <v>8934.17</v>
      </c>
    </row>
    <row r="247" spans="1:6" ht="9.75" customHeight="1" x14ac:dyDescent="0.2">
      <c r="A247" s="957" t="s">
        <v>143</v>
      </c>
      <c r="B247" s="957" t="s">
        <v>495</v>
      </c>
      <c r="C247" s="957" t="s">
        <v>15</v>
      </c>
      <c r="D247" s="146">
        <v>10</v>
      </c>
      <c r="E247" s="144">
        <v>179.0121</v>
      </c>
      <c r="F247" s="143">
        <v>1790.12</v>
      </c>
    </row>
    <row r="248" spans="1:6" ht="9.75" customHeight="1" x14ac:dyDescent="0.2">
      <c r="A248" s="957" t="s">
        <v>144</v>
      </c>
      <c r="B248" s="957" t="s">
        <v>788</v>
      </c>
      <c r="C248" s="957" t="s">
        <v>8</v>
      </c>
      <c r="D248" s="139">
        <v>4</v>
      </c>
      <c r="E248" s="144">
        <v>258.02420000000001</v>
      </c>
      <c r="F248" s="143">
        <v>1032.0999999999999</v>
      </c>
    </row>
    <row r="249" spans="1:6" ht="9.75" customHeight="1" x14ac:dyDescent="0.2">
      <c r="A249" s="957" t="s">
        <v>666</v>
      </c>
      <c r="B249" s="957" t="s">
        <v>1492</v>
      </c>
      <c r="C249" s="957" t="s">
        <v>8</v>
      </c>
      <c r="D249" s="146">
        <v>15</v>
      </c>
      <c r="E249" s="144">
        <v>740</v>
      </c>
      <c r="F249" s="141">
        <v>11100</v>
      </c>
    </row>
    <row r="250" spans="1:6" ht="9.75" customHeight="1" x14ac:dyDescent="0.2">
      <c r="A250" s="957" t="s">
        <v>667</v>
      </c>
      <c r="B250" s="957" t="s">
        <v>2292</v>
      </c>
      <c r="C250" s="957" t="s">
        <v>90</v>
      </c>
      <c r="D250" s="146">
        <v>38.090000000000003</v>
      </c>
      <c r="E250" s="144">
        <v>325.12099999999998</v>
      </c>
      <c r="F250" s="141">
        <v>12383.85</v>
      </c>
    </row>
    <row r="251" spans="1:6" ht="9.75" customHeight="1" x14ac:dyDescent="0.2">
      <c r="A251" s="957" t="s">
        <v>668</v>
      </c>
      <c r="B251" s="957" t="s">
        <v>2293</v>
      </c>
      <c r="C251" s="957" t="s">
        <v>15</v>
      </c>
      <c r="D251" s="139">
        <v>7.32</v>
      </c>
      <c r="E251" s="144">
        <v>450</v>
      </c>
      <c r="F251" s="143">
        <v>3294</v>
      </c>
    </row>
    <row r="252" spans="1:6" ht="9.75" customHeight="1" x14ac:dyDescent="0.2">
      <c r="A252" s="957" t="s">
        <v>669</v>
      </c>
      <c r="B252" s="957" t="s">
        <v>2294</v>
      </c>
      <c r="C252" s="957" t="s">
        <v>7</v>
      </c>
      <c r="D252" s="139">
        <v>1</v>
      </c>
      <c r="E252" s="142">
        <v>1000</v>
      </c>
      <c r="F252" s="143">
        <v>1000</v>
      </c>
    </row>
    <row r="253" spans="1:6" ht="9.75" customHeight="1" x14ac:dyDescent="0.2">
      <c r="A253" s="957" t="s">
        <v>2120</v>
      </c>
      <c r="B253" s="957" t="s">
        <v>2121</v>
      </c>
      <c r="C253" s="957" t="s">
        <v>7</v>
      </c>
      <c r="D253" s="139">
        <v>1</v>
      </c>
      <c r="E253" s="142">
        <v>8000</v>
      </c>
      <c r="F253" s="143">
        <v>8000</v>
      </c>
    </row>
    <row r="254" spans="1:6" ht="9.75" customHeight="1" x14ac:dyDescent="0.2">
      <c r="A254" s="957" t="s">
        <v>2295</v>
      </c>
      <c r="B254" s="957" t="s">
        <v>2296</v>
      </c>
      <c r="C254" s="957" t="s">
        <v>8</v>
      </c>
      <c r="D254" s="139">
        <v>2</v>
      </c>
      <c r="E254" s="142">
        <v>5029.1210000000001</v>
      </c>
      <c r="F254" s="141">
        <v>10058.24</v>
      </c>
    </row>
    <row r="255" spans="1:6" ht="9.75" customHeight="1" x14ac:dyDescent="0.2">
      <c r="A255" s="137" t="s">
        <v>145</v>
      </c>
      <c r="B255" s="137" t="s">
        <v>670</v>
      </c>
      <c r="C255" s="137"/>
      <c r="D255" s="138"/>
      <c r="E255" s="138"/>
      <c r="F255" s="681">
        <v>70971.149999999994</v>
      </c>
    </row>
    <row r="256" spans="1:6" ht="9.75" customHeight="1" x14ac:dyDescent="0.2">
      <c r="A256" s="137" t="s">
        <v>244</v>
      </c>
      <c r="B256" s="137" t="s">
        <v>236</v>
      </c>
      <c r="C256" s="137"/>
      <c r="D256" s="138"/>
      <c r="E256" s="138"/>
      <c r="F256" s="681">
        <v>60668.89</v>
      </c>
    </row>
    <row r="257" spans="1:6" ht="9.75" customHeight="1" x14ac:dyDescent="0.2">
      <c r="A257" s="957" t="s">
        <v>245</v>
      </c>
      <c r="B257" s="957" t="s">
        <v>1496</v>
      </c>
      <c r="C257" s="957" t="s">
        <v>8</v>
      </c>
      <c r="D257" s="146">
        <v>29</v>
      </c>
      <c r="E257" s="144">
        <v>362.935</v>
      </c>
      <c r="F257" s="141">
        <v>10525.12</v>
      </c>
    </row>
    <row r="258" spans="1:6" ht="9.75" customHeight="1" x14ac:dyDescent="0.2">
      <c r="A258" s="957" t="s">
        <v>246</v>
      </c>
      <c r="B258" s="957" t="s">
        <v>1497</v>
      </c>
      <c r="C258" s="957" t="s">
        <v>8</v>
      </c>
      <c r="D258" s="146">
        <v>82</v>
      </c>
      <c r="E258" s="144">
        <v>362.935</v>
      </c>
      <c r="F258" s="141">
        <v>29760.67</v>
      </c>
    </row>
    <row r="259" spans="1:6" ht="9.75" customHeight="1" x14ac:dyDescent="0.2">
      <c r="A259" s="957" t="s">
        <v>671</v>
      </c>
      <c r="B259" s="957" t="s">
        <v>1498</v>
      </c>
      <c r="C259" s="957" t="s">
        <v>8</v>
      </c>
      <c r="D259" s="146">
        <v>13</v>
      </c>
      <c r="E259" s="144">
        <v>548.07500000000005</v>
      </c>
      <c r="F259" s="143">
        <v>7124.98</v>
      </c>
    </row>
    <row r="260" spans="1:6" ht="9.75" customHeight="1" x14ac:dyDescent="0.2">
      <c r="A260" s="957" t="s">
        <v>672</v>
      </c>
      <c r="B260" s="957" t="s">
        <v>2297</v>
      </c>
      <c r="C260" s="957" t="s">
        <v>8</v>
      </c>
      <c r="D260" s="139">
        <v>1</v>
      </c>
      <c r="E260" s="144">
        <v>548.07500000000005</v>
      </c>
      <c r="F260" s="145">
        <v>548.08000000000004</v>
      </c>
    </row>
    <row r="261" spans="1:6" ht="9.75" customHeight="1" x14ac:dyDescent="0.2">
      <c r="A261" s="957" t="s">
        <v>673</v>
      </c>
      <c r="B261" s="957" t="s">
        <v>2298</v>
      </c>
      <c r="C261" s="957" t="s">
        <v>8</v>
      </c>
      <c r="D261" s="146">
        <v>24</v>
      </c>
      <c r="E261" s="144">
        <v>529.58500000000004</v>
      </c>
      <c r="F261" s="141">
        <v>12710.04</v>
      </c>
    </row>
    <row r="262" spans="1:6" ht="9.75" customHeight="1" x14ac:dyDescent="0.2">
      <c r="A262" s="137" t="s">
        <v>247</v>
      </c>
      <c r="B262" s="137" t="s">
        <v>242</v>
      </c>
      <c r="C262" s="137"/>
      <c r="D262" s="138"/>
      <c r="E262" s="138"/>
      <c r="F262" s="681">
        <v>10302.26</v>
      </c>
    </row>
    <row r="263" spans="1:6" ht="9.75" customHeight="1" x14ac:dyDescent="0.2">
      <c r="A263" s="957" t="s">
        <v>248</v>
      </c>
      <c r="B263" s="957" t="s">
        <v>2299</v>
      </c>
      <c r="C263" s="957" t="s">
        <v>8</v>
      </c>
      <c r="D263" s="146">
        <v>13</v>
      </c>
      <c r="E263" s="146">
        <v>67.241600000000005</v>
      </c>
      <c r="F263" s="145">
        <v>874.14</v>
      </c>
    </row>
    <row r="264" spans="1:6" ht="9.75" customHeight="1" x14ac:dyDescent="0.2">
      <c r="A264" s="957" t="s">
        <v>249</v>
      </c>
      <c r="B264" s="957" t="s">
        <v>2300</v>
      </c>
      <c r="C264" s="957" t="s">
        <v>8</v>
      </c>
      <c r="D264" s="139">
        <v>1</v>
      </c>
      <c r="E264" s="146">
        <v>41.451999999999998</v>
      </c>
      <c r="F264" s="147">
        <v>41.45</v>
      </c>
    </row>
    <row r="265" spans="1:6" ht="9.75" customHeight="1" x14ac:dyDescent="0.2">
      <c r="A265" s="957" t="s">
        <v>674</v>
      </c>
      <c r="B265" s="957" t="s">
        <v>497</v>
      </c>
      <c r="C265" s="957" t="s">
        <v>8</v>
      </c>
      <c r="D265" s="146">
        <v>60</v>
      </c>
      <c r="E265" s="146">
        <v>38.854900000000001</v>
      </c>
      <c r="F265" s="143">
        <v>2331.29</v>
      </c>
    </row>
    <row r="266" spans="1:6" ht="9.75" customHeight="1" x14ac:dyDescent="0.2">
      <c r="A266" s="957" t="s">
        <v>675</v>
      </c>
      <c r="B266" s="957" t="s">
        <v>499</v>
      </c>
      <c r="C266" s="957" t="s">
        <v>8</v>
      </c>
      <c r="D266" s="146">
        <v>51</v>
      </c>
      <c r="E266" s="146">
        <v>41.451999999999998</v>
      </c>
      <c r="F266" s="143">
        <v>2114.0500000000002</v>
      </c>
    </row>
    <row r="267" spans="1:6" ht="9.75" customHeight="1" x14ac:dyDescent="0.2">
      <c r="A267" s="957" t="s">
        <v>676</v>
      </c>
      <c r="B267" s="957" t="s">
        <v>1501</v>
      </c>
      <c r="C267" s="957" t="s">
        <v>8</v>
      </c>
      <c r="D267" s="146">
        <v>24</v>
      </c>
      <c r="E267" s="146">
        <v>44.9</v>
      </c>
      <c r="F267" s="143">
        <v>1077.5999999999999</v>
      </c>
    </row>
    <row r="268" spans="1:6" ht="9.75" customHeight="1" x14ac:dyDescent="0.2">
      <c r="A268" s="957" t="s">
        <v>2301</v>
      </c>
      <c r="B268" s="957" t="s">
        <v>2302</v>
      </c>
      <c r="C268" s="957" t="s">
        <v>1003</v>
      </c>
      <c r="D268" s="144">
        <v>155</v>
      </c>
      <c r="E268" s="146">
        <v>12.5</v>
      </c>
      <c r="F268" s="143">
        <v>1937.5</v>
      </c>
    </row>
    <row r="269" spans="1:6" ht="9.75" customHeight="1" x14ac:dyDescent="0.2">
      <c r="A269" s="957" t="s">
        <v>2303</v>
      </c>
      <c r="B269" s="957" t="s">
        <v>418</v>
      </c>
      <c r="C269" s="957" t="s">
        <v>8</v>
      </c>
      <c r="D269" s="146">
        <v>12</v>
      </c>
      <c r="E269" s="144">
        <v>160.51949999999999</v>
      </c>
      <c r="F269" s="143">
        <v>1926.23</v>
      </c>
    </row>
    <row r="270" spans="1:6" ht="9.75" customHeight="1" x14ac:dyDescent="0.2">
      <c r="A270" s="137" t="s">
        <v>146</v>
      </c>
      <c r="B270" s="137" t="s">
        <v>691</v>
      </c>
      <c r="C270" s="137"/>
      <c r="D270" s="138"/>
      <c r="E270" s="138"/>
      <c r="F270" s="680">
        <v>936245.66</v>
      </c>
    </row>
    <row r="271" spans="1:6" ht="9.75" customHeight="1" x14ac:dyDescent="0.2">
      <c r="A271" s="957" t="s">
        <v>677</v>
      </c>
      <c r="B271" s="957" t="s">
        <v>2122</v>
      </c>
      <c r="C271" s="957" t="s">
        <v>7</v>
      </c>
      <c r="D271" s="139">
        <v>1</v>
      </c>
      <c r="E271" s="149">
        <v>158666.00279999999</v>
      </c>
      <c r="F271" s="683">
        <v>158666</v>
      </c>
    </row>
    <row r="272" spans="1:6" ht="9.75" customHeight="1" x14ac:dyDescent="0.2">
      <c r="A272" s="957" t="s">
        <v>678</v>
      </c>
      <c r="B272" s="957" t="s">
        <v>2123</v>
      </c>
      <c r="C272" s="957" t="s">
        <v>7</v>
      </c>
      <c r="D272" s="139">
        <v>1</v>
      </c>
      <c r="E272" s="149">
        <v>146380.242</v>
      </c>
      <c r="F272" s="683">
        <v>146380.24</v>
      </c>
    </row>
    <row r="273" spans="1:6" ht="9.75" customHeight="1" x14ac:dyDescent="0.2">
      <c r="A273" s="957" t="s">
        <v>679</v>
      </c>
      <c r="B273" s="957" t="s">
        <v>2124</v>
      </c>
      <c r="C273" s="957" t="s">
        <v>7</v>
      </c>
      <c r="D273" s="139">
        <v>1</v>
      </c>
      <c r="E273" s="149">
        <v>123116.2</v>
      </c>
      <c r="F273" s="683">
        <v>123116.2</v>
      </c>
    </row>
    <row r="274" spans="1:6" ht="9.75" customHeight="1" x14ac:dyDescent="0.2">
      <c r="A274" s="957" t="s">
        <v>680</v>
      </c>
      <c r="B274" s="957" t="s">
        <v>1969</v>
      </c>
      <c r="C274" s="957" t="s">
        <v>7</v>
      </c>
      <c r="D274" s="139">
        <v>1</v>
      </c>
      <c r="E274" s="149">
        <v>129578.30899999999</v>
      </c>
      <c r="F274" s="683">
        <v>129578.31</v>
      </c>
    </row>
    <row r="275" spans="1:6" ht="9.75" customHeight="1" x14ac:dyDescent="0.2">
      <c r="A275" s="957" t="s">
        <v>681</v>
      </c>
      <c r="B275" s="957" t="s">
        <v>472</v>
      </c>
      <c r="C275" s="957" t="s">
        <v>7</v>
      </c>
      <c r="D275" s="139">
        <v>1</v>
      </c>
      <c r="E275" s="140">
        <v>18808.91</v>
      </c>
      <c r="F275" s="141">
        <v>18808.91</v>
      </c>
    </row>
    <row r="276" spans="1:6" ht="9.75" customHeight="1" x14ac:dyDescent="0.2">
      <c r="A276" s="957" t="s">
        <v>682</v>
      </c>
      <c r="B276" s="957" t="s">
        <v>2125</v>
      </c>
      <c r="C276" s="957" t="s">
        <v>7</v>
      </c>
      <c r="D276" s="139">
        <v>1</v>
      </c>
      <c r="E276" s="140">
        <v>15000</v>
      </c>
      <c r="F276" s="141">
        <v>15000</v>
      </c>
    </row>
    <row r="277" spans="1:6" ht="9.75" customHeight="1" x14ac:dyDescent="0.2">
      <c r="A277" s="957" t="s">
        <v>683</v>
      </c>
      <c r="B277" s="957" t="s">
        <v>789</v>
      </c>
      <c r="C277" s="957" t="s">
        <v>7</v>
      </c>
      <c r="D277" s="139">
        <v>1</v>
      </c>
      <c r="E277" s="140">
        <v>22320</v>
      </c>
      <c r="F277" s="141">
        <v>22320</v>
      </c>
    </row>
    <row r="278" spans="1:6" ht="9.75" customHeight="1" x14ac:dyDescent="0.2">
      <c r="A278" s="957" t="s">
        <v>684</v>
      </c>
      <c r="B278" s="957" t="s">
        <v>468</v>
      </c>
      <c r="C278" s="957" t="s">
        <v>7</v>
      </c>
      <c r="D278" s="139">
        <v>1</v>
      </c>
      <c r="E278" s="140">
        <v>30779.05</v>
      </c>
      <c r="F278" s="141">
        <v>30779.05</v>
      </c>
    </row>
    <row r="279" spans="1:6" ht="9.75" customHeight="1" x14ac:dyDescent="0.2">
      <c r="A279" s="957" t="s">
        <v>685</v>
      </c>
      <c r="B279" s="957" t="s">
        <v>409</v>
      </c>
      <c r="C279" s="957" t="s">
        <v>7</v>
      </c>
      <c r="D279" s="139">
        <v>1</v>
      </c>
      <c r="E279" s="142">
        <v>5086.5</v>
      </c>
      <c r="F279" s="143">
        <v>5086.5</v>
      </c>
    </row>
    <row r="280" spans="1:6" ht="9.75" customHeight="1" x14ac:dyDescent="0.2">
      <c r="A280" s="957" t="s">
        <v>686</v>
      </c>
      <c r="B280" s="957" t="s">
        <v>790</v>
      </c>
      <c r="C280" s="957" t="s">
        <v>7</v>
      </c>
      <c r="D280" s="139">
        <v>1</v>
      </c>
      <c r="E280" s="140">
        <v>17979.499199999998</v>
      </c>
      <c r="F280" s="141">
        <v>17979.5</v>
      </c>
    </row>
    <row r="281" spans="1:6" ht="9.75" customHeight="1" x14ac:dyDescent="0.2">
      <c r="A281" s="957" t="s">
        <v>687</v>
      </c>
      <c r="B281" s="957" t="s">
        <v>2304</v>
      </c>
      <c r="C281" s="957" t="s">
        <v>8</v>
      </c>
      <c r="D281" s="139">
        <v>2</v>
      </c>
      <c r="E281" s="140">
        <v>98672.976500000004</v>
      </c>
      <c r="F281" s="683">
        <v>197345.95</v>
      </c>
    </row>
    <row r="282" spans="1:6" ht="9.75" customHeight="1" x14ac:dyDescent="0.2">
      <c r="A282" s="957" t="s">
        <v>688</v>
      </c>
      <c r="B282" s="957" t="s">
        <v>413</v>
      </c>
      <c r="C282" s="957" t="s">
        <v>7</v>
      </c>
      <c r="D282" s="139">
        <v>1</v>
      </c>
      <c r="E282" s="142">
        <v>3000</v>
      </c>
      <c r="F282" s="143">
        <v>3000</v>
      </c>
    </row>
    <row r="283" spans="1:6" ht="9.75" customHeight="1" x14ac:dyDescent="0.2">
      <c r="A283" s="957" t="s">
        <v>689</v>
      </c>
      <c r="B283" s="957" t="s">
        <v>791</v>
      </c>
      <c r="C283" s="957" t="s">
        <v>7</v>
      </c>
      <c r="D283" s="139">
        <v>1</v>
      </c>
      <c r="E283" s="140">
        <v>15000</v>
      </c>
      <c r="F283" s="141">
        <v>15000</v>
      </c>
    </row>
    <row r="284" spans="1:6" ht="9.75" customHeight="1" x14ac:dyDescent="0.2">
      <c r="A284" s="957" t="s">
        <v>690</v>
      </c>
      <c r="B284" s="957" t="s">
        <v>2305</v>
      </c>
      <c r="C284" s="957" t="s">
        <v>7</v>
      </c>
      <c r="D284" s="139">
        <v>1</v>
      </c>
      <c r="E284" s="140">
        <v>10000</v>
      </c>
      <c r="F284" s="141">
        <v>10000</v>
      </c>
    </row>
    <row r="285" spans="1:6" ht="9.75" customHeight="1" x14ac:dyDescent="0.2">
      <c r="A285" s="957" t="s">
        <v>1370</v>
      </c>
      <c r="B285" s="957" t="s">
        <v>2127</v>
      </c>
      <c r="C285" s="957" t="s">
        <v>2035</v>
      </c>
      <c r="D285" s="146">
        <v>62</v>
      </c>
      <c r="E285" s="144">
        <v>200</v>
      </c>
      <c r="F285" s="141">
        <v>12400</v>
      </c>
    </row>
    <row r="286" spans="1:6" ht="9.75" customHeight="1" x14ac:dyDescent="0.2">
      <c r="A286" s="957" t="s">
        <v>1970</v>
      </c>
      <c r="B286" s="957" t="s">
        <v>2306</v>
      </c>
      <c r="C286" s="957" t="s">
        <v>8</v>
      </c>
      <c r="D286" s="146">
        <v>29</v>
      </c>
      <c r="E286" s="144">
        <v>165</v>
      </c>
      <c r="F286" s="143">
        <v>4785</v>
      </c>
    </row>
    <row r="287" spans="1:6" ht="9.75" customHeight="1" x14ac:dyDescent="0.2">
      <c r="A287" s="957" t="s">
        <v>1971</v>
      </c>
      <c r="B287" s="957" t="s">
        <v>2307</v>
      </c>
      <c r="C287" s="957" t="s">
        <v>7</v>
      </c>
      <c r="D287" s="139">
        <v>1</v>
      </c>
      <c r="E287" s="142">
        <v>1000</v>
      </c>
      <c r="F287" s="143">
        <v>1000</v>
      </c>
    </row>
    <row r="288" spans="1:6" ht="9.75" customHeight="1" x14ac:dyDescent="0.2">
      <c r="A288" s="957" t="s">
        <v>2126</v>
      </c>
      <c r="B288" s="957" t="s">
        <v>2308</v>
      </c>
      <c r="C288" s="957" t="s">
        <v>7</v>
      </c>
      <c r="D288" s="139">
        <v>1</v>
      </c>
      <c r="E288" s="140">
        <v>25000</v>
      </c>
      <c r="F288" s="141">
        <v>25000</v>
      </c>
    </row>
    <row r="289" spans="1:6" ht="9.75" customHeight="1" x14ac:dyDescent="0.2">
      <c r="A289" s="137" t="s">
        <v>147</v>
      </c>
      <c r="B289" s="137" t="s">
        <v>693</v>
      </c>
      <c r="C289" s="137"/>
      <c r="D289" s="138"/>
      <c r="E289" s="138"/>
      <c r="F289" s="681">
        <v>83170.31</v>
      </c>
    </row>
    <row r="290" spans="1:6" ht="9.75" customHeight="1" x14ac:dyDescent="0.2">
      <c r="A290" s="957" t="s">
        <v>254</v>
      </c>
      <c r="B290" s="957" t="s">
        <v>491</v>
      </c>
      <c r="C290" s="957" t="s">
        <v>90</v>
      </c>
      <c r="D290" s="146">
        <v>63.19</v>
      </c>
      <c r="E290" s="144">
        <v>676.79819999999995</v>
      </c>
      <c r="F290" s="141">
        <v>42766.879999999997</v>
      </c>
    </row>
    <row r="291" spans="1:6" ht="9.75" customHeight="1" x14ac:dyDescent="0.2">
      <c r="A291" s="957" t="s">
        <v>255</v>
      </c>
      <c r="B291" s="957" t="s">
        <v>2309</v>
      </c>
      <c r="C291" s="957" t="s">
        <v>90</v>
      </c>
      <c r="D291" s="139">
        <v>3.78</v>
      </c>
      <c r="E291" s="144">
        <v>645.44880000000001</v>
      </c>
      <c r="F291" s="143">
        <v>2439.8000000000002</v>
      </c>
    </row>
    <row r="292" spans="1:6" ht="9.75" customHeight="1" x14ac:dyDescent="0.2">
      <c r="A292" s="957" t="s">
        <v>256</v>
      </c>
      <c r="B292" s="957" t="s">
        <v>2310</v>
      </c>
      <c r="C292" s="957" t="s">
        <v>90</v>
      </c>
      <c r="D292" s="146">
        <v>25.64</v>
      </c>
      <c r="E292" s="142">
        <v>1068.7845</v>
      </c>
      <c r="F292" s="141">
        <v>27403.63</v>
      </c>
    </row>
    <row r="293" spans="1:6" ht="9.75" customHeight="1" x14ac:dyDescent="0.2">
      <c r="A293" s="957" t="s">
        <v>692</v>
      </c>
      <c r="B293" s="957" t="s">
        <v>417</v>
      </c>
      <c r="C293" s="957" t="s">
        <v>8</v>
      </c>
      <c r="D293" s="144">
        <v>110</v>
      </c>
      <c r="E293" s="146">
        <v>96</v>
      </c>
      <c r="F293" s="141">
        <v>10560</v>
      </c>
    </row>
    <row r="294" spans="1:6" ht="9.75" customHeight="1" x14ac:dyDescent="0.2">
      <c r="A294" s="137" t="s">
        <v>148</v>
      </c>
      <c r="B294" s="137" t="s">
        <v>694</v>
      </c>
      <c r="C294" s="137"/>
      <c r="D294" s="138"/>
      <c r="E294" s="138"/>
      <c r="F294" s="680">
        <v>111578.37</v>
      </c>
    </row>
    <row r="295" spans="1:6" ht="9.75" customHeight="1" x14ac:dyDescent="0.2">
      <c r="A295" s="137" t="s">
        <v>792</v>
      </c>
      <c r="B295" s="137" t="s">
        <v>695</v>
      </c>
      <c r="C295" s="137"/>
      <c r="D295" s="138"/>
      <c r="E295" s="138"/>
      <c r="F295" s="681">
        <v>21453.14</v>
      </c>
    </row>
    <row r="296" spans="1:6" ht="9.75" customHeight="1" x14ac:dyDescent="0.2">
      <c r="A296" s="957" t="s">
        <v>793</v>
      </c>
      <c r="B296" s="957" t="s">
        <v>1508</v>
      </c>
      <c r="C296" s="957" t="s">
        <v>8</v>
      </c>
      <c r="D296" s="146">
        <v>51</v>
      </c>
      <c r="E296" s="144">
        <v>357.27140000000003</v>
      </c>
      <c r="F296" s="141">
        <v>18220.84</v>
      </c>
    </row>
    <row r="297" spans="1:6" ht="9.75" customHeight="1" x14ac:dyDescent="0.2">
      <c r="A297" s="957" t="s">
        <v>794</v>
      </c>
      <c r="B297" s="957" t="s">
        <v>1972</v>
      </c>
      <c r="C297" s="957" t="s">
        <v>8</v>
      </c>
      <c r="D297" s="146">
        <v>13</v>
      </c>
      <c r="E297" s="144">
        <v>194.92140000000001</v>
      </c>
      <c r="F297" s="143">
        <v>2533.98</v>
      </c>
    </row>
    <row r="298" spans="1:6" ht="9.75" customHeight="1" x14ac:dyDescent="0.2">
      <c r="A298" s="957" t="s">
        <v>795</v>
      </c>
      <c r="B298" s="957" t="s">
        <v>796</v>
      </c>
      <c r="C298" s="957" t="s">
        <v>8</v>
      </c>
      <c r="D298" s="139">
        <v>1</v>
      </c>
      <c r="E298" s="144">
        <v>698.32140000000004</v>
      </c>
      <c r="F298" s="145">
        <v>698.32</v>
      </c>
    </row>
    <row r="299" spans="1:6" ht="9.75" customHeight="1" x14ac:dyDescent="0.2">
      <c r="A299" s="137" t="s">
        <v>797</v>
      </c>
      <c r="B299" s="137" t="s">
        <v>696</v>
      </c>
      <c r="C299" s="137"/>
      <c r="D299" s="138"/>
      <c r="E299" s="138"/>
      <c r="F299" s="681">
        <v>21601.7</v>
      </c>
    </row>
    <row r="300" spans="1:6" ht="9.75" customHeight="1" x14ac:dyDescent="0.2">
      <c r="A300" s="957" t="s">
        <v>798</v>
      </c>
      <c r="B300" s="957" t="s">
        <v>2128</v>
      </c>
      <c r="C300" s="957" t="s">
        <v>8</v>
      </c>
      <c r="D300" s="146">
        <v>15</v>
      </c>
      <c r="E300" s="144">
        <v>263.14</v>
      </c>
      <c r="F300" s="143">
        <v>3947.1</v>
      </c>
    </row>
    <row r="301" spans="1:6" ht="9.75" customHeight="1" x14ac:dyDescent="0.2">
      <c r="A301" s="957" t="s">
        <v>799</v>
      </c>
      <c r="B301" s="957" t="s">
        <v>2129</v>
      </c>
      <c r="C301" s="957" t="s">
        <v>8</v>
      </c>
      <c r="D301" s="146">
        <v>15</v>
      </c>
      <c r="E301" s="144">
        <v>166.8218</v>
      </c>
      <c r="F301" s="143">
        <v>2502.33</v>
      </c>
    </row>
    <row r="302" spans="1:6" ht="9.75" customHeight="1" x14ac:dyDescent="0.2">
      <c r="A302" s="957" t="s">
        <v>800</v>
      </c>
      <c r="B302" s="957" t="s">
        <v>2311</v>
      </c>
      <c r="C302" s="957" t="s">
        <v>8</v>
      </c>
      <c r="D302" s="146">
        <v>49</v>
      </c>
      <c r="E302" s="144">
        <v>309.23</v>
      </c>
      <c r="F302" s="141">
        <v>15152.27</v>
      </c>
    </row>
    <row r="303" spans="1:6" ht="9.75" customHeight="1" x14ac:dyDescent="0.2">
      <c r="A303" s="137" t="s">
        <v>801</v>
      </c>
      <c r="B303" s="137" t="s">
        <v>698</v>
      </c>
      <c r="C303" s="137"/>
      <c r="D303" s="138"/>
      <c r="E303" s="138"/>
      <c r="F303" s="685">
        <v>2493.14</v>
      </c>
    </row>
    <row r="304" spans="1:6" ht="9.75" customHeight="1" x14ac:dyDescent="0.2">
      <c r="A304" s="957" t="s">
        <v>802</v>
      </c>
      <c r="B304" s="957" t="s">
        <v>2312</v>
      </c>
      <c r="C304" s="957" t="s">
        <v>8</v>
      </c>
      <c r="D304" s="146">
        <v>13</v>
      </c>
      <c r="E304" s="144">
        <v>191.78</v>
      </c>
      <c r="F304" s="143">
        <v>2493.14</v>
      </c>
    </row>
    <row r="305" spans="1:6" ht="9.75" customHeight="1" x14ac:dyDescent="0.2">
      <c r="A305" s="137" t="s">
        <v>803</v>
      </c>
      <c r="B305" s="137" t="s">
        <v>701</v>
      </c>
      <c r="C305" s="137"/>
      <c r="D305" s="138"/>
      <c r="E305" s="138"/>
      <c r="F305" s="684">
        <v>957.58</v>
      </c>
    </row>
    <row r="306" spans="1:6" ht="9.75" customHeight="1" x14ac:dyDescent="0.2">
      <c r="A306" s="957" t="s">
        <v>804</v>
      </c>
      <c r="B306" s="957" t="s">
        <v>2130</v>
      </c>
      <c r="C306" s="957" t="s">
        <v>8</v>
      </c>
      <c r="D306" s="146">
        <v>13</v>
      </c>
      <c r="E306" s="146">
        <v>73.66</v>
      </c>
      <c r="F306" s="145">
        <v>957.58</v>
      </c>
    </row>
    <row r="307" spans="1:6" ht="9.75" customHeight="1" x14ac:dyDescent="0.2">
      <c r="A307" s="137" t="s">
        <v>805</v>
      </c>
      <c r="B307" s="137" t="s">
        <v>705</v>
      </c>
      <c r="C307" s="137"/>
      <c r="D307" s="138"/>
      <c r="E307" s="138"/>
      <c r="F307" s="681">
        <v>28776.17</v>
      </c>
    </row>
    <row r="308" spans="1:6" ht="9.75" customHeight="1" x14ac:dyDescent="0.2">
      <c r="A308" s="957" t="s">
        <v>806</v>
      </c>
      <c r="B308" s="957" t="s">
        <v>2313</v>
      </c>
      <c r="C308" s="957" t="s">
        <v>8</v>
      </c>
      <c r="D308" s="146">
        <v>13</v>
      </c>
      <c r="E308" s="146">
        <v>91.091800000000006</v>
      </c>
      <c r="F308" s="143">
        <v>1184.19</v>
      </c>
    </row>
    <row r="309" spans="1:6" ht="9.75" customHeight="1" x14ac:dyDescent="0.2">
      <c r="A309" s="957" t="s">
        <v>807</v>
      </c>
      <c r="B309" s="957" t="s">
        <v>2314</v>
      </c>
      <c r="C309" s="957" t="s">
        <v>8</v>
      </c>
      <c r="D309" s="146">
        <v>13</v>
      </c>
      <c r="E309" s="146">
        <v>94.501800000000003</v>
      </c>
      <c r="F309" s="143">
        <v>1228.52</v>
      </c>
    </row>
    <row r="310" spans="1:6" ht="9.75" customHeight="1" x14ac:dyDescent="0.2">
      <c r="A310" s="957" t="s">
        <v>808</v>
      </c>
      <c r="B310" s="957" t="s">
        <v>2315</v>
      </c>
      <c r="C310" s="957" t="s">
        <v>8</v>
      </c>
      <c r="D310" s="146">
        <v>15</v>
      </c>
      <c r="E310" s="144">
        <v>211.2518</v>
      </c>
      <c r="F310" s="143">
        <v>3168.78</v>
      </c>
    </row>
    <row r="311" spans="1:6" ht="9.75" customHeight="1" x14ac:dyDescent="0.2">
      <c r="A311" s="957" t="s">
        <v>809</v>
      </c>
      <c r="B311" s="957" t="s">
        <v>2131</v>
      </c>
      <c r="C311" s="957" t="s">
        <v>8</v>
      </c>
      <c r="D311" s="139">
        <v>7</v>
      </c>
      <c r="E311" s="146">
        <v>45.271799999999999</v>
      </c>
      <c r="F311" s="145">
        <v>316.89999999999998</v>
      </c>
    </row>
    <row r="312" spans="1:6" ht="19.350000000000001" customHeight="1" x14ac:dyDescent="0.2">
      <c r="A312" s="957" t="s">
        <v>2316</v>
      </c>
      <c r="B312" s="957" t="s">
        <v>2317</v>
      </c>
      <c r="C312" s="957" t="s">
        <v>8</v>
      </c>
      <c r="D312" s="146">
        <v>49</v>
      </c>
      <c r="E312" s="144">
        <v>232.9418</v>
      </c>
      <c r="F312" s="141">
        <v>11414.15</v>
      </c>
    </row>
    <row r="313" spans="1:6" ht="9.75" customHeight="1" x14ac:dyDescent="0.2">
      <c r="A313" s="957" t="s">
        <v>2318</v>
      </c>
      <c r="B313" s="957" t="s">
        <v>2132</v>
      </c>
      <c r="C313" s="957" t="s">
        <v>8</v>
      </c>
      <c r="D313" s="146">
        <v>15</v>
      </c>
      <c r="E313" s="144">
        <v>289.52179999999998</v>
      </c>
      <c r="F313" s="143">
        <v>4342.83</v>
      </c>
    </row>
    <row r="314" spans="1:6" ht="9.75" customHeight="1" x14ac:dyDescent="0.2">
      <c r="A314" s="957" t="s">
        <v>2319</v>
      </c>
      <c r="B314" s="957" t="s">
        <v>506</v>
      </c>
      <c r="C314" s="957" t="s">
        <v>8</v>
      </c>
      <c r="D314" s="146">
        <v>36</v>
      </c>
      <c r="E314" s="144">
        <v>197.8</v>
      </c>
      <c r="F314" s="143">
        <v>7120.8</v>
      </c>
    </row>
    <row r="315" spans="1:6" ht="9.75" customHeight="1" x14ac:dyDescent="0.2">
      <c r="A315" s="137" t="s">
        <v>810</v>
      </c>
      <c r="B315" s="137" t="s">
        <v>708</v>
      </c>
      <c r="C315" s="137"/>
      <c r="D315" s="138"/>
      <c r="E315" s="138"/>
      <c r="F315" s="685">
        <v>4650.8</v>
      </c>
    </row>
    <row r="316" spans="1:6" ht="9.75" customHeight="1" x14ac:dyDescent="0.2">
      <c r="A316" s="957" t="s">
        <v>811</v>
      </c>
      <c r="B316" s="957" t="s">
        <v>2133</v>
      </c>
      <c r="C316" s="957" t="s">
        <v>8</v>
      </c>
      <c r="D316" s="144">
        <v>140</v>
      </c>
      <c r="E316" s="146">
        <v>33.22</v>
      </c>
      <c r="F316" s="143">
        <v>4650.8</v>
      </c>
    </row>
    <row r="317" spans="1:6" ht="9.75" customHeight="1" x14ac:dyDescent="0.2">
      <c r="A317" s="137" t="s">
        <v>812</v>
      </c>
      <c r="B317" s="137" t="s">
        <v>710</v>
      </c>
      <c r="C317" s="137"/>
      <c r="D317" s="138"/>
      <c r="E317" s="138"/>
      <c r="F317" s="681">
        <v>31645.84</v>
      </c>
    </row>
    <row r="318" spans="1:6" ht="9.75" customHeight="1" x14ac:dyDescent="0.2">
      <c r="A318" s="957" t="s">
        <v>813</v>
      </c>
      <c r="B318" s="957" t="s">
        <v>507</v>
      </c>
      <c r="C318" s="957" t="s">
        <v>8</v>
      </c>
      <c r="D318" s="139">
        <v>1</v>
      </c>
      <c r="E318" s="144">
        <v>245.84</v>
      </c>
      <c r="F318" s="145">
        <v>245.84</v>
      </c>
    </row>
    <row r="319" spans="1:6" ht="9.75" customHeight="1" x14ac:dyDescent="0.2">
      <c r="A319" s="957" t="s">
        <v>2134</v>
      </c>
      <c r="B319" s="957" t="s">
        <v>2135</v>
      </c>
      <c r="C319" s="957" t="s">
        <v>8</v>
      </c>
      <c r="D319" s="139">
        <v>2</v>
      </c>
      <c r="E319" s="140">
        <v>15700</v>
      </c>
      <c r="F319" s="141">
        <v>31400</v>
      </c>
    </row>
    <row r="320" spans="1:6" ht="9.75" customHeight="1" x14ac:dyDescent="0.2">
      <c r="A320" s="137" t="s">
        <v>149</v>
      </c>
      <c r="B320" s="137" t="s">
        <v>9</v>
      </c>
      <c r="C320" s="137"/>
      <c r="D320" s="138"/>
      <c r="E320" s="138"/>
      <c r="F320" s="680">
        <v>182995.47</v>
      </c>
    </row>
    <row r="321" spans="1:6" ht="9.75" customHeight="1" x14ac:dyDescent="0.2">
      <c r="A321" s="957" t="s">
        <v>2136</v>
      </c>
      <c r="B321" s="957" t="s">
        <v>494</v>
      </c>
      <c r="C321" s="957" t="s">
        <v>7</v>
      </c>
      <c r="D321" s="139">
        <v>1</v>
      </c>
      <c r="E321" s="149">
        <v>126064.334</v>
      </c>
      <c r="F321" s="683">
        <v>126064.33</v>
      </c>
    </row>
    <row r="322" spans="1:6" ht="9.75" customHeight="1" x14ac:dyDescent="0.2">
      <c r="A322" s="137" t="s">
        <v>257</v>
      </c>
      <c r="B322" s="137" t="s">
        <v>712</v>
      </c>
      <c r="C322" s="137"/>
      <c r="D322" s="138"/>
      <c r="E322" s="138"/>
      <c r="F322" s="681">
        <v>19169.36</v>
      </c>
    </row>
    <row r="323" spans="1:6" ht="9.75" customHeight="1" x14ac:dyDescent="0.2">
      <c r="A323" s="957" t="s">
        <v>258</v>
      </c>
      <c r="B323" s="957" t="s">
        <v>2137</v>
      </c>
      <c r="C323" s="957" t="s">
        <v>90</v>
      </c>
      <c r="D323" s="142">
        <v>4600.5</v>
      </c>
      <c r="E323" s="139">
        <v>4.1668000000000003</v>
      </c>
      <c r="F323" s="141">
        <v>19169.36</v>
      </c>
    </row>
    <row r="324" spans="1:6" ht="9.75" customHeight="1" x14ac:dyDescent="0.2">
      <c r="A324" s="137" t="s">
        <v>259</v>
      </c>
      <c r="B324" s="137" t="s">
        <v>251</v>
      </c>
      <c r="C324" s="137"/>
      <c r="D324" s="138"/>
      <c r="E324" s="138"/>
      <c r="F324" s="685">
        <v>6174.47</v>
      </c>
    </row>
    <row r="325" spans="1:6" ht="9.75" customHeight="1" x14ac:dyDescent="0.2">
      <c r="A325" s="957" t="s">
        <v>260</v>
      </c>
      <c r="B325" s="957" t="s">
        <v>2138</v>
      </c>
      <c r="C325" s="957" t="s">
        <v>90</v>
      </c>
      <c r="D325" s="142">
        <v>4386.21</v>
      </c>
      <c r="E325" s="139">
        <v>1.4077</v>
      </c>
      <c r="F325" s="143">
        <v>6174.47</v>
      </c>
    </row>
    <row r="326" spans="1:6" ht="9.75" customHeight="1" x14ac:dyDescent="0.2">
      <c r="A326" s="137" t="s">
        <v>697</v>
      </c>
      <c r="B326" s="137" t="s">
        <v>719</v>
      </c>
      <c r="C326" s="137"/>
      <c r="D326" s="138"/>
      <c r="E326" s="138"/>
      <c r="F326" s="685">
        <v>1288.53</v>
      </c>
    </row>
    <row r="327" spans="1:6" ht="9.75" customHeight="1" x14ac:dyDescent="0.2">
      <c r="A327" s="957" t="s">
        <v>699</v>
      </c>
      <c r="B327" s="957" t="s">
        <v>2139</v>
      </c>
      <c r="C327" s="957" t="s">
        <v>90</v>
      </c>
      <c r="D327" s="144">
        <v>165.38</v>
      </c>
      <c r="E327" s="139">
        <v>7.7912999999999997</v>
      </c>
      <c r="F327" s="143">
        <v>1288.53</v>
      </c>
    </row>
    <row r="328" spans="1:6" ht="9.75" customHeight="1" x14ac:dyDescent="0.2">
      <c r="A328" s="137" t="s">
        <v>700</v>
      </c>
      <c r="B328" s="137" t="s">
        <v>252</v>
      </c>
      <c r="C328" s="137"/>
      <c r="D328" s="138"/>
      <c r="E328" s="138"/>
      <c r="F328" s="685">
        <v>3040.09</v>
      </c>
    </row>
    <row r="329" spans="1:6" ht="9.75" customHeight="1" x14ac:dyDescent="0.2">
      <c r="A329" s="957" t="s">
        <v>702</v>
      </c>
      <c r="B329" s="957" t="s">
        <v>253</v>
      </c>
      <c r="C329" s="957" t="s">
        <v>15</v>
      </c>
      <c r="D329" s="144">
        <v>481.07</v>
      </c>
      <c r="E329" s="139">
        <v>1.0538000000000001</v>
      </c>
      <c r="F329" s="145">
        <v>506.95</v>
      </c>
    </row>
    <row r="330" spans="1:6" ht="9.75" customHeight="1" x14ac:dyDescent="0.2">
      <c r="A330" s="957" t="s">
        <v>703</v>
      </c>
      <c r="B330" s="957" t="s">
        <v>2140</v>
      </c>
      <c r="C330" s="957" t="s">
        <v>15</v>
      </c>
      <c r="D330" s="144">
        <v>257.18</v>
      </c>
      <c r="E330" s="139">
        <v>5.3258000000000001</v>
      </c>
      <c r="F330" s="143">
        <v>1369.69</v>
      </c>
    </row>
    <row r="331" spans="1:6" ht="9.75" customHeight="1" x14ac:dyDescent="0.2">
      <c r="A331" s="957" t="s">
        <v>814</v>
      </c>
      <c r="B331" s="957" t="s">
        <v>504</v>
      </c>
      <c r="C331" s="957" t="s">
        <v>7</v>
      </c>
      <c r="D331" s="139">
        <v>1</v>
      </c>
      <c r="E331" s="142">
        <v>1163.4480000000001</v>
      </c>
      <c r="F331" s="143">
        <v>1163.45</v>
      </c>
    </row>
    <row r="332" spans="1:6" ht="9.75" customHeight="1" x14ac:dyDescent="0.2">
      <c r="A332" s="137" t="s">
        <v>704</v>
      </c>
      <c r="B332" s="137" t="s">
        <v>487</v>
      </c>
      <c r="C332" s="137"/>
      <c r="D332" s="138"/>
      <c r="E332" s="138"/>
      <c r="F332" s="684">
        <v>562.42999999999995</v>
      </c>
    </row>
    <row r="333" spans="1:6" ht="9.75" customHeight="1" x14ac:dyDescent="0.2">
      <c r="A333" s="957" t="s">
        <v>706</v>
      </c>
      <c r="B333" s="957" t="s">
        <v>487</v>
      </c>
      <c r="C333" s="957" t="s">
        <v>90</v>
      </c>
      <c r="D333" s="144">
        <v>244.98</v>
      </c>
      <c r="E333" s="139">
        <v>2.2957999999999998</v>
      </c>
      <c r="F333" s="145">
        <v>562.42999999999995</v>
      </c>
    </row>
    <row r="334" spans="1:6" ht="9.75" customHeight="1" x14ac:dyDescent="0.2">
      <c r="A334" s="137" t="s">
        <v>707</v>
      </c>
      <c r="B334" s="137" t="s">
        <v>2320</v>
      </c>
      <c r="C334" s="137"/>
      <c r="D334" s="138"/>
      <c r="E334" s="138"/>
      <c r="F334" s="684">
        <v>689.04</v>
      </c>
    </row>
    <row r="335" spans="1:6" ht="9.75" customHeight="1" x14ac:dyDescent="0.2">
      <c r="A335" s="957" t="s">
        <v>709</v>
      </c>
      <c r="B335" s="957" t="s">
        <v>2359</v>
      </c>
      <c r="C335" s="957" t="s">
        <v>90</v>
      </c>
      <c r="D335" s="144">
        <v>278.02999999999997</v>
      </c>
      <c r="E335" s="139">
        <v>2.4782999999999999</v>
      </c>
      <c r="F335" s="145">
        <v>689.04</v>
      </c>
    </row>
    <row r="336" spans="1:6" ht="9.75" customHeight="1" x14ac:dyDescent="0.2">
      <c r="A336" s="137" t="s">
        <v>1525</v>
      </c>
      <c r="B336" s="137" t="s">
        <v>1522</v>
      </c>
      <c r="C336" s="137"/>
      <c r="D336" s="138"/>
      <c r="E336" s="138"/>
      <c r="F336" s="681">
        <v>17193.64</v>
      </c>
    </row>
    <row r="337" spans="1:6" ht="9.75" customHeight="1" x14ac:dyDescent="0.2">
      <c r="A337" s="957" t="s">
        <v>1527</v>
      </c>
      <c r="B337" s="957" t="s">
        <v>2321</v>
      </c>
      <c r="C337" s="957" t="s">
        <v>90</v>
      </c>
      <c r="D337" s="144">
        <v>224.05</v>
      </c>
      <c r="E337" s="146">
        <v>17.707100000000001</v>
      </c>
      <c r="F337" s="143">
        <v>3967.28</v>
      </c>
    </row>
    <row r="338" spans="1:6" ht="9.75" customHeight="1" x14ac:dyDescent="0.2">
      <c r="A338" s="957" t="s">
        <v>1529</v>
      </c>
      <c r="B338" s="957" t="s">
        <v>2322</v>
      </c>
      <c r="C338" s="957" t="s">
        <v>90</v>
      </c>
      <c r="D338" s="144">
        <v>288.20999999999998</v>
      </c>
      <c r="E338" s="146">
        <v>17.707100000000001</v>
      </c>
      <c r="F338" s="143">
        <v>5103.3599999999997</v>
      </c>
    </row>
    <row r="339" spans="1:6" ht="9.75" customHeight="1" x14ac:dyDescent="0.2">
      <c r="A339" s="957" t="s">
        <v>2323</v>
      </c>
      <c r="B339" s="957" t="s">
        <v>2324</v>
      </c>
      <c r="C339" s="957" t="s">
        <v>90</v>
      </c>
      <c r="D339" s="139">
        <v>0</v>
      </c>
      <c r="E339" s="139">
        <v>2.8591000000000002</v>
      </c>
      <c r="F339" s="148">
        <v>0</v>
      </c>
    </row>
    <row r="340" spans="1:6" ht="9.75" customHeight="1" x14ac:dyDescent="0.2">
      <c r="A340" s="957" t="s">
        <v>2325</v>
      </c>
      <c r="B340" s="957" t="s">
        <v>1524</v>
      </c>
      <c r="C340" s="957" t="s">
        <v>90</v>
      </c>
      <c r="D340" s="144">
        <v>365.74</v>
      </c>
      <c r="E340" s="139">
        <v>2.4782999999999999</v>
      </c>
      <c r="F340" s="145">
        <v>906.41</v>
      </c>
    </row>
    <row r="341" spans="1:6" ht="9.75" customHeight="1" x14ac:dyDescent="0.2">
      <c r="A341" s="957" t="s">
        <v>2326</v>
      </c>
      <c r="B341" s="957" t="s">
        <v>2327</v>
      </c>
      <c r="C341" s="957" t="s">
        <v>15</v>
      </c>
      <c r="D341" s="139">
        <v>2.8</v>
      </c>
      <c r="E341" s="139">
        <v>1.9793000000000001</v>
      </c>
      <c r="F341" s="148">
        <v>5.54</v>
      </c>
    </row>
    <row r="342" spans="1:6" ht="9.75" customHeight="1" x14ac:dyDescent="0.2">
      <c r="A342" s="957" t="s">
        <v>2328</v>
      </c>
      <c r="B342" s="957" t="s">
        <v>2141</v>
      </c>
      <c r="C342" s="957" t="s">
        <v>90</v>
      </c>
      <c r="D342" s="144">
        <v>670.54</v>
      </c>
      <c r="E342" s="139">
        <v>2.4782999999999999</v>
      </c>
      <c r="F342" s="143">
        <v>1661.8</v>
      </c>
    </row>
    <row r="343" spans="1:6" ht="9.75" customHeight="1" x14ac:dyDescent="0.2">
      <c r="A343" s="957" t="s">
        <v>2329</v>
      </c>
      <c r="B343" s="957" t="s">
        <v>2142</v>
      </c>
      <c r="C343" s="957" t="s">
        <v>15</v>
      </c>
      <c r="D343" s="144">
        <v>249.57</v>
      </c>
      <c r="E343" s="139">
        <v>1.2641</v>
      </c>
      <c r="F343" s="145">
        <v>315.48</v>
      </c>
    </row>
    <row r="344" spans="1:6" ht="9.75" customHeight="1" x14ac:dyDescent="0.2">
      <c r="A344" s="957" t="s">
        <v>2330</v>
      </c>
      <c r="B344" s="957" t="s">
        <v>2360</v>
      </c>
      <c r="C344" s="957" t="s">
        <v>90</v>
      </c>
      <c r="D344" s="144">
        <v>264.36</v>
      </c>
      <c r="E344" s="146">
        <v>19.797899999999998</v>
      </c>
      <c r="F344" s="143">
        <v>5233.7700000000004</v>
      </c>
    </row>
    <row r="345" spans="1:6" ht="9.75" customHeight="1" x14ac:dyDescent="0.2">
      <c r="A345" s="137" t="s">
        <v>1531</v>
      </c>
      <c r="B345" s="137" t="s">
        <v>1526</v>
      </c>
      <c r="C345" s="137"/>
      <c r="D345" s="138"/>
      <c r="E345" s="138"/>
      <c r="F345" s="684">
        <v>434.95</v>
      </c>
    </row>
    <row r="346" spans="1:6" ht="9.75" customHeight="1" x14ac:dyDescent="0.2">
      <c r="A346" s="957" t="s">
        <v>1532</v>
      </c>
      <c r="B346" s="957" t="s">
        <v>2361</v>
      </c>
      <c r="C346" s="957" t="s">
        <v>90</v>
      </c>
      <c r="D346" s="144">
        <v>344.08</v>
      </c>
      <c r="E346" s="139">
        <v>1.2641</v>
      </c>
      <c r="F346" s="145">
        <v>434.95</v>
      </c>
    </row>
    <row r="347" spans="1:6" ht="9.75" customHeight="1" x14ac:dyDescent="0.2">
      <c r="A347" s="137" t="s">
        <v>2331</v>
      </c>
      <c r="B347" s="137" t="s">
        <v>722</v>
      </c>
      <c r="C347" s="137"/>
      <c r="D347" s="138"/>
      <c r="E347" s="138"/>
      <c r="F347" s="685">
        <v>8378.6299999999992</v>
      </c>
    </row>
    <row r="348" spans="1:6" ht="9.75" customHeight="1" x14ac:dyDescent="0.2">
      <c r="A348" s="957" t="s">
        <v>2332</v>
      </c>
      <c r="B348" s="957" t="s">
        <v>505</v>
      </c>
      <c r="C348" s="957" t="s">
        <v>15</v>
      </c>
      <c r="D348" s="144">
        <v>153.27000000000001</v>
      </c>
      <c r="E348" s="139">
        <v>1.0622</v>
      </c>
      <c r="F348" s="145">
        <v>162.80000000000001</v>
      </c>
    </row>
    <row r="349" spans="1:6" ht="9.75" customHeight="1" x14ac:dyDescent="0.2">
      <c r="A349" s="957" t="s">
        <v>2333</v>
      </c>
      <c r="B349" s="957" t="s">
        <v>2143</v>
      </c>
      <c r="C349" s="957" t="s">
        <v>90</v>
      </c>
      <c r="D349" s="144">
        <v>121.58</v>
      </c>
      <c r="E349" s="139">
        <v>1.4240999999999999</v>
      </c>
      <c r="F349" s="145">
        <v>173.14</v>
      </c>
    </row>
    <row r="350" spans="1:6" ht="9.75" customHeight="1" x14ac:dyDescent="0.2">
      <c r="A350" s="957" t="s">
        <v>2334</v>
      </c>
      <c r="B350" s="957" t="s">
        <v>2335</v>
      </c>
      <c r="C350" s="957" t="s">
        <v>90</v>
      </c>
      <c r="D350" s="144">
        <v>852.59</v>
      </c>
      <c r="E350" s="139">
        <v>3.6034000000000002</v>
      </c>
      <c r="F350" s="143">
        <v>3072.22</v>
      </c>
    </row>
    <row r="351" spans="1:6" ht="9.75" customHeight="1" x14ac:dyDescent="0.2">
      <c r="A351" s="957" t="s">
        <v>2336</v>
      </c>
      <c r="B351" s="957" t="s">
        <v>1534</v>
      </c>
      <c r="C351" s="957" t="s">
        <v>90</v>
      </c>
      <c r="D351" s="142">
        <v>1017.62</v>
      </c>
      <c r="E351" s="139">
        <v>4.8844000000000003</v>
      </c>
      <c r="F351" s="143">
        <v>4970.47</v>
      </c>
    </row>
    <row r="352" spans="1:6" ht="9.75" customHeight="1" x14ac:dyDescent="0.2">
      <c r="A352" s="137" t="s">
        <v>150</v>
      </c>
      <c r="B352" s="137" t="s">
        <v>723</v>
      </c>
      <c r="C352" s="137"/>
      <c r="D352" s="138"/>
      <c r="E352" s="138"/>
      <c r="F352" s="680">
        <v>168850.1</v>
      </c>
    </row>
    <row r="353" spans="1:6" ht="9.75" customHeight="1" x14ac:dyDescent="0.2">
      <c r="A353" s="137" t="s">
        <v>711</v>
      </c>
      <c r="B353" s="137" t="s">
        <v>191</v>
      </c>
      <c r="C353" s="137"/>
      <c r="D353" s="138"/>
      <c r="E353" s="138"/>
      <c r="F353" s="681">
        <v>27574.49</v>
      </c>
    </row>
    <row r="354" spans="1:6" ht="9.75" customHeight="1" x14ac:dyDescent="0.2">
      <c r="A354" s="957" t="s">
        <v>713</v>
      </c>
      <c r="B354" s="957" t="s">
        <v>2144</v>
      </c>
      <c r="C354" s="957" t="s">
        <v>90</v>
      </c>
      <c r="D354" s="146">
        <v>53.62</v>
      </c>
      <c r="E354" s="146">
        <v>15.1761</v>
      </c>
      <c r="F354" s="145">
        <v>813.74</v>
      </c>
    </row>
    <row r="355" spans="1:6" ht="9.75" customHeight="1" x14ac:dyDescent="0.2">
      <c r="A355" s="957" t="s">
        <v>714</v>
      </c>
      <c r="B355" s="957" t="s">
        <v>509</v>
      </c>
      <c r="C355" s="957" t="s">
        <v>90</v>
      </c>
      <c r="D355" s="146">
        <v>86.89</v>
      </c>
      <c r="E355" s="146">
        <v>20.264199999999999</v>
      </c>
      <c r="F355" s="143">
        <v>1760.75</v>
      </c>
    </row>
    <row r="356" spans="1:6" ht="9.75" customHeight="1" x14ac:dyDescent="0.2">
      <c r="A356" s="957" t="s">
        <v>2145</v>
      </c>
      <c r="B356" s="957" t="s">
        <v>420</v>
      </c>
      <c r="C356" s="957" t="s">
        <v>7</v>
      </c>
      <c r="D356" s="139">
        <v>1</v>
      </c>
      <c r="E356" s="140">
        <v>25000</v>
      </c>
      <c r="F356" s="141">
        <v>25000</v>
      </c>
    </row>
    <row r="357" spans="1:6" ht="9.75" customHeight="1" x14ac:dyDescent="0.2">
      <c r="A357" s="137" t="s">
        <v>715</v>
      </c>
      <c r="B357" s="137" t="s">
        <v>724</v>
      </c>
      <c r="C357" s="137"/>
      <c r="D357" s="138"/>
      <c r="E357" s="138"/>
      <c r="F357" s="681">
        <v>28942.51</v>
      </c>
    </row>
    <row r="358" spans="1:6" ht="9.75" customHeight="1" x14ac:dyDescent="0.2">
      <c r="A358" s="957" t="s">
        <v>716</v>
      </c>
      <c r="B358" s="957" t="s">
        <v>511</v>
      </c>
      <c r="C358" s="957" t="s">
        <v>90</v>
      </c>
      <c r="D358" s="142">
        <v>1818.43</v>
      </c>
      <c r="E358" s="139">
        <v>8.5</v>
      </c>
      <c r="F358" s="141">
        <v>15456.66</v>
      </c>
    </row>
    <row r="359" spans="1:6" ht="9.75" customHeight="1" x14ac:dyDescent="0.2">
      <c r="A359" s="957" t="s">
        <v>717</v>
      </c>
      <c r="B359" s="957" t="s">
        <v>151</v>
      </c>
      <c r="C359" s="957" t="s">
        <v>7</v>
      </c>
      <c r="D359" s="139">
        <v>1</v>
      </c>
      <c r="E359" s="142">
        <v>6432.78</v>
      </c>
      <c r="F359" s="143">
        <v>6432.78</v>
      </c>
    </row>
    <row r="360" spans="1:6" ht="9.75" customHeight="1" x14ac:dyDescent="0.2">
      <c r="A360" s="957" t="s">
        <v>2146</v>
      </c>
      <c r="B360" s="957" t="s">
        <v>2147</v>
      </c>
      <c r="C360" s="957" t="s">
        <v>90</v>
      </c>
      <c r="D360" s="142">
        <v>1448.21</v>
      </c>
      <c r="E360" s="139">
        <v>3.9013</v>
      </c>
      <c r="F360" s="143">
        <v>5649.9</v>
      </c>
    </row>
    <row r="361" spans="1:6" ht="9.75" customHeight="1" x14ac:dyDescent="0.2">
      <c r="A361" s="957" t="s">
        <v>2148</v>
      </c>
      <c r="B361" s="957" t="s">
        <v>2149</v>
      </c>
      <c r="C361" s="957" t="s">
        <v>90</v>
      </c>
      <c r="D361" s="146">
        <v>98.98</v>
      </c>
      <c r="E361" s="146">
        <v>14.176299999999999</v>
      </c>
      <c r="F361" s="143">
        <v>1403.17</v>
      </c>
    </row>
    <row r="362" spans="1:6" ht="9.75" customHeight="1" x14ac:dyDescent="0.2">
      <c r="A362" s="137" t="s">
        <v>718</v>
      </c>
      <c r="B362" s="137" t="s">
        <v>1535</v>
      </c>
      <c r="C362" s="137"/>
      <c r="D362" s="138"/>
      <c r="E362" s="138"/>
      <c r="F362" s="680">
        <v>112333.1</v>
      </c>
    </row>
    <row r="363" spans="1:6" ht="9.75" customHeight="1" x14ac:dyDescent="0.2">
      <c r="A363" s="957" t="s">
        <v>720</v>
      </c>
      <c r="B363" s="957" t="s">
        <v>2337</v>
      </c>
      <c r="C363" s="957" t="s">
        <v>7</v>
      </c>
      <c r="D363" s="139">
        <v>1</v>
      </c>
      <c r="E363" s="142">
        <v>7000</v>
      </c>
      <c r="F363" s="143">
        <v>7000</v>
      </c>
    </row>
    <row r="364" spans="1:6" ht="9.75" customHeight="1" x14ac:dyDescent="0.2">
      <c r="A364" s="957" t="s">
        <v>721</v>
      </c>
      <c r="B364" s="957" t="s">
        <v>514</v>
      </c>
      <c r="C364" s="957" t="s">
        <v>8</v>
      </c>
      <c r="D364" s="146">
        <v>12</v>
      </c>
      <c r="E364" s="146">
        <v>25</v>
      </c>
      <c r="F364" s="145">
        <v>300</v>
      </c>
    </row>
    <row r="365" spans="1:6" ht="9.75" customHeight="1" x14ac:dyDescent="0.2">
      <c r="A365" s="957" t="s">
        <v>815</v>
      </c>
      <c r="B365" s="957" t="s">
        <v>2338</v>
      </c>
      <c r="C365" s="957" t="s">
        <v>8</v>
      </c>
      <c r="D365" s="139">
        <v>1</v>
      </c>
      <c r="E365" s="142">
        <v>2238</v>
      </c>
      <c r="F365" s="143">
        <v>2238</v>
      </c>
    </row>
    <row r="366" spans="1:6" ht="9.75" customHeight="1" x14ac:dyDescent="0.2">
      <c r="A366" s="957" t="s">
        <v>816</v>
      </c>
      <c r="B366" s="957" t="s">
        <v>2339</v>
      </c>
      <c r="C366" s="957" t="s">
        <v>8</v>
      </c>
      <c r="D366" s="139">
        <v>2</v>
      </c>
      <c r="E366" s="142">
        <v>2009</v>
      </c>
      <c r="F366" s="143">
        <v>4018</v>
      </c>
    </row>
    <row r="367" spans="1:6" ht="9.75" customHeight="1" x14ac:dyDescent="0.2">
      <c r="A367" s="957" t="s">
        <v>817</v>
      </c>
      <c r="B367" s="957" t="s">
        <v>2150</v>
      </c>
      <c r="C367" s="957" t="s">
        <v>8</v>
      </c>
      <c r="D367" s="139">
        <v>2</v>
      </c>
      <c r="E367" s="142">
        <v>3187</v>
      </c>
      <c r="F367" s="143">
        <v>6374</v>
      </c>
    </row>
    <row r="368" spans="1:6" ht="9.75" customHeight="1" x14ac:dyDescent="0.2">
      <c r="A368" s="957" t="s">
        <v>819</v>
      </c>
      <c r="B368" s="957" t="s">
        <v>2340</v>
      </c>
      <c r="C368" s="957" t="s">
        <v>7</v>
      </c>
      <c r="D368" s="139">
        <v>1</v>
      </c>
      <c r="E368" s="140">
        <v>50000</v>
      </c>
      <c r="F368" s="141">
        <v>50000</v>
      </c>
    </row>
    <row r="369" spans="1:6" ht="9.75" customHeight="1" x14ac:dyDescent="0.2">
      <c r="A369" s="957" t="s">
        <v>821</v>
      </c>
      <c r="B369" s="957" t="s">
        <v>1537</v>
      </c>
      <c r="C369" s="957" t="s">
        <v>7</v>
      </c>
      <c r="D369" s="139">
        <v>1</v>
      </c>
      <c r="E369" s="140">
        <v>17750</v>
      </c>
      <c r="F369" s="141">
        <v>17750</v>
      </c>
    </row>
    <row r="370" spans="1:6" ht="9.75" customHeight="1" x14ac:dyDescent="0.2">
      <c r="A370" s="957" t="s">
        <v>822</v>
      </c>
      <c r="B370" s="957" t="s">
        <v>2151</v>
      </c>
      <c r="C370" s="957" t="s">
        <v>90</v>
      </c>
      <c r="D370" s="144">
        <v>821.77</v>
      </c>
      <c r="E370" s="146">
        <v>30</v>
      </c>
      <c r="F370" s="141">
        <v>24653.1</v>
      </c>
    </row>
    <row r="371" spans="1:6" ht="16.5" customHeight="1" x14ac:dyDescent="0.2">
      <c r="A371" s="984" t="s">
        <v>62</v>
      </c>
      <c r="B371" s="985"/>
      <c r="C371" s="985"/>
      <c r="D371" s="985"/>
      <c r="E371" s="986"/>
      <c r="F371" s="686">
        <v>5458222.3700000001</v>
      </c>
    </row>
    <row r="372" spans="1:6" ht="9.75" customHeight="1" x14ac:dyDescent="0.2">
      <c r="A372" s="137" t="s">
        <v>75</v>
      </c>
      <c r="B372" s="137" t="s">
        <v>152</v>
      </c>
      <c r="C372" s="137"/>
      <c r="D372" s="138"/>
      <c r="E372" s="138"/>
      <c r="F372" s="680">
        <v>174469.87</v>
      </c>
    </row>
    <row r="373" spans="1:6" ht="9.75" customHeight="1" x14ac:dyDescent="0.2">
      <c r="A373" s="957" t="s">
        <v>76</v>
      </c>
      <c r="B373" s="957" t="s">
        <v>448</v>
      </c>
      <c r="C373" s="957" t="s">
        <v>7</v>
      </c>
      <c r="D373" s="139">
        <v>1</v>
      </c>
      <c r="E373" s="144">
        <v>900</v>
      </c>
      <c r="F373" s="145">
        <v>900</v>
      </c>
    </row>
    <row r="374" spans="1:6" ht="9.75" customHeight="1" x14ac:dyDescent="0.2">
      <c r="A374" s="957" t="s">
        <v>77</v>
      </c>
      <c r="B374" s="957" t="s">
        <v>823</v>
      </c>
      <c r="C374" s="957" t="s">
        <v>7</v>
      </c>
      <c r="D374" s="139">
        <v>1</v>
      </c>
      <c r="E374" s="140">
        <v>35963.865100000003</v>
      </c>
      <c r="F374" s="141">
        <v>35963.870000000003</v>
      </c>
    </row>
    <row r="375" spans="1:6" ht="9.75" customHeight="1" x14ac:dyDescent="0.2">
      <c r="A375" s="957" t="s">
        <v>78</v>
      </c>
      <c r="B375" s="957" t="s">
        <v>516</v>
      </c>
      <c r="C375" s="957" t="s">
        <v>10</v>
      </c>
      <c r="D375" s="146">
        <v>26</v>
      </c>
      <c r="E375" s="142">
        <v>1031</v>
      </c>
      <c r="F375" s="141">
        <v>26806</v>
      </c>
    </row>
    <row r="376" spans="1:6" ht="9.75" customHeight="1" x14ac:dyDescent="0.2">
      <c r="A376" s="957" t="s">
        <v>79</v>
      </c>
      <c r="B376" s="957" t="s">
        <v>1973</v>
      </c>
      <c r="C376" s="957" t="s">
        <v>7</v>
      </c>
      <c r="D376" s="139">
        <v>1</v>
      </c>
      <c r="E376" s="140">
        <v>60000</v>
      </c>
      <c r="F376" s="141">
        <v>60000</v>
      </c>
    </row>
    <row r="377" spans="1:6" ht="9.75" customHeight="1" x14ac:dyDescent="0.2">
      <c r="A377" s="957" t="s">
        <v>80</v>
      </c>
      <c r="B377" s="957" t="s">
        <v>2341</v>
      </c>
      <c r="C377" s="957" t="s">
        <v>8</v>
      </c>
      <c r="D377" s="139">
        <v>1</v>
      </c>
      <c r="E377" s="142">
        <v>2400</v>
      </c>
      <c r="F377" s="143">
        <v>2400</v>
      </c>
    </row>
    <row r="378" spans="1:6" ht="9.75" customHeight="1" x14ac:dyDescent="0.2">
      <c r="A378" s="957" t="s">
        <v>81</v>
      </c>
      <c r="B378" s="957" t="s">
        <v>508</v>
      </c>
      <c r="C378" s="957" t="s">
        <v>7</v>
      </c>
      <c r="D378" s="139">
        <v>1</v>
      </c>
      <c r="E378" s="142">
        <v>4000</v>
      </c>
      <c r="F378" s="143">
        <v>4000</v>
      </c>
    </row>
    <row r="379" spans="1:6" ht="9.75" customHeight="1" x14ac:dyDescent="0.2">
      <c r="A379" s="957" t="s">
        <v>153</v>
      </c>
      <c r="B379" s="957" t="s">
        <v>17</v>
      </c>
      <c r="C379" s="957" t="s">
        <v>10</v>
      </c>
      <c r="D379" s="146">
        <v>24</v>
      </c>
      <c r="E379" s="142">
        <v>1850</v>
      </c>
      <c r="F379" s="141">
        <v>44400</v>
      </c>
    </row>
    <row r="380" spans="1:6" ht="9.75" customHeight="1" x14ac:dyDescent="0.2">
      <c r="A380" s="137" t="s">
        <v>82</v>
      </c>
      <c r="B380" s="137" t="s">
        <v>154</v>
      </c>
      <c r="C380" s="137"/>
      <c r="D380" s="138"/>
      <c r="E380" s="138"/>
      <c r="F380" s="681">
        <v>65715.25</v>
      </c>
    </row>
    <row r="381" spans="1:6" ht="9.75" customHeight="1" x14ac:dyDescent="0.2">
      <c r="A381" s="957" t="s">
        <v>83</v>
      </c>
      <c r="B381" s="957" t="s">
        <v>517</v>
      </c>
      <c r="C381" s="957" t="s">
        <v>10</v>
      </c>
      <c r="D381" s="146">
        <v>22</v>
      </c>
      <c r="E381" s="144">
        <v>139.35319999999999</v>
      </c>
      <c r="F381" s="143">
        <v>3065.77</v>
      </c>
    </row>
    <row r="382" spans="1:6" ht="9.75" customHeight="1" x14ac:dyDescent="0.2">
      <c r="A382" s="957" t="s">
        <v>84</v>
      </c>
      <c r="B382" s="957" t="s">
        <v>155</v>
      </c>
      <c r="C382" s="957" t="s">
        <v>8</v>
      </c>
      <c r="D382" s="144">
        <v>130</v>
      </c>
      <c r="E382" s="146">
        <v>69.221100000000007</v>
      </c>
      <c r="F382" s="143">
        <v>8998.74</v>
      </c>
    </row>
    <row r="383" spans="1:6" ht="9.75" customHeight="1" x14ac:dyDescent="0.2">
      <c r="A383" s="957" t="s">
        <v>85</v>
      </c>
      <c r="B383" s="957" t="s">
        <v>2342</v>
      </c>
      <c r="C383" s="957" t="s">
        <v>15</v>
      </c>
      <c r="D383" s="146">
        <v>86.96</v>
      </c>
      <c r="E383" s="144">
        <v>180.68199999999999</v>
      </c>
      <c r="F383" s="141">
        <v>15712.11</v>
      </c>
    </row>
    <row r="384" spans="1:6" ht="9.75" customHeight="1" x14ac:dyDescent="0.2">
      <c r="A384" s="957" t="s">
        <v>157</v>
      </c>
      <c r="B384" s="957" t="s">
        <v>2343</v>
      </c>
      <c r="C384" s="957" t="s">
        <v>15</v>
      </c>
      <c r="D384" s="146">
        <v>86.96</v>
      </c>
      <c r="E384" s="144">
        <v>119.0051</v>
      </c>
      <c r="F384" s="141">
        <v>10348.68</v>
      </c>
    </row>
    <row r="385" spans="1:6" ht="9.75" customHeight="1" x14ac:dyDescent="0.2">
      <c r="A385" s="957" t="s">
        <v>158</v>
      </c>
      <c r="B385" s="957" t="s">
        <v>159</v>
      </c>
      <c r="C385" s="957" t="s">
        <v>90</v>
      </c>
      <c r="D385" s="142">
        <v>1506.1</v>
      </c>
      <c r="E385" s="139">
        <v>1.8547</v>
      </c>
      <c r="F385" s="143">
        <v>2793.36</v>
      </c>
    </row>
    <row r="386" spans="1:6" ht="9.75" customHeight="1" x14ac:dyDescent="0.2">
      <c r="A386" s="957" t="s">
        <v>518</v>
      </c>
      <c r="B386" s="957" t="s">
        <v>2344</v>
      </c>
      <c r="C386" s="957" t="s">
        <v>15</v>
      </c>
      <c r="D386" s="144">
        <v>173.92</v>
      </c>
      <c r="E386" s="146">
        <v>43.55</v>
      </c>
      <c r="F386" s="143">
        <v>7574.22</v>
      </c>
    </row>
    <row r="387" spans="1:6" ht="9.75" customHeight="1" x14ac:dyDescent="0.2">
      <c r="A387" s="957" t="s">
        <v>519</v>
      </c>
      <c r="B387" s="957" t="s">
        <v>458</v>
      </c>
      <c r="C387" s="957" t="s">
        <v>8</v>
      </c>
      <c r="D387" s="146">
        <v>18</v>
      </c>
      <c r="E387" s="146">
        <v>45.222299999999997</v>
      </c>
      <c r="F387" s="145">
        <v>814</v>
      </c>
    </row>
    <row r="388" spans="1:6" ht="9.75" customHeight="1" x14ac:dyDescent="0.2">
      <c r="A388" s="957" t="s">
        <v>520</v>
      </c>
      <c r="B388" s="957" t="s">
        <v>2345</v>
      </c>
      <c r="C388" s="957" t="s">
        <v>7</v>
      </c>
      <c r="D388" s="139">
        <v>1</v>
      </c>
      <c r="E388" s="142">
        <v>4000</v>
      </c>
      <c r="F388" s="143">
        <v>4000</v>
      </c>
    </row>
    <row r="389" spans="1:6" ht="9.75" customHeight="1" x14ac:dyDescent="0.2">
      <c r="A389" s="957" t="s">
        <v>521</v>
      </c>
      <c r="B389" s="957" t="s">
        <v>386</v>
      </c>
      <c r="C389" s="957" t="s">
        <v>7</v>
      </c>
      <c r="D389" s="139">
        <v>1</v>
      </c>
      <c r="E389" s="142">
        <v>2500</v>
      </c>
      <c r="F389" s="143">
        <v>2500</v>
      </c>
    </row>
    <row r="390" spans="1:6" ht="9.75" customHeight="1" x14ac:dyDescent="0.2">
      <c r="A390" s="957" t="s">
        <v>2346</v>
      </c>
      <c r="B390" s="957" t="s">
        <v>522</v>
      </c>
      <c r="C390" s="957" t="s">
        <v>8</v>
      </c>
      <c r="D390" s="144">
        <v>130</v>
      </c>
      <c r="E390" s="146">
        <v>59.6798</v>
      </c>
      <c r="F390" s="143">
        <v>7758.37</v>
      </c>
    </row>
    <row r="391" spans="1:6" ht="9.75" customHeight="1" x14ac:dyDescent="0.2">
      <c r="A391" s="957" t="s">
        <v>2347</v>
      </c>
      <c r="B391" s="957" t="s">
        <v>2152</v>
      </c>
      <c r="C391" s="957" t="s">
        <v>8</v>
      </c>
      <c r="D391" s="146">
        <v>43</v>
      </c>
      <c r="E391" s="146">
        <v>50</v>
      </c>
      <c r="F391" s="143">
        <v>2150</v>
      </c>
    </row>
    <row r="392" spans="1:6" ht="9.75" customHeight="1" x14ac:dyDescent="0.2">
      <c r="A392" s="137" t="s">
        <v>86</v>
      </c>
      <c r="B392" s="137" t="s">
        <v>523</v>
      </c>
      <c r="C392" s="137"/>
      <c r="D392" s="138"/>
      <c r="E392" s="138"/>
      <c r="F392" s="682">
        <v>1475807.01</v>
      </c>
    </row>
    <row r="393" spans="1:6" ht="9.75" customHeight="1" x14ac:dyDescent="0.2">
      <c r="A393" s="137" t="s">
        <v>524</v>
      </c>
      <c r="B393" s="137" t="s">
        <v>525</v>
      </c>
      <c r="C393" s="137"/>
      <c r="D393" s="138"/>
      <c r="E393" s="138"/>
      <c r="F393" s="680">
        <v>848019.21</v>
      </c>
    </row>
    <row r="394" spans="1:6" ht="9.75" customHeight="1" x14ac:dyDescent="0.2">
      <c r="A394" s="957" t="s">
        <v>526</v>
      </c>
      <c r="B394" s="957" t="s">
        <v>527</v>
      </c>
      <c r="C394" s="957" t="s">
        <v>10</v>
      </c>
      <c r="D394" s="146">
        <v>23</v>
      </c>
      <c r="E394" s="142">
        <v>7000</v>
      </c>
      <c r="F394" s="683">
        <v>161000</v>
      </c>
    </row>
    <row r="395" spans="1:6" ht="9.75" customHeight="1" x14ac:dyDescent="0.2">
      <c r="A395" s="957" t="s">
        <v>528</v>
      </c>
      <c r="B395" s="957" t="s">
        <v>824</v>
      </c>
      <c r="C395" s="957" t="s">
        <v>10</v>
      </c>
      <c r="D395" s="146">
        <v>24</v>
      </c>
      <c r="E395" s="142">
        <v>1300</v>
      </c>
      <c r="F395" s="141">
        <v>31200</v>
      </c>
    </row>
    <row r="396" spans="1:6" ht="9.75" customHeight="1" x14ac:dyDescent="0.2">
      <c r="A396" s="957" t="s">
        <v>529</v>
      </c>
      <c r="B396" s="957" t="s">
        <v>732</v>
      </c>
      <c r="C396" s="957" t="s">
        <v>10</v>
      </c>
      <c r="D396" s="146">
        <v>23</v>
      </c>
      <c r="E396" s="142">
        <v>2500</v>
      </c>
      <c r="F396" s="141">
        <v>57500</v>
      </c>
    </row>
    <row r="397" spans="1:6" ht="9.75" customHeight="1" x14ac:dyDescent="0.2">
      <c r="A397" s="957" t="s">
        <v>530</v>
      </c>
      <c r="B397" s="957" t="s">
        <v>385</v>
      </c>
      <c r="C397" s="957" t="s">
        <v>10</v>
      </c>
      <c r="D397" s="146">
        <v>23</v>
      </c>
      <c r="E397" s="142">
        <v>2000</v>
      </c>
      <c r="F397" s="141">
        <v>46000</v>
      </c>
    </row>
    <row r="398" spans="1:6" ht="9.75" customHeight="1" x14ac:dyDescent="0.2">
      <c r="A398" s="957" t="s">
        <v>531</v>
      </c>
      <c r="B398" s="957" t="s">
        <v>438</v>
      </c>
      <c r="C398" s="957" t="s">
        <v>10</v>
      </c>
      <c r="D398" s="146">
        <v>22</v>
      </c>
      <c r="E398" s="140">
        <v>10743.55</v>
      </c>
      <c r="F398" s="683">
        <v>236358.1</v>
      </c>
    </row>
    <row r="399" spans="1:6" ht="9.75" customHeight="1" x14ac:dyDescent="0.2">
      <c r="A399" s="957" t="s">
        <v>533</v>
      </c>
      <c r="B399" s="957" t="s">
        <v>532</v>
      </c>
      <c r="C399" s="957" t="s">
        <v>10</v>
      </c>
      <c r="D399" s="146">
        <v>13</v>
      </c>
      <c r="E399" s="142">
        <v>4723.97</v>
      </c>
      <c r="F399" s="141">
        <v>61411.61</v>
      </c>
    </row>
    <row r="400" spans="1:6" ht="9.75" customHeight="1" x14ac:dyDescent="0.2">
      <c r="A400" s="957" t="s">
        <v>534</v>
      </c>
      <c r="B400" s="957" t="s">
        <v>160</v>
      </c>
      <c r="C400" s="957" t="s">
        <v>10</v>
      </c>
      <c r="D400" s="146">
        <v>23</v>
      </c>
      <c r="E400" s="142">
        <v>3307.3110000000001</v>
      </c>
      <c r="F400" s="141">
        <v>76068.149999999994</v>
      </c>
    </row>
    <row r="401" spans="1:6" ht="9.75" customHeight="1" x14ac:dyDescent="0.2">
      <c r="A401" s="957" t="s">
        <v>733</v>
      </c>
      <c r="B401" s="957" t="s">
        <v>444</v>
      </c>
      <c r="C401" s="957" t="s">
        <v>10</v>
      </c>
      <c r="D401" s="146">
        <v>23</v>
      </c>
      <c r="E401" s="142">
        <v>5151.3630000000003</v>
      </c>
      <c r="F401" s="683">
        <v>118481.35</v>
      </c>
    </row>
    <row r="402" spans="1:6" ht="9.75" customHeight="1" x14ac:dyDescent="0.2">
      <c r="A402" s="957" t="s">
        <v>2153</v>
      </c>
      <c r="B402" s="957" t="s">
        <v>2154</v>
      </c>
      <c r="C402" s="957" t="s">
        <v>10</v>
      </c>
      <c r="D402" s="146">
        <v>12</v>
      </c>
      <c r="E402" s="142">
        <v>5000</v>
      </c>
      <c r="F402" s="141">
        <v>60000</v>
      </c>
    </row>
    <row r="403" spans="1:6" ht="9.75" customHeight="1" x14ac:dyDescent="0.2">
      <c r="A403" s="137" t="s">
        <v>535</v>
      </c>
      <c r="B403" s="137" t="s">
        <v>536</v>
      </c>
      <c r="C403" s="137"/>
      <c r="D403" s="138"/>
      <c r="E403" s="138"/>
      <c r="F403" s="680">
        <v>436569.8</v>
      </c>
    </row>
    <row r="404" spans="1:6" ht="9.75" customHeight="1" x14ac:dyDescent="0.2">
      <c r="A404" s="957" t="s">
        <v>537</v>
      </c>
      <c r="B404" s="957" t="s">
        <v>825</v>
      </c>
      <c r="C404" s="957" t="s">
        <v>10</v>
      </c>
      <c r="D404" s="146">
        <v>29</v>
      </c>
      <c r="E404" s="142">
        <v>3307.3110000000001</v>
      </c>
      <c r="F404" s="141">
        <v>95912.02</v>
      </c>
    </row>
    <row r="405" spans="1:6" ht="9.75" customHeight="1" x14ac:dyDescent="0.2">
      <c r="A405" s="957" t="s">
        <v>538</v>
      </c>
      <c r="B405" s="957" t="s">
        <v>826</v>
      </c>
      <c r="C405" s="957" t="s">
        <v>10</v>
      </c>
      <c r="D405" s="146">
        <v>48</v>
      </c>
      <c r="E405" s="142">
        <v>2161.7820000000002</v>
      </c>
      <c r="F405" s="683">
        <v>103765.54</v>
      </c>
    </row>
    <row r="406" spans="1:6" ht="9.75" customHeight="1" x14ac:dyDescent="0.2">
      <c r="A406" s="957" t="s">
        <v>539</v>
      </c>
      <c r="B406" s="957" t="s">
        <v>163</v>
      </c>
      <c r="C406" s="957" t="s">
        <v>10</v>
      </c>
      <c r="D406" s="146">
        <v>18</v>
      </c>
      <c r="E406" s="142">
        <v>2161.7820000000002</v>
      </c>
      <c r="F406" s="141">
        <v>38912.080000000002</v>
      </c>
    </row>
    <row r="407" spans="1:6" ht="9.75" customHeight="1" x14ac:dyDescent="0.2">
      <c r="A407" s="957" t="s">
        <v>540</v>
      </c>
      <c r="B407" s="957" t="s">
        <v>162</v>
      </c>
      <c r="C407" s="957" t="s">
        <v>10</v>
      </c>
      <c r="D407" s="146">
        <v>10</v>
      </c>
      <c r="E407" s="142">
        <v>3307.3110000000001</v>
      </c>
      <c r="F407" s="141">
        <v>33073.11</v>
      </c>
    </row>
    <row r="408" spans="1:6" ht="9.75" customHeight="1" x14ac:dyDescent="0.2">
      <c r="A408" s="957" t="s">
        <v>541</v>
      </c>
      <c r="B408" s="957" t="s">
        <v>2155</v>
      </c>
      <c r="C408" s="957" t="s">
        <v>10</v>
      </c>
      <c r="D408" s="146">
        <v>10</v>
      </c>
      <c r="E408" s="142">
        <v>3307.3110000000001</v>
      </c>
      <c r="F408" s="141">
        <v>33073.11</v>
      </c>
    </row>
    <row r="409" spans="1:6" ht="9.75" customHeight="1" x14ac:dyDescent="0.2">
      <c r="A409" s="957" t="s">
        <v>542</v>
      </c>
      <c r="B409" s="957" t="s">
        <v>2348</v>
      </c>
      <c r="C409" s="957" t="s">
        <v>10</v>
      </c>
      <c r="D409" s="139">
        <v>2</v>
      </c>
      <c r="E409" s="140">
        <v>14000</v>
      </c>
      <c r="F409" s="141">
        <v>28000</v>
      </c>
    </row>
    <row r="410" spans="1:6" ht="9.75" customHeight="1" x14ac:dyDescent="0.2">
      <c r="A410" s="957" t="s">
        <v>543</v>
      </c>
      <c r="B410" s="957" t="s">
        <v>545</v>
      </c>
      <c r="C410" s="957" t="s">
        <v>10</v>
      </c>
      <c r="D410" s="146">
        <v>20</v>
      </c>
      <c r="E410" s="142">
        <v>3000</v>
      </c>
      <c r="F410" s="141">
        <v>60000</v>
      </c>
    </row>
    <row r="411" spans="1:6" ht="9.75" customHeight="1" x14ac:dyDescent="0.2">
      <c r="A411" s="957" t="s">
        <v>544</v>
      </c>
      <c r="B411" s="957" t="s">
        <v>421</v>
      </c>
      <c r="C411" s="957" t="s">
        <v>10</v>
      </c>
      <c r="D411" s="139">
        <v>7</v>
      </c>
      <c r="E411" s="142">
        <v>6261.9920000000002</v>
      </c>
      <c r="F411" s="141">
        <v>43833.94</v>
      </c>
    </row>
    <row r="412" spans="1:6" ht="9.75" customHeight="1" x14ac:dyDescent="0.2">
      <c r="A412" s="137" t="s">
        <v>546</v>
      </c>
      <c r="B412" s="137" t="s">
        <v>547</v>
      </c>
      <c r="C412" s="137"/>
      <c r="D412" s="138"/>
      <c r="E412" s="138"/>
      <c r="F412" s="680">
        <v>191218</v>
      </c>
    </row>
    <row r="413" spans="1:6" ht="9.75" customHeight="1" x14ac:dyDescent="0.2">
      <c r="A413" s="957" t="s">
        <v>548</v>
      </c>
      <c r="B413" s="957" t="s">
        <v>156</v>
      </c>
      <c r="C413" s="957" t="s">
        <v>8</v>
      </c>
      <c r="D413" s="146">
        <v>35</v>
      </c>
      <c r="E413" s="144">
        <v>155</v>
      </c>
      <c r="F413" s="143">
        <v>5425</v>
      </c>
    </row>
    <row r="414" spans="1:6" ht="9.75" customHeight="1" x14ac:dyDescent="0.2">
      <c r="A414" s="957" t="s">
        <v>549</v>
      </c>
      <c r="B414" s="957" t="s">
        <v>550</v>
      </c>
      <c r="C414" s="957" t="s">
        <v>8</v>
      </c>
      <c r="D414" s="144">
        <v>391</v>
      </c>
      <c r="E414" s="144">
        <v>110</v>
      </c>
      <c r="F414" s="141">
        <v>43010</v>
      </c>
    </row>
    <row r="415" spans="1:6" ht="9.75" customHeight="1" x14ac:dyDescent="0.2">
      <c r="A415" s="957" t="s">
        <v>551</v>
      </c>
      <c r="B415" s="957" t="s">
        <v>2156</v>
      </c>
      <c r="C415" s="957" t="s">
        <v>8</v>
      </c>
      <c r="D415" s="140">
        <v>25806</v>
      </c>
      <c r="E415" s="139">
        <v>4.5</v>
      </c>
      <c r="F415" s="683">
        <v>116127</v>
      </c>
    </row>
    <row r="416" spans="1:6" ht="9.75" customHeight="1" x14ac:dyDescent="0.2">
      <c r="A416" s="957" t="s">
        <v>552</v>
      </c>
      <c r="B416" s="957" t="s">
        <v>553</v>
      </c>
      <c r="C416" s="957" t="s">
        <v>8</v>
      </c>
      <c r="D416" s="142">
        <v>8602</v>
      </c>
      <c r="E416" s="139">
        <v>3</v>
      </c>
      <c r="F416" s="141">
        <v>25806</v>
      </c>
    </row>
    <row r="417" spans="1:6" ht="9.75" customHeight="1" x14ac:dyDescent="0.2">
      <c r="A417" s="957" t="s">
        <v>554</v>
      </c>
      <c r="B417" s="957" t="s">
        <v>555</v>
      </c>
      <c r="C417" s="957" t="s">
        <v>8</v>
      </c>
      <c r="D417" s="146">
        <v>34</v>
      </c>
      <c r="E417" s="146">
        <v>25</v>
      </c>
      <c r="F417" s="145">
        <v>850</v>
      </c>
    </row>
    <row r="418" spans="1:6" ht="9.75" customHeight="1" x14ac:dyDescent="0.2">
      <c r="A418" s="957" t="s">
        <v>2188</v>
      </c>
      <c r="B418" s="957" t="s">
        <v>2189</v>
      </c>
      <c r="C418" s="957" t="s">
        <v>7</v>
      </c>
      <c r="D418" s="139">
        <v>0</v>
      </c>
      <c r="E418" s="687">
        <v>1246222.1499999999</v>
      </c>
      <c r="F418" s="148">
        <v>0</v>
      </c>
    </row>
    <row r="419" spans="1:6" ht="9.75" customHeight="1" x14ac:dyDescent="0.2">
      <c r="A419" s="957" t="s">
        <v>2190</v>
      </c>
      <c r="B419" s="957" t="s">
        <v>2191</v>
      </c>
      <c r="C419" s="957" t="s">
        <v>7</v>
      </c>
      <c r="D419" s="139">
        <v>0</v>
      </c>
      <c r="E419" s="139">
        <v>0</v>
      </c>
      <c r="F419" s="148">
        <v>0</v>
      </c>
    </row>
    <row r="420" spans="1:6" ht="9.75" customHeight="1" x14ac:dyDescent="0.2">
      <c r="A420" s="137" t="s">
        <v>91</v>
      </c>
      <c r="B420" s="137" t="s">
        <v>164</v>
      </c>
      <c r="C420" s="137"/>
      <c r="D420" s="138"/>
      <c r="E420" s="138"/>
      <c r="F420" s="680">
        <v>164433.53</v>
      </c>
    </row>
    <row r="421" spans="1:6" ht="9.75" customHeight="1" x14ac:dyDescent="0.2">
      <c r="A421" s="957" t="s">
        <v>92</v>
      </c>
      <c r="B421" s="957" t="s">
        <v>828</v>
      </c>
      <c r="C421" s="957" t="s">
        <v>10</v>
      </c>
      <c r="D421" s="146">
        <v>12</v>
      </c>
      <c r="E421" s="144">
        <v>150</v>
      </c>
      <c r="F421" s="143">
        <v>1800</v>
      </c>
    </row>
    <row r="422" spans="1:6" ht="9.75" customHeight="1" x14ac:dyDescent="0.2">
      <c r="A422" s="957" t="s">
        <v>93</v>
      </c>
      <c r="B422" s="957" t="s">
        <v>2157</v>
      </c>
      <c r="C422" s="957" t="s">
        <v>10</v>
      </c>
      <c r="D422" s="139">
        <v>6</v>
      </c>
      <c r="E422" s="144">
        <v>350</v>
      </c>
      <c r="F422" s="143">
        <v>2100</v>
      </c>
    </row>
    <row r="423" spans="1:6" ht="9.75" customHeight="1" x14ac:dyDescent="0.2">
      <c r="A423" s="957" t="s">
        <v>165</v>
      </c>
      <c r="B423" s="957" t="s">
        <v>465</v>
      </c>
      <c r="C423" s="957" t="s">
        <v>10</v>
      </c>
      <c r="D423" s="139">
        <v>3</v>
      </c>
      <c r="E423" s="144">
        <v>450</v>
      </c>
      <c r="F423" s="143">
        <v>1350</v>
      </c>
    </row>
    <row r="424" spans="1:6" ht="9.75" customHeight="1" x14ac:dyDescent="0.2">
      <c r="A424" s="957" t="s">
        <v>166</v>
      </c>
      <c r="B424" s="957" t="s">
        <v>829</v>
      </c>
      <c r="C424" s="957" t="s">
        <v>10</v>
      </c>
      <c r="D424" s="139">
        <v>5</v>
      </c>
      <c r="E424" s="144">
        <v>150</v>
      </c>
      <c r="F424" s="145">
        <v>750</v>
      </c>
    </row>
    <row r="425" spans="1:6" ht="9.75" customHeight="1" x14ac:dyDescent="0.2">
      <c r="A425" s="957" t="s">
        <v>167</v>
      </c>
      <c r="B425" s="957" t="s">
        <v>830</v>
      </c>
      <c r="C425" s="957" t="s">
        <v>8</v>
      </c>
      <c r="D425" s="139">
        <v>1</v>
      </c>
      <c r="E425" s="144">
        <v>652.57000000000005</v>
      </c>
      <c r="F425" s="145">
        <v>652.57000000000005</v>
      </c>
    </row>
    <row r="426" spans="1:6" ht="9.75" customHeight="1" x14ac:dyDescent="0.2">
      <c r="A426" s="957" t="s">
        <v>168</v>
      </c>
      <c r="B426" s="957" t="s">
        <v>169</v>
      </c>
      <c r="C426" s="957" t="s">
        <v>10</v>
      </c>
      <c r="D426" s="146">
        <v>13</v>
      </c>
      <c r="E426" s="142">
        <v>2299.2759999999998</v>
      </c>
      <c r="F426" s="141">
        <v>29890.59</v>
      </c>
    </row>
    <row r="427" spans="1:6" ht="9.75" customHeight="1" x14ac:dyDescent="0.2">
      <c r="A427" s="957" t="s">
        <v>170</v>
      </c>
      <c r="B427" s="957" t="s">
        <v>556</v>
      </c>
      <c r="C427" s="957" t="s">
        <v>10</v>
      </c>
      <c r="D427" s="146">
        <v>24</v>
      </c>
      <c r="E427" s="144">
        <v>250</v>
      </c>
      <c r="F427" s="143">
        <v>6000</v>
      </c>
    </row>
    <row r="428" spans="1:6" ht="9.75" customHeight="1" x14ac:dyDescent="0.2">
      <c r="A428" s="957" t="s">
        <v>171</v>
      </c>
      <c r="B428" s="957" t="s">
        <v>381</v>
      </c>
      <c r="C428" s="957" t="s">
        <v>10</v>
      </c>
      <c r="D428" s="139">
        <v>3</v>
      </c>
      <c r="E428" s="144">
        <v>200</v>
      </c>
      <c r="F428" s="145">
        <v>600</v>
      </c>
    </row>
    <row r="429" spans="1:6" ht="9.75" customHeight="1" x14ac:dyDescent="0.2">
      <c r="A429" s="957" t="s">
        <v>172</v>
      </c>
      <c r="B429" s="957" t="s">
        <v>174</v>
      </c>
      <c r="C429" s="957" t="s">
        <v>8</v>
      </c>
      <c r="D429" s="139">
        <v>1</v>
      </c>
      <c r="E429" s="144">
        <v>700</v>
      </c>
      <c r="F429" s="145">
        <v>700</v>
      </c>
    </row>
    <row r="430" spans="1:6" ht="9.75" customHeight="1" x14ac:dyDescent="0.2">
      <c r="A430" s="957" t="s">
        <v>173</v>
      </c>
      <c r="B430" s="957" t="s">
        <v>2349</v>
      </c>
      <c r="C430" s="957" t="s">
        <v>15</v>
      </c>
      <c r="D430" s="144">
        <v>500</v>
      </c>
      <c r="E430" s="146">
        <v>12</v>
      </c>
      <c r="F430" s="143">
        <v>6000</v>
      </c>
    </row>
    <row r="431" spans="1:6" ht="9.75" customHeight="1" x14ac:dyDescent="0.2">
      <c r="A431" s="957" t="s">
        <v>175</v>
      </c>
      <c r="B431" s="957" t="s">
        <v>474</v>
      </c>
      <c r="C431" s="957" t="s">
        <v>90</v>
      </c>
      <c r="D431" s="146">
        <v>48</v>
      </c>
      <c r="E431" s="146">
        <v>37.097999999999999</v>
      </c>
      <c r="F431" s="143">
        <v>1780.7</v>
      </c>
    </row>
    <row r="432" spans="1:6" ht="9.75" customHeight="1" x14ac:dyDescent="0.2">
      <c r="A432" s="957" t="s">
        <v>176</v>
      </c>
      <c r="B432" s="957" t="s">
        <v>502</v>
      </c>
      <c r="C432" s="957" t="s">
        <v>10</v>
      </c>
      <c r="D432" s="139">
        <v>1</v>
      </c>
      <c r="E432" s="144">
        <v>350</v>
      </c>
      <c r="F432" s="145">
        <v>350</v>
      </c>
    </row>
    <row r="433" spans="1:6" ht="9.75" customHeight="1" x14ac:dyDescent="0.2">
      <c r="A433" s="957" t="s">
        <v>177</v>
      </c>
      <c r="B433" s="957" t="s">
        <v>2158</v>
      </c>
      <c r="C433" s="957" t="s">
        <v>10</v>
      </c>
      <c r="D433" s="146">
        <v>11</v>
      </c>
      <c r="E433" s="142">
        <v>6000</v>
      </c>
      <c r="F433" s="141">
        <v>66000</v>
      </c>
    </row>
    <row r="434" spans="1:6" ht="9.75" customHeight="1" x14ac:dyDescent="0.2">
      <c r="A434" s="957" t="s">
        <v>178</v>
      </c>
      <c r="B434" s="957" t="s">
        <v>488</v>
      </c>
      <c r="C434" s="957" t="s">
        <v>10</v>
      </c>
      <c r="D434" s="146">
        <v>66</v>
      </c>
      <c r="E434" s="144">
        <v>300</v>
      </c>
      <c r="F434" s="141">
        <v>19800</v>
      </c>
    </row>
    <row r="435" spans="1:6" ht="9.75" customHeight="1" x14ac:dyDescent="0.2">
      <c r="A435" s="137" t="s">
        <v>557</v>
      </c>
      <c r="B435" s="137" t="s">
        <v>558</v>
      </c>
      <c r="C435" s="137"/>
      <c r="D435" s="138"/>
      <c r="E435" s="138"/>
      <c r="F435" s="681">
        <v>26659.67</v>
      </c>
    </row>
    <row r="436" spans="1:6" ht="9.75" customHeight="1" x14ac:dyDescent="0.2">
      <c r="A436" s="957" t="s">
        <v>559</v>
      </c>
      <c r="B436" s="957" t="s">
        <v>463</v>
      </c>
      <c r="C436" s="957" t="s">
        <v>7</v>
      </c>
      <c r="D436" s="139">
        <v>1</v>
      </c>
      <c r="E436" s="142">
        <v>2536.2051999999999</v>
      </c>
      <c r="F436" s="143">
        <v>2536.21</v>
      </c>
    </row>
    <row r="437" spans="1:6" ht="9.75" customHeight="1" x14ac:dyDescent="0.2">
      <c r="A437" s="957" t="s">
        <v>560</v>
      </c>
      <c r="B437" s="957" t="s">
        <v>462</v>
      </c>
      <c r="C437" s="957" t="s">
        <v>7</v>
      </c>
      <c r="D437" s="139">
        <v>1</v>
      </c>
      <c r="E437" s="140">
        <v>13000</v>
      </c>
      <c r="F437" s="141">
        <v>13000</v>
      </c>
    </row>
    <row r="438" spans="1:6" ht="9.75" customHeight="1" x14ac:dyDescent="0.2">
      <c r="A438" s="957" t="s">
        <v>561</v>
      </c>
      <c r="B438" s="957" t="s">
        <v>461</v>
      </c>
      <c r="C438" s="957" t="s">
        <v>8</v>
      </c>
      <c r="D438" s="139">
        <v>1</v>
      </c>
      <c r="E438" s="142">
        <v>1373.4502</v>
      </c>
      <c r="F438" s="143">
        <v>1373.46</v>
      </c>
    </row>
    <row r="439" spans="1:6" ht="9.75" customHeight="1" x14ac:dyDescent="0.2">
      <c r="A439" s="957" t="s">
        <v>562</v>
      </c>
      <c r="B439" s="957" t="s">
        <v>2159</v>
      </c>
      <c r="C439" s="957" t="s">
        <v>10</v>
      </c>
      <c r="D439" s="146">
        <v>44</v>
      </c>
      <c r="E439" s="144">
        <v>150</v>
      </c>
      <c r="F439" s="143">
        <v>6600</v>
      </c>
    </row>
    <row r="440" spans="1:6" ht="9.75" customHeight="1" x14ac:dyDescent="0.2">
      <c r="A440" s="957" t="s">
        <v>563</v>
      </c>
      <c r="B440" s="957" t="s">
        <v>431</v>
      </c>
      <c r="C440" s="957" t="s">
        <v>10</v>
      </c>
      <c r="D440" s="146">
        <v>21</v>
      </c>
      <c r="E440" s="144">
        <v>150</v>
      </c>
      <c r="F440" s="143">
        <v>3150</v>
      </c>
    </row>
    <row r="441" spans="1:6" ht="9.75" customHeight="1" x14ac:dyDescent="0.2">
      <c r="A441" s="137" t="s">
        <v>95</v>
      </c>
      <c r="B441" s="137" t="s">
        <v>564</v>
      </c>
      <c r="C441" s="137"/>
      <c r="D441" s="138"/>
      <c r="E441" s="138"/>
      <c r="F441" s="680">
        <v>311618.37</v>
      </c>
    </row>
    <row r="442" spans="1:6" ht="9.75" customHeight="1" x14ac:dyDescent="0.2">
      <c r="A442" s="137" t="s">
        <v>565</v>
      </c>
      <c r="B442" s="137" t="s">
        <v>566</v>
      </c>
      <c r="C442" s="137"/>
      <c r="D442" s="138"/>
      <c r="E442" s="138"/>
      <c r="F442" s="680">
        <v>234906.45</v>
      </c>
    </row>
    <row r="443" spans="1:6" ht="9.75" customHeight="1" x14ac:dyDescent="0.2">
      <c r="A443" s="957" t="s">
        <v>567</v>
      </c>
      <c r="B443" s="957" t="s">
        <v>831</v>
      </c>
      <c r="C443" s="957" t="s">
        <v>10</v>
      </c>
      <c r="D443" s="146">
        <v>22</v>
      </c>
      <c r="E443" s="142">
        <v>1000</v>
      </c>
      <c r="F443" s="141">
        <v>22000</v>
      </c>
    </row>
    <row r="444" spans="1:6" ht="9.75" customHeight="1" x14ac:dyDescent="0.2">
      <c r="A444" s="957" t="s">
        <v>568</v>
      </c>
      <c r="B444" s="957" t="s">
        <v>832</v>
      </c>
      <c r="C444" s="957" t="s">
        <v>10</v>
      </c>
      <c r="D444" s="146">
        <v>22</v>
      </c>
      <c r="E444" s="144">
        <v>900</v>
      </c>
      <c r="F444" s="141">
        <v>19800</v>
      </c>
    </row>
    <row r="445" spans="1:6" ht="9.75" customHeight="1" x14ac:dyDescent="0.2">
      <c r="A445" s="957" t="s">
        <v>569</v>
      </c>
      <c r="B445" s="957" t="s">
        <v>2362</v>
      </c>
      <c r="C445" s="957" t="s">
        <v>10</v>
      </c>
      <c r="D445" s="146">
        <v>22</v>
      </c>
      <c r="E445" s="142">
        <v>1000</v>
      </c>
      <c r="F445" s="141">
        <v>22000</v>
      </c>
    </row>
    <row r="446" spans="1:6" ht="9.75" customHeight="1" x14ac:dyDescent="0.2">
      <c r="A446" s="957" t="s">
        <v>570</v>
      </c>
      <c r="B446" s="957" t="s">
        <v>833</v>
      </c>
      <c r="C446" s="957" t="s">
        <v>10</v>
      </c>
      <c r="D446" s="146">
        <v>22</v>
      </c>
      <c r="E446" s="144">
        <v>400</v>
      </c>
      <c r="F446" s="143">
        <v>8800</v>
      </c>
    </row>
    <row r="447" spans="1:6" ht="19.350000000000001" customHeight="1" x14ac:dyDescent="0.2">
      <c r="A447" s="957" t="s">
        <v>571</v>
      </c>
      <c r="B447" s="957" t="s">
        <v>834</v>
      </c>
      <c r="C447" s="957" t="s">
        <v>10</v>
      </c>
      <c r="D447" s="146">
        <v>22</v>
      </c>
      <c r="E447" s="144">
        <v>488.94</v>
      </c>
      <c r="F447" s="141">
        <v>10756.68</v>
      </c>
    </row>
    <row r="448" spans="1:6" ht="9.75" customHeight="1" x14ac:dyDescent="0.2">
      <c r="A448" s="957" t="s">
        <v>572</v>
      </c>
      <c r="B448" s="957" t="s">
        <v>445</v>
      </c>
      <c r="C448" s="957" t="s">
        <v>10</v>
      </c>
      <c r="D448" s="146">
        <v>24</v>
      </c>
      <c r="E448" s="144">
        <v>150</v>
      </c>
      <c r="F448" s="143">
        <v>3600</v>
      </c>
    </row>
    <row r="449" spans="1:6" ht="9.75" customHeight="1" x14ac:dyDescent="0.2">
      <c r="A449" s="957" t="s">
        <v>573</v>
      </c>
      <c r="B449" s="957" t="s">
        <v>835</v>
      </c>
      <c r="C449" s="957" t="s">
        <v>10</v>
      </c>
      <c r="D449" s="146">
        <v>22</v>
      </c>
      <c r="E449" s="142">
        <v>1040</v>
      </c>
      <c r="F449" s="141">
        <v>22880</v>
      </c>
    </row>
    <row r="450" spans="1:6" ht="9.75" customHeight="1" x14ac:dyDescent="0.2">
      <c r="A450" s="957" t="s">
        <v>574</v>
      </c>
      <c r="B450" s="957" t="s">
        <v>437</v>
      </c>
      <c r="C450" s="957" t="s">
        <v>10</v>
      </c>
      <c r="D450" s="146">
        <v>22</v>
      </c>
      <c r="E450" s="144">
        <v>230.44399999999999</v>
      </c>
      <c r="F450" s="143">
        <v>5069.7700000000004</v>
      </c>
    </row>
    <row r="451" spans="1:6" ht="9.75" customHeight="1" x14ac:dyDescent="0.2">
      <c r="A451" s="957" t="s">
        <v>575</v>
      </c>
      <c r="B451" s="957" t="s">
        <v>439</v>
      </c>
      <c r="C451" s="957" t="s">
        <v>10</v>
      </c>
      <c r="D451" s="146">
        <v>24</v>
      </c>
      <c r="E451" s="142">
        <v>1500</v>
      </c>
      <c r="F451" s="141">
        <v>36000</v>
      </c>
    </row>
    <row r="452" spans="1:6" ht="9.75" customHeight="1" x14ac:dyDescent="0.2">
      <c r="A452" s="957" t="s">
        <v>836</v>
      </c>
      <c r="B452" s="957" t="s">
        <v>433</v>
      </c>
      <c r="C452" s="957" t="s">
        <v>10</v>
      </c>
      <c r="D452" s="146">
        <v>24</v>
      </c>
      <c r="E452" s="142">
        <v>3500</v>
      </c>
      <c r="F452" s="141">
        <v>84000</v>
      </c>
    </row>
    <row r="453" spans="1:6" ht="9.75" customHeight="1" x14ac:dyDescent="0.2">
      <c r="A453" s="137" t="s">
        <v>576</v>
      </c>
      <c r="B453" s="137" t="s">
        <v>117</v>
      </c>
      <c r="C453" s="137"/>
      <c r="D453" s="138"/>
      <c r="E453" s="138"/>
      <c r="F453" s="681">
        <v>76711.92</v>
      </c>
    </row>
    <row r="454" spans="1:6" ht="9.75" customHeight="1" x14ac:dyDescent="0.2">
      <c r="A454" s="957" t="s">
        <v>577</v>
      </c>
      <c r="B454" s="957" t="s">
        <v>578</v>
      </c>
      <c r="C454" s="957" t="s">
        <v>8</v>
      </c>
      <c r="D454" s="139">
        <v>2</v>
      </c>
      <c r="E454" s="144">
        <v>225</v>
      </c>
      <c r="F454" s="145">
        <v>450</v>
      </c>
    </row>
    <row r="455" spans="1:6" ht="9.75" customHeight="1" x14ac:dyDescent="0.2">
      <c r="A455" s="957" t="s">
        <v>579</v>
      </c>
      <c r="B455" s="957" t="s">
        <v>432</v>
      </c>
      <c r="C455" s="957" t="s">
        <v>7</v>
      </c>
      <c r="D455" s="139">
        <v>1</v>
      </c>
      <c r="E455" s="142">
        <v>5000</v>
      </c>
      <c r="F455" s="143">
        <v>5000</v>
      </c>
    </row>
    <row r="456" spans="1:6" ht="9.75" customHeight="1" x14ac:dyDescent="0.2">
      <c r="A456" s="957" t="s">
        <v>580</v>
      </c>
      <c r="B456" s="957" t="s">
        <v>837</v>
      </c>
      <c r="C456" s="957" t="s">
        <v>10</v>
      </c>
      <c r="D456" s="139">
        <v>1</v>
      </c>
      <c r="E456" s="142">
        <v>1600</v>
      </c>
      <c r="F456" s="143">
        <v>1600</v>
      </c>
    </row>
    <row r="457" spans="1:6" ht="9.75" customHeight="1" x14ac:dyDescent="0.2">
      <c r="A457" s="957" t="s">
        <v>581</v>
      </c>
      <c r="B457" s="957" t="s">
        <v>515</v>
      </c>
      <c r="C457" s="957" t="s">
        <v>8</v>
      </c>
      <c r="D457" s="146">
        <v>12</v>
      </c>
      <c r="E457" s="144">
        <v>517.39</v>
      </c>
      <c r="F457" s="143">
        <v>6208.68</v>
      </c>
    </row>
    <row r="458" spans="1:6" ht="9.75" customHeight="1" x14ac:dyDescent="0.2">
      <c r="A458" s="957" t="s">
        <v>582</v>
      </c>
      <c r="B458" s="957" t="s">
        <v>422</v>
      </c>
      <c r="C458" s="957" t="s">
        <v>94</v>
      </c>
      <c r="D458" s="144">
        <v>450</v>
      </c>
      <c r="E458" s="146">
        <v>57.066699999999997</v>
      </c>
      <c r="F458" s="141">
        <v>25680.02</v>
      </c>
    </row>
    <row r="459" spans="1:6" ht="9.75" customHeight="1" x14ac:dyDescent="0.2">
      <c r="A459" s="957" t="s">
        <v>583</v>
      </c>
      <c r="B459" s="957" t="s">
        <v>387</v>
      </c>
      <c r="C459" s="957" t="s">
        <v>7</v>
      </c>
      <c r="D459" s="139">
        <v>1</v>
      </c>
      <c r="E459" s="142">
        <v>7000</v>
      </c>
      <c r="F459" s="143">
        <v>7000</v>
      </c>
    </row>
    <row r="460" spans="1:6" ht="9.75" customHeight="1" x14ac:dyDescent="0.2">
      <c r="A460" s="957" t="s">
        <v>584</v>
      </c>
      <c r="B460" s="957" t="s">
        <v>441</v>
      </c>
      <c r="C460" s="957" t="s">
        <v>7</v>
      </c>
      <c r="D460" s="139">
        <v>1</v>
      </c>
      <c r="E460" s="142">
        <v>3000</v>
      </c>
      <c r="F460" s="143">
        <v>3000</v>
      </c>
    </row>
    <row r="461" spans="1:6" ht="9.75" customHeight="1" x14ac:dyDescent="0.2">
      <c r="A461" s="957" t="s">
        <v>585</v>
      </c>
      <c r="B461" s="957" t="s">
        <v>69</v>
      </c>
      <c r="C461" s="957" t="s">
        <v>7</v>
      </c>
      <c r="D461" s="139">
        <v>1</v>
      </c>
      <c r="E461" s="142">
        <v>8500</v>
      </c>
      <c r="F461" s="143">
        <v>8500</v>
      </c>
    </row>
    <row r="462" spans="1:6" ht="9.75" customHeight="1" x14ac:dyDescent="0.2">
      <c r="A462" s="957" t="s">
        <v>586</v>
      </c>
      <c r="B462" s="957" t="s">
        <v>377</v>
      </c>
      <c r="C462" s="957" t="s">
        <v>7</v>
      </c>
      <c r="D462" s="139">
        <v>1</v>
      </c>
      <c r="E462" s="142">
        <v>5500</v>
      </c>
      <c r="F462" s="143">
        <v>5500</v>
      </c>
    </row>
    <row r="463" spans="1:6" ht="9.75" customHeight="1" x14ac:dyDescent="0.2">
      <c r="A463" s="957" t="s">
        <v>587</v>
      </c>
      <c r="B463" s="957" t="s">
        <v>839</v>
      </c>
      <c r="C463" s="957" t="s">
        <v>7</v>
      </c>
      <c r="D463" s="139">
        <v>1</v>
      </c>
      <c r="E463" s="142">
        <v>5458.2223999999997</v>
      </c>
      <c r="F463" s="143">
        <v>5458.22</v>
      </c>
    </row>
    <row r="464" spans="1:6" ht="9.75" customHeight="1" x14ac:dyDescent="0.2">
      <c r="A464" s="957" t="s">
        <v>588</v>
      </c>
      <c r="B464" s="957" t="s">
        <v>429</v>
      </c>
      <c r="C464" s="957" t="s">
        <v>7</v>
      </c>
      <c r="D464" s="139">
        <v>1</v>
      </c>
      <c r="E464" s="142">
        <v>1000</v>
      </c>
      <c r="F464" s="143">
        <v>1000</v>
      </c>
    </row>
    <row r="465" spans="1:6" ht="9.75" customHeight="1" x14ac:dyDescent="0.2">
      <c r="A465" s="957" t="s">
        <v>589</v>
      </c>
      <c r="B465" s="957" t="s">
        <v>2160</v>
      </c>
      <c r="C465" s="957" t="s">
        <v>7</v>
      </c>
      <c r="D465" s="139">
        <v>1</v>
      </c>
      <c r="E465" s="142">
        <v>1315</v>
      </c>
      <c r="F465" s="143">
        <v>1315</v>
      </c>
    </row>
    <row r="466" spans="1:6" ht="9.75" customHeight="1" x14ac:dyDescent="0.2">
      <c r="A466" s="957" t="s">
        <v>2161</v>
      </c>
      <c r="B466" s="957" t="s">
        <v>11</v>
      </c>
      <c r="C466" s="957" t="s">
        <v>7</v>
      </c>
      <c r="D466" s="139">
        <v>1</v>
      </c>
      <c r="E466" s="144">
        <v>200</v>
      </c>
      <c r="F466" s="145">
        <v>200</v>
      </c>
    </row>
    <row r="467" spans="1:6" ht="9.75" customHeight="1" x14ac:dyDescent="0.2">
      <c r="A467" s="957" t="s">
        <v>2162</v>
      </c>
      <c r="B467" s="957" t="s">
        <v>2163</v>
      </c>
      <c r="C467" s="957" t="s">
        <v>13</v>
      </c>
      <c r="D467" s="142">
        <v>1160</v>
      </c>
      <c r="E467" s="139">
        <v>5</v>
      </c>
      <c r="F467" s="143">
        <v>5800</v>
      </c>
    </row>
    <row r="468" spans="1:6" ht="9.75" customHeight="1" x14ac:dyDescent="0.2">
      <c r="A468" s="137" t="s">
        <v>105</v>
      </c>
      <c r="B468" s="137" t="s">
        <v>590</v>
      </c>
      <c r="C468" s="137"/>
      <c r="D468" s="138"/>
      <c r="E468" s="138"/>
      <c r="F468" s="682">
        <v>1147539.96</v>
      </c>
    </row>
    <row r="469" spans="1:6" ht="9.75" customHeight="1" x14ac:dyDescent="0.2">
      <c r="A469" s="957" t="s">
        <v>106</v>
      </c>
      <c r="B469" s="957" t="s">
        <v>591</v>
      </c>
      <c r="C469" s="957" t="s">
        <v>7</v>
      </c>
      <c r="D469" s="139">
        <v>1</v>
      </c>
      <c r="E469" s="687">
        <v>1147539.96</v>
      </c>
      <c r="F469" s="688">
        <v>1147539.96</v>
      </c>
    </row>
    <row r="470" spans="1:6" ht="18" customHeight="1" x14ac:dyDescent="0.2">
      <c r="A470" s="246" t="s">
        <v>62</v>
      </c>
      <c r="B470" s="246"/>
      <c r="C470" s="246"/>
      <c r="D470" s="246"/>
      <c r="E470" s="246"/>
      <c r="F470" s="686">
        <v>3339583.99</v>
      </c>
    </row>
    <row r="471" spans="1:6" ht="23.25" customHeight="1" x14ac:dyDescent="0.2">
      <c r="A471" s="246" t="s">
        <v>67</v>
      </c>
      <c r="B471" s="246"/>
      <c r="C471" s="246"/>
      <c r="D471" s="246"/>
      <c r="E471" s="246"/>
      <c r="F471" s="686">
        <v>8797806.3599999994</v>
      </c>
    </row>
  </sheetData>
  <sheetProtection selectLockedCells="1"/>
  <autoFilter ref="D4:D420"/>
  <mergeCells count="3">
    <mergeCell ref="C1:F1"/>
    <mergeCell ref="C2:F2"/>
    <mergeCell ref="A1:B2"/>
  </mergeCells>
  <phoneticPr fontId="0" type="noConversion"/>
  <printOptions horizontalCentered="1"/>
  <pageMargins left="0.51181102362204722" right="0.55118110236220474" top="0.82677165354330717" bottom="0.39370078740157483" header="0.51181102362204722" footer="0"/>
  <pageSetup paperSize="9" scale="71" orientation="portrait" r:id="rId1"/>
  <headerFooter alignWithMargins="0">
    <oddFooter>&amp;C&amp;8&amp;P / &amp;N&amp;R&amp;8Construtora Marka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topLeftCell="B1" zoomScale="60" zoomScaleNormal="60" workbookViewId="0">
      <selection activeCell="F13" sqref="F13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4" width="12.570312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2.570312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6" width="11.5703125" style="1" customWidth="1"/>
    <col min="27" max="27" width="15.85546875" style="1" customWidth="1"/>
    <col min="28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1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/>
      <c r="AG1" s="2"/>
      <c r="AJ1" s="1"/>
      <c r="AK1" s="3"/>
    </row>
    <row r="2" spans="1:42" s="150" customFormat="1" ht="26.25" customHeight="1" x14ac:dyDescent="0.2">
      <c r="B2" s="1015" t="s">
        <v>14</v>
      </c>
      <c r="C2" s="1015"/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1015"/>
      <c r="V2" s="1015"/>
      <c r="W2" s="1015"/>
      <c r="X2" s="1015"/>
      <c r="Y2" s="1015"/>
      <c r="Z2" s="1015"/>
      <c r="AA2" s="1015"/>
      <c r="AB2" s="1015"/>
      <c r="AC2" s="1015"/>
      <c r="AD2" s="1015"/>
      <c r="AJ2" s="151"/>
    </row>
    <row r="3" spans="1:42" ht="18" customHeight="1" x14ac:dyDescent="0.2">
      <c r="B3" s="1016" t="s">
        <v>1346</v>
      </c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4"/>
      <c r="AF3" s="4"/>
      <c r="AG3" s="4"/>
    </row>
    <row r="4" spans="1:42" ht="37.5" customHeight="1" x14ac:dyDescent="0.2">
      <c r="B4" s="8" t="s">
        <v>2</v>
      </c>
      <c r="C4" s="9">
        <v>44013</v>
      </c>
      <c r="D4" s="9">
        <v>44044</v>
      </c>
      <c r="E4" s="9">
        <v>44075</v>
      </c>
      <c r="F4" s="9">
        <v>44105</v>
      </c>
      <c r="G4" s="9">
        <v>44136</v>
      </c>
      <c r="H4" s="9">
        <v>44166</v>
      </c>
      <c r="I4" s="9">
        <v>44197</v>
      </c>
      <c r="J4" s="9">
        <v>44228</v>
      </c>
      <c r="K4" s="9">
        <v>44256</v>
      </c>
      <c r="L4" s="9">
        <v>44287</v>
      </c>
      <c r="M4" s="9">
        <v>44317</v>
      </c>
      <c r="N4" s="9">
        <v>44348</v>
      </c>
      <c r="O4" s="9">
        <v>44378</v>
      </c>
      <c r="P4" s="9">
        <v>44409</v>
      </c>
      <c r="Q4" s="9">
        <v>44440</v>
      </c>
      <c r="R4" s="9">
        <v>44470</v>
      </c>
      <c r="S4" s="9">
        <v>44501</v>
      </c>
      <c r="T4" s="9">
        <v>44531</v>
      </c>
      <c r="U4" s="9">
        <v>44562</v>
      </c>
      <c r="V4" s="9">
        <v>44593</v>
      </c>
      <c r="W4" s="9">
        <v>44621</v>
      </c>
      <c r="X4" s="9">
        <v>44652</v>
      </c>
      <c r="Y4" s="9">
        <v>44682</v>
      </c>
      <c r="Z4" s="9">
        <v>44713</v>
      </c>
      <c r="AA4" s="9">
        <v>44743</v>
      </c>
      <c r="AB4" s="9"/>
      <c r="AC4" s="9"/>
      <c r="AD4" s="9"/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>
        <v>0</v>
      </c>
      <c r="D6" s="135">
        <v>1.5900000000000001E-2</v>
      </c>
      <c r="E6" s="135">
        <v>3.7022152579459296E-2</v>
      </c>
      <c r="F6" s="135">
        <f>F7-E7</f>
        <v>4.9266891709810405E-2</v>
      </c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f>INDEX($D$6:$AA$6,,$AJ$6)</f>
        <v>4.9266891709810405E-2</v>
      </c>
      <c r="AF6" s="345"/>
      <c r="AG6" s="345"/>
      <c r="AH6" s="17">
        <f>COUNTBLANK($C$6:$AA$6)</f>
        <v>21</v>
      </c>
      <c r="AI6" s="17">
        <f>+$AA$1</f>
        <v>24</v>
      </c>
      <c r="AJ6" s="18">
        <f>+$AI$6-$AH$6</f>
        <v>3</v>
      </c>
      <c r="AK6" s="19" t="s">
        <v>21</v>
      </c>
      <c r="AL6" s="20"/>
      <c r="AM6" s="343" t="str">
        <f>+$AK$6&amp;$AL$6&amp;$AP$6*100&amp;" %"</f>
        <v>% Executado no mês  4,93 %</v>
      </c>
      <c r="AN6" s="19"/>
      <c r="AO6" s="19"/>
      <c r="AP6" s="346">
        <f>ROUND($AE$6,4)</f>
        <v>4.9299999999999997E-2</v>
      </c>
    </row>
    <row r="7" spans="1:42" ht="40.15" customHeight="1" x14ac:dyDescent="0.2">
      <c r="A7" s="31" t="s">
        <v>22</v>
      </c>
      <c r="B7" s="32" t="s">
        <v>23</v>
      </c>
      <c r="C7" s="135">
        <v>0</v>
      </c>
      <c r="D7" s="135">
        <v>1.5883790570214537E-2</v>
      </c>
      <c r="E7" s="136">
        <v>5.2905943149673833E-2</v>
      </c>
      <c r="F7" s="136">
        <f>'Análise Física Detalhada'!$P$481</f>
        <v>0.10217283485948424</v>
      </c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f>INDEX($D$7:$AA$7,,$AJ$7)</f>
        <v>0.10217283485948424</v>
      </c>
      <c r="AF7" s="345"/>
      <c r="AG7" s="345"/>
      <c r="AH7" s="17">
        <f>COUNTBLANK($C$7:$AA$7)</f>
        <v>21</v>
      </c>
      <c r="AI7" s="17">
        <f>+$AA$1</f>
        <v>24</v>
      </c>
      <c r="AJ7" s="18">
        <f>+$AI$7-$AH$7</f>
        <v>3</v>
      </c>
      <c r="AK7" s="19" t="s">
        <v>24</v>
      </c>
      <c r="AL7" s="20"/>
      <c r="AM7" s="343" t="str">
        <f>+$AK$7&amp;$AL$7&amp;$AP$7*100&amp;" %"</f>
        <v>% Acumulado até a data  10,22 %</v>
      </c>
      <c r="AN7" s="19"/>
      <c r="AO7" s="19"/>
      <c r="AP7" s="346">
        <f>ROUND($AE$7,4)</f>
        <v>0.1022</v>
      </c>
    </row>
    <row r="8" spans="1:42" x14ac:dyDescent="0.2">
      <c r="C8" s="34">
        <f t="shared" ref="C8:AA8" si="0">+C9</f>
        <v>31</v>
      </c>
      <c r="D8" s="34">
        <f t="shared" si="0"/>
        <v>30</v>
      </c>
      <c r="E8" s="34">
        <f t="shared" si="0"/>
        <v>31</v>
      </c>
      <c r="F8" s="34">
        <f t="shared" si="0"/>
        <v>30</v>
      </c>
      <c r="G8" s="34">
        <f t="shared" si="0"/>
        <v>31</v>
      </c>
      <c r="H8" s="34">
        <f t="shared" si="0"/>
        <v>31</v>
      </c>
      <c r="I8" s="34">
        <f t="shared" si="0"/>
        <v>28</v>
      </c>
      <c r="J8" s="34">
        <f t="shared" si="0"/>
        <v>31</v>
      </c>
      <c r="K8" s="34">
        <f t="shared" si="0"/>
        <v>30</v>
      </c>
      <c r="L8" s="34">
        <f t="shared" si="0"/>
        <v>31</v>
      </c>
      <c r="M8" s="34">
        <f t="shared" si="0"/>
        <v>30</v>
      </c>
      <c r="N8" s="34">
        <f t="shared" si="0"/>
        <v>31</v>
      </c>
      <c r="O8" s="34">
        <f t="shared" ref="O8" si="1">+O9</f>
        <v>31</v>
      </c>
      <c r="P8" s="34">
        <f t="shared" si="0"/>
        <v>30</v>
      </c>
      <c r="Q8" s="34">
        <f t="shared" si="0"/>
        <v>31</v>
      </c>
      <c r="R8" s="34">
        <f t="shared" si="0"/>
        <v>30</v>
      </c>
      <c r="S8" s="34">
        <f t="shared" si="0"/>
        <v>31</v>
      </c>
      <c r="T8" s="34">
        <f t="shared" si="0"/>
        <v>31</v>
      </c>
      <c r="U8" s="34">
        <f t="shared" si="0"/>
        <v>28</v>
      </c>
      <c r="V8" s="34">
        <f t="shared" si="0"/>
        <v>31</v>
      </c>
      <c r="W8" s="34">
        <f t="shared" si="0"/>
        <v>30</v>
      </c>
      <c r="X8" s="34">
        <f t="shared" si="0"/>
        <v>31</v>
      </c>
      <c r="Y8" s="34">
        <f t="shared" si="0"/>
        <v>30</v>
      </c>
      <c r="Z8" s="34">
        <f t="shared" si="0"/>
        <v>31</v>
      </c>
      <c r="AA8" s="34">
        <f t="shared" si="0"/>
        <v>31</v>
      </c>
      <c r="AB8" s="34"/>
      <c r="AC8" s="34"/>
      <c r="AD8" s="34"/>
      <c r="AI8" s="25"/>
    </row>
    <row r="9" spans="1:42" x14ac:dyDescent="0.2">
      <c r="C9" s="34">
        <f t="shared" ref="C9:N9" si="2">+C11-C10+1</f>
        <v>31</v>
      </c>
      <c r="D9" s="34">
        <f t="shared" si="2"/>
        <v>30</v>
      </c>
      <c r="E9" s="34">
        <f t="shared" si="2"/>
        <v>31</v>
      </c>
      <c r="F9" s="34">
        <f t="shared" si="2"/>
        <v>30</v>
      </c>
      <c r="G9" s="34">
        <f t="shared" si="2"/>
        <v>31</v>
      </c>
      <c r="H9" s="34">
        <f t="shared" si="2"/>
        <v>31</v>
      </c>
      <c r="I9" s="34">
        <f t="shared" si="2"/>
        <v>28</v>
      </c>
      <c r="J9" s="34">
        <f t="shared" si="2"/>
        <v>31</v>
      </c>
      <c r="K9" s="34">
        <f t="shared" si="2"/>
        <v>30</v>
      </c>
      <c r="L9" s="34">
        <f t="shared" si="2"/>
        <v>31</v>
      </c>
      <c r="M9" s="34">
        <f t="shared" si="2"/>
        <v>30</v>
      </c>
      <c r="N9" s="34">
        <f t="shared" si="2"/>
        <v>31</v>
      </c>
      <c r="O9" s="34">
        <f t="shared" ref="O9" si="3">+O11-O10+1</f>
        <v>31</v>
      </c>
      <c r="P9" s="34">
        <f t="shared" ref="P9:AA9" si="4">+P11-P10+1</f>
        <v>30</v>
      </c>
      <c r="Q9" s="34">
        <f t="shared" si="4"/>
        <v>31</v>
      </c>
      <c r="R9" s="34">
        <f t="shared" si="4"/>
        <v>30</v>
      </c>
      <c r="S9" s="34">
        <f t="shared" si="4"/>
        <v>31</v>
      </c>
      <c r="T9" s="34">
        <f t="shared" si="4"/>
        <v>31</v>
      </c>
      <c r="U9" s="34">
        <f t="shared" si="4"/>
        <v>28</v>
      </c>
      <c r="V9" s="34">
        <f t="shared" si="4"/>
        <v>31</v>
      </c>
      <c r="W9" s="34">
        <f t="shared" si="4"/>
        <v>30</v>
      </c>
      <c r="X9" s="34">
        <f t="shared" si="4"/>
        <v>31</v>
      </c>
      <c r="Y9" s="34">
        <f t="shared" si="4"/>
        <v>30</v>
      </c>
      <c r="Z9" s="34">
        <f t="shared" si="4"/>
        <v>31</v>
      </c>
      <c r="AA9" s="34">
        <f t="shared" si="4"/>
        <v>31</v>
      </c>
      <c r="AB9" s="34"/>
      <c r="AC9" s="34"/>
      <c r="AD9" s="34"/>
      <c r="AI9" s="25"/>
    </row>
    <row r="10" spans="1:42" x14ac:dyDescent="0.2">
      <c r="C10" s="35">
        <v>44044</v>
      </c>
      <c r="D10" s="35">
        <v>44075</v>
      </c>
      <c r="E10" s="35">
        <v>44105</v>
      </c>
      <c r="F10" s="35">
        <v>44136</v>
      </c>
      <c r="G10" s="35">
        <v>44166</v>
      </c>
      <c r="H10" s="35">
        <v>44197</v>
      </c>
      <c r="I10" s="35">
        <v>44228</v>
      </c>
      <c r="J10" s="35">
        <v>44256</v>
      </c>
      <c r="K10" s="35">
        <v>44287</v>
      </c>
      <c r="L10" s="35">
        <v>44317</v>
      </c>
      <c r="M10" s="35">
        <v>44348</v>
      </c>
      <c r="N10" s="35">
        <v>44378</v>
      </c>
      <c r="O10" s="35">
        <v>44409</v>
      </c>
      <c r="P10" s="35">
        <v>44440</v>
      </c>
      <c r="Q10" s="35">
        <v>44470</v>
      </c>
      <c r="R10" s="35">
        <v>44501</v>
      </c>
      <c r="S10" s="35">
        <v>44531</v>
      </c>
      <c r="T10" s="35">
        <v>44562</v>
      </c>
      <c r="U10" s="35">
        <v>44593</v>
      </c>
      <c r="V10" s="35">
        <v>44621</v>
      </c>
      <c r="W10" s="35">
        <v>44652</v>
      </c>
      <c r="X10" s="35">
        <v>44682</v>
      </c>
      <c r="Y10" s="35">
        <v>44713</v>
      </c>
      <c r="Z10" s="35">
        <v>44743</v>
      </c>
      <c r="AA10" s="35">
        <v>44774</v>
      </c>
      <c r="AB10" s="35"/>
      <c r="AC10" s="35"/>
      <c r="AD10" s="35"/>
      <c r="AI10" s="25"/>
    </row>
    <row r="11" spans="1:42" x14ac:dyDescent="0.2">
      <c r="B11" s="1" t="s">
        <v>25</v>
      </c>
      <c r="C11" s="35">
        <v>44074</v>
      </c>
      <c r="D11" s="35">
        <v>44104</v>
      </c>
      <c r="E11" s="35">
        <v>44135</v>
      </c>
      <c r="F11" s="35">
        <v>44165</v>
      </c>
      <c r="G11" s="35">
        <v>44196</v>
      </c>
      <c r="H11" s="35">
        <v>44227</v>
      </c>
      <c r="I11" s="35">
        <v>44255</v>
      </c>
      <c r="J11" s="35">
        <v>44286</v>
      </c>
      <c r="K11" s="35">
        <v>44316</v>
      </c>
      <c r="L11" s="35">
        <v>44347</v>
      </c>
      <c r="M11" s="35">
        <v>44377</v>
      </c>
      <c r="N11" s="35">
        <v>44408</v>
      </c>
      <c r="O11" s="35">
        <v>44439</v>
      </c>
      <c r="P11" s="35">
        <v>44469</v>
      </c>
      <c r="Q11" s="35">
        <v>44500</v>
      </c>
      <c r="R11" s="35">
        <v>44530</v>
      </c>
      <c r="S11" s="35">
        <v>44561</v>
      </c>
      <c r="T11" s="35">
        <v>44592</v>
      </c>
      <c r="U11" s="35">
        <v>44620</v>
      </c>
      <c r="V11" s="35">
        <v>44651</v>
      </c>
      <c r="W11" s="35">
        <v>44681</v>
      </c>
      <c r="X11" s="35">
        <v>44712</v>
      </c>
      <c r="Y11" s="35">
        <v>44742</v>
      </c>
      <c r="Z11" s="35">
        <v>44773</v>
      </c>
      <c r="AA11" s="35">
        <v>44804</v>
      </c>
      <c r="AB11" s="35"/>
      <c r="AC11" s="35"/>
      <c r="AD11" s="35"/>
      <c r="AE11" s="35"/>
      <c r="AH11" s="17"/>
      <c r="AI11" s="17"/>
      <c r="AJ11" s="18"/>
    </row>
    <row r="12" spans="1:42" x14ac:dyDescent="0.2">
      <c r="A12" s="1" t="s">
        <v>207</v>
      </c>
      <c r="B12" s="36" t="s">
        <v>26</v>
      </c>
      <c r="C12" s="132">
        <f>C13</f>
        <v>1.2E-2</v>
      </c>
      <c r="D12" s="132">
        <v>1.5900000000000001E-2</v>
      </c>
      <c r="E12" s="132">
        <f t="shared" ref="E12:H12" si="5">E13-D13</f>
        <v>7.2216209429785475E-2</v>
      </c>
      <c r="F12" s="132">
        <f t="shared" si="5"/>
        <v>5.0603303854030252E-2</v>
      </c>
      <c r="G12" s="132">
        <f t="shared" si="5"/>
        <v>2.0996696145969745E-2</v>
      </c>
      <c r="H12" s="132">
        <f t="shared" si="5"/>
        <v>4.1799999999999976E-2</v>
      </c>
      <c r="I12" s="132">
        <f t="shared" ref="I12" si="6">I13-H13</f>
        <v>3.7600000000000022E-2</v>
      </c>
      <c r="J12" s="132">
        <f t="shared" ref="J12" si="7">J13-I13</f>
        <v>3.5399999999999959E-2</v>
      </c>
      <c r="K12" s="132">
        <f t="shared" ref="K12" si="8">K13-J13</f>
        <v>3.3000000000000029E-2</v>
      </c>
      <c r="L12" s="132">
        <f t="shared" ref="L12" si="9">L13-K13</f>
        <v>3.9700000000000013E-2</v>
      </c>
      <c r="M12" s="132">
        <f t="shared" ref="M12" si="10">M13-L13</f>
        <v>5.5999999999999994E-2</v>
      </c>
      <c r="N12" s="132">
        <f t="shared" ref="N12" si="11">N13-M13</f>
        <v>4.1399999999999992E-2</v>
      </c>
      <c r="O12" s="132">
        <f t="shared" ref="O12" si="12">O13-N13</f>
        <v>2.789999999999998E-2</v>
      </c>
      <c r="P12" s="132">
        <f t="shared" ref="P12" si="13">P13-O13</f>
        <v>3.6899999999999988E-2</v>
      </c>
      <c r="Q12" s="132">
        <f t="shared" ref="Q12" si="14">Q13-P13</f>
        <v>3.620000000000001E-2</v>
      </c>
      <c r="R12" s="132">
        <f t="shared" ref="R12" si="15">R13-Q13</f>
        <v>4.1100000000000025E-2</v>
      </c>
      <c r="S12" s="132">
        <f t="shared" ref="S12" si="16">S13-R13</f>
        <v>4.500000000000004E-2</v>
      </c>
      <c r="T12" s="132">
        <f t="shared" ref="T12" si="17">T13-S13</f>
        <v>4.489999999999994E-2</v>
      </c>
      <c r="U12" s="132">
        <f t="shared" ref="U12" si="18">U13-T13</f>
        <v>3.630000000000011E-2</v>
      </c>
      <c r="V12" s="132">
        <f t="shared" ref="V12" si="19">V13-U13</f>
        <v>5.0799999999999956E-2</v>
      </c>
      <c r="W12" s="132">
        <f t="shared" ref="W12" si="20">W13-V13</f>
        <v>6.2799999999999967E-2</v>
      </c>
      <c r="X12" s="132">
        <f t="shared" ref="X12" si="21">X13-W13</f>
        <v>5.6199999999999917E-2</v>
      </c>
      <c r="Y12" s="132">
        <f t="shared" ref="Y12" si="22">Y13-X13</f>
        <v>5.0700000000000078E-2</v>
      </c>
      <c r="Z12" s="132">
        <f t="shared" ref="Z12" si="23">Z13-Y13</f>
        <v>4.379999999999995E-2</v>
      </c>
      <c r="AA12" s="132">
        <f t="shared" ref="AA12" si="24">AA13-Z13</f>
        <v>2.2800000000000042E-2</v>
      </c>
      <c r="AB12" s="132"/>
      <c r="AC12" s="132"/>
      <c r="AD12" s="132"/>
      <c r="AE12" s="3"/>
      <c r="AJ12" s="1"/>
    </row>
    <row r="13" spans="1:42" x14ac:dyDescent="0.2">
      <c r="A13" s="1" t="s">
        <v>208</v>
      </c>
      <c r="B13" s="37" t="s">
        <v>27</v>
      </c>
      <c r="C13" s="132">
        <v>1.2E-2</v>
      </c>
      <c r="D13" s="132">
        <v>1.5883790570214537E-2</v>
      </c>
      <c r="E13" s="132">
        <f>VLOOKUP($A13,Plan3!$B$486:$CN$487,COLUMNS(Plan3!$B$486:J$486)+1+2*COLUMNS(Plan3!$H$486:J$486),0)/100</f>
        <v>8.8100000000000012E-2</v>
      </c>
      <c r="F13" s="333">
        <v>0.13870330385403026</v>
      </c>
      <c r="G13" s="132">
        <f>VLOOKUP($A13,Plan3!$B$486:$CN$487,COLUMNS(Plan3!$B$486:L$486)+1+2*COLUMNS(Plan3!$H$486:L$486),0)/100</f>
        <v>0.15970000000000001</v>
      </c>
      <c r="H13" s="132">
        <f>VLOOKUP($A13,Plan3!$B$486:$CN$487,COLUMNS(Plan3!$B$486:M$486)+1+2*COLUMNS(Plan3!$H$486:M$486),0)/100</f>
        <v>0.20149999999999998</v>
      </c>
      <c r="I13" s="132">
        <f>VLOOKUP($A13,Plan3!$B$486:$CN$487,COLUMNS(Plan3!$B$486:N$486)+1+2*COLUMNS(Plan3!$H$486:N$486),0)/100</f>
        <v>0.23910000000000001</v>
      </c>
      <c r="J13" s="132">
        <f>VLOOKUP($A13,Plan3!$B$486:$CN$487,COLUMNS(Plan3!$B$486:O$486)+1+2*COLUMNS(Plan3!$H$486:O$486),0)/100</f>
        <v>0.27449999999999997</v>
      </c>
      <c r="K13" s="132">
        <f>VLOOKUP($A13,Plan3!$B$486:$CN$487,COLUMNS(Plan3!$B$486:P$486)+1+2*COLUMNS(Plan3!$H$486:P$486),0)/100</f>
        <v>0.3075</v>
      </c>
      <c r="L13" s="132">
        <f>VLOOKUP($A13,Plan3!$B$486:$CN$487,COLUMNS(Plan3!$B$486:Q$486)+1+2*COLUMNS(Plan3!$H$486:Q$486),0)/100</f>
        <v>0.34720000000000001</v>
      </c>
      <c r="M13" s="132">
        <f>VLOOKUP($A13,Plan3!$B$486:$CN$487,COLUMNS(Plan3!$B$486:R$486)+1+2*COLUMNS(Plan3!$H$486:R$486),0)/100</f>
        <v>0.4032</v>
      </c>
      <c r="N13" s="132">
        <f>VLOOKUP($A13,Plan3!$B$486:$CN$487,COLUMNS(Plan3!$B$486:S$486)+1+2*COLUMNS(Plan3!$H$486:S$486),0)/100</f>
        <v>0.4446</v>
      </c>
      <c r="O13" s="132">
        <f>VLOOKUP($A13,Plan3!$B$486:$CN$487,COLUMNS(Plan3!$B$486:T$486)+1+2*COLUMNS(Plan3!$H$486:T$486),0)/100</f>
        <v>0.47249999999999998</v>
      </c>
      <c r="P13" s="132">
        <f>VLOOKUP($A13,Plan3!$B$486:$CN$487,COLUMNS(Plan3!$B$486:U$486)+1+2*COLUMNS(Plan3!$H$486:U$486),0)/100</f>
        <v>0.50939999999999996</v>
      </c>
      <c r="Q13" s="132">
        <f>VLOOKUP($A13,Plan3!$B$486:$CN$487,COLUMNS(Plan3!$B$486:V$486)+1+2*COLUMNS(Plan3!$H$486:V$486),0)/100</f>
        <v>0.54559999999999997</v>
      </c>
      <c r="R13" s="132">
        <f>VLOOKUP($A13,Plan3!$B$486:$CN$487,COLUMNS(Plan3!$B$486:W$486)+1+2*COLUMNS(Plan3!$H$486:W$486),0)/100</f>
        <v>0.5867</v>
      </c>
      <c r="S13" s="132">
        <f>VLOOKUP($A13,Plan3!$B$486:$CN$487,COLUMNS(Plan3!$B$486:X$486)+1+2*COLUMNS(Plan3!$H$486:X$486),0)/100</f>
        <v>0.63170000000000004</v>
      </c>
      <c r="T13" s="132">
        <f>VLOOKUP($A13,Plan3!$B$486:$CN$487,COLUMNS(Plan3!$B$486:Y$486)+1+2*COLUMNS(Plan3!$H$486:Y$486),0)/100</f>
        <v>0.67659999999999998</v>
      </c>
      <c r="U13" s="132">
        <f>VLOOKUP($A13,Plan3!$B$486:$CN$487,COLUMNS(Plan3!$B$486:Z$486)+1+2*COLUMNS(Plan3!$H$486:Z$486),0)/100</f>
        <v>0.71290000000000009</v>
      </c>
      <c r="V13" s="132">
        <f>VLOOKUP($A13,Plan3!$B$486:$CN$487,COLUMNS(Plan3!$B$486:AA$486)+1+2*COLUMNS(Plan3!$H$486:AA$486),0)/100</f>
        <v>0.76370000000000005</v>
      </c>
      <c r="W13" s="132">
        <f>VLOOKUP($A13,Plan3!$B$486:$CN$487,COLUMNS(Plan3!$B$486:AB$486)+1+2*COLUMNS(Plan3!$H$486:AB$486),0)/100</f>
        <v>0.82650000000000001</v>
      </c>
      <c r="X13" s="132">
        <f>VLOOKUP($A13,Plan3!$B$486:$CN$487,COLUMNS(Plan3!$B$486:AC$486)+1+2*COLUMNS(Plan3!$H$486:AC$486),0)/100</f>
        <v>0.88269999999999993</v>
      </c>
      <c r="Y13" s="132">
        <f>VLOOKUP($A13,Plan3!$B$486:$CN$487,COLUMNS(Plan3!$B$486:AD$486)+1+2*COLUMNS(Plan3!$H$486:AD$486),0)/100</f>
        <v>0.93340000000000001</v>
      </c>
      <c r="Z13" s="132">
        <f>VLOOKUP($A13,Plan3!$B$486:$CN$487,COLUMNS(Plan3!$B$486:AE$486)+1+2*COLUMNS(Plan3!$H$486:AE$486),0)/100</f>
        <v>0.97719999999999996</v>
      </c>
      <c r="AA13" s="333">
        <v>1</v>
      </c>
      <c r="AB13" s="132"/>
      <c r="AC13" s="132"/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1016" t="s">
        <v>1347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4"/>
      <c r="AF15" s="4"/>
      <c r="AG15" s="4"/>
    </row>
    <row r="16" spans="1:42" ht="37.5" customHeight="1" x14ac:dyDescent="0.2">
      <c r="B16" s="8" t="s">
        <v>2</v>
      </c>
      <c r="C16" s="9">
        <v>44013</v>
      </c>
      <c r="D16" s="9">
        <v>44044</v>
      </c>
      <c r="E16" s="9">
        <v>44075</v>
      </c>
      <c r="F16" s="9">
        <v>44105</v>
      </c>
      <c r="G16" s="9">
        <v>44136</v>
      </c>
      <c r="H16" s="9">
        <v>44166</v>
      </c>
      <c r="I16" s="9">
        <v>44197</v>
      </c>
      <c r="J16" s="9">
        <v>44228</v>
      </c>
      <c r="K16" s="9">
        <v>44256</v>
      </c>
      <c r="L16" s="9">
        <v>44287</v>
      </c>
      <c r="M16" s="9">
        <v>44317</v>
      </c>
      <c r="N16" s="9">
        <v>44348</v>
      </c>
      <c r="O16" s="9">
        <v>44378</v>
      </c>
      <c r="P16" s="9">
        <v>44409</v>
      </c>
      <c r="Q16" s="9">
        <v>44440</v>
      </c>
      <c r="R16" s="9">
        <v>44470</v>
      </c>
      <c r="S16" s="9">
        <v>44501</v>
      </c>
      <c r="T16" s="9">
        <v>44531</v>
      </c>
      <c r="U16" s="9">
        <v>44562</v>
      </c>
      <c r="V16" s="9">
        <v>44593</v>
      </c>
      <c r="W16" s="9">
        <v>44621</v>
      </c>
      <c r="X16" s="9">
        <v>44652</v>
      </c>
      <c r="Y16" s="9">
        <v>44682</v>
      </c>
      <c r="Z16" s="9">
        <v>44713</v>
      </c>
      <c r="AA16" s="9">
        <v>44743</v>
      </c>
      <c r="AB16" s="9"/>
      <c r="AC16" s="9"/>
      <c r="AD16" s="9"/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756</v>
      </c>
      <c r="B18" s="566" t="s">
        <v>755</v>
      </c>
      <c r="C18" s="850" t="s">
        <v>1584</v>
      </c>
      <c r="D18" s="22">
        <v>1</v>
      </c>
      <c r="E18" s="22">
        <v>0.81572806596887149</v>
      </c>
      <c r="F18" s="22">
        <f>F20/F26</f>
        <v>0.89534526711319229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883">
        <f>INDEX($D$18:$AA$18,,$AJ$18)-1</f>
        <v>-0.10465473288680771</v>
      </c>
      <c r="AF18" s="588">
        <f>+$AE$18+1</f>
        <v>0.89534526711319229</v>
      </c>
      <c r="AG18" s="16">
        <f>$AF$18-1</f>
        <v>-0.10465473288680771</v>
      </c>
      <c r="AH18" s="17">
        <f>COUNTBLANK($D$18:$AA$18)</f>
        <v>21</v>
      </c>
      <c r="AI18" s="17">
        <f>+$AA$1</f>
        <v>24</v>
      </c>
      <c r="AJ18" s="18">
        <f>+$AI$18-$AH$18</f>
        <v>3</v>
      </c>
      <c r="AK18" s="19" t="s">
        <v>18</v>
      </c>
      <c r="AL18" s="342" t="str">
        <f>IF($AF$18&lt;1," atraso global de  "," adiantamento global de  ")</f>
        <v xml:space="preserve"> atraso global de  </v>
      </c>
      <c r="AM18" s="343" t="str">
        <f>+$AK$18&amp;$AL$18&amp;$AP$18*100&amp;" %"</f>
        <v>A obra apresenta atraso global de  -10,47 %</v>
      </c>
      <c r="AN18" s="19"/>
      <c r="AO18" s="19"/>
      <c r="AP18" s="344">
        <f>ROUND($AE$18,4)</f>
        <v>-0.1047</v>
      </c>
    </row>
    <row r="19" spans="1:42" ht="40.15" customHeight="1" x14ac:dyDescent="0.2">
      <c r="A19" s="28" t="s">
        <v>19</v>
      </c>
      <c r="B19" s="29" t="s">
        <v>20</v>
      </c>
      <c r="C19" s="850" t="s">
        <v>1584</v>
      </c>
      <c r="D19" s="135">
        <v>1.7299999999999999E-2</v>
      </c>
      <c r="E19" s="135">
        <v>2.4402724797208359E-2</v>
      </c>
      <c r="F19" s="135">
        <f>F20-E20</f>
        <v>5.6231098299744521E-2</v>
      </c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f>INDEX($D$19:$AA$19,,$AJ$19)</f>
        <v>5.6231098299744521E-2</v>
      </c>
      <c r="AF19" s="345"/>
      <c r="AG19" s="345"/>
      <c r="AH19" s="17">
        <f>COUNTBLANK($D$19:$AA$19)</f>
        <v>21</v>
      </c>
      <c r="AI19" s="17">
        <f>+$AA$1</f>
        <v>24</v>
      </c>
      <c r="AJ19" s="18">
        <f>+$AI$19-$AH$19</f>
        <v>3</v>
      </c>
      <c r="AK19" s="19" t="s">
        <v>21</v>
      </c>
      <c r="AL19" s="20"/>
      <c r="AM19" s="343" t="str">
        <f>+$AK$19&amp;$AL$19&amp;$AP$19*100&amp;" %"</f>
        <v>% Executado no mês  5,62 %</v>
      </c>
      <c r="AN19" s="19"/>
      <c r="AO19" s="19"/>
      <c r="AP19" s="346">
        <f>ROUND($AE$19,4)</f>
        <v>5.62E-2</v>
      </c>
    </row>
    <row r="20" spans="1:42" ht="40.15" customHeight="1" x14ac:dyDescent="0.2">
      <c r="A20" s="31" t="s">
        <v>22</v>
      </c>
      <c r="B20" s="32" t="s">
        <v>23</v>
      </c>
      <c r="C20" s="850" t="s">
        <v>1584</v>
      </c>
      <c r="D20" s="136">
        <v>1.7280979373800982E-2</v>
      </c>
      <c r="E20" s="136">
        <v>4.1683704171009341E-2</v>
      </c>
      <c r="F20" s="136">
        <f>'Análise Física Detalhada'!$P$380</f>
        <v>9.7914802470753862E-2</v>
      </c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f>INDEX($D$20:$AA$20,,$AJ$20)</f>
        <v>9.7914802470753862E-2</v>
      </c>
      <c r="AF20" s="345"/>
      <c r="AG20" s="345"/>
      <c r="AH20" s="17">
        <f>COUNTBLANK($D$20:$AA$20)</f>
        <v>21</v>
      </c>
      <c r="AI20" s="17">
        <f>+$AA$1</f>
        <v>24</v>
      </c>
      <c r="AJ20" s="18">
        <f>+$AI$20-$AH$20</f>
        <v>3</v>
      </c>
      <c r="AK20" s="19" t="s">
        <v>24</v>
      </c>
      <c r="AL20" s="20"/>
      <c r="AM20" s="343" t="str">
        <f>+$AK$20&amp;$AL$20&amp;$AP$20*100&amp;" %"</f>
        <v>% Acumulado até a data  9,79 %</v>
      </c>
      <c r="AN20" s="19"/>
      <c r="AO20" s="19"/>
      <c r="AP20" s="346">
        <f>ROUND($AE$20,4)</f>
        <v>9.7900000000000001E-2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f t="shared" ref="M21:W21" si="25">+M22</f>
        <v>61</v>
      </c>
      <c r="N21" s="34">
        <f t="shared" si="25"/>
        <v>61</v>
      </c>
      <c r="O21" s="34">
        <f t="shared" si="25"/>
        <v>62</v>
      </c>
      <c r="P21" s="34">
        <f t="shared" si="25"/>
        <v>61</v>
      </c>
      <c r="Q21" s="34">
        <f t="shared" si="25"/>
        <v>61</v>
      </c>
      <c r="R21" s="34">
        <f t="shared" si="25"/>
        <v>61</v>
      </c>
      <c r="S21" s="34">
        <f t="shared" si="25"/>
        <v>61</v>
      </c>
      <c r="T21" s="34">
        <f t="shared" si="25"/>
        <v>62</v>
      </c>
      <c r="U21" s="34">
        <f t="shared" si="25"/>
        <v>59</v>
      </c>
      <c r="V21" s="34">
        <f t="shared" si="25"/>
        <v>59</v>
      </c>
      <c r="W21" s="34">
        <f t="shared" si="25"/>
        <v>61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f t="shared" ref="M22:T22" si="26">+M24-M23+1</f>
        <v>61</v>
      </c>
      <c r="N22" s="34">
        <f t="shared" si="26"/>
        <v>61</v>
      </c>
      <c r="O22" s="34">
        <f t="shared" si="26"/>
        <v>62</v>
      </c>
      <c r="P22" s="34">
        <f t="shared" si="26"/>
        <v>61</v>
      </c>
      <c r="Q22" s="34">
        <f t="shared" si="26"/>
        <v>61</v>
      </c>
      <c r="R22" s="34">
        <f t="shared" si="26"/>
        <v>61</v>
      </c>
      <c r="S22" s="34">
        <f t="shared" si="26"/>
        <v>61</v>
      </c>
      <c r="T22" s="34">
        <f t="shared" si="26"/>
        <v>62</v>
      </c>
      <c r="U22" s="34">
        <f t="shared" ref="U22:W22" si="27">+U24-U23+1</f>
        <v>59</v>
      </c>
      <c r="V22" s="34">
        <f t="shared" si="27"/>
        <v>59</v>
      </c>
      <c r="W22" s="34">
        <f t="shared" si="27"/>
        <v>61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f t="shared" ref="C23:AA23" si="28">C16</f>
        <v>44013</v>
      </c>
      <c r="D23" s="35">
        <f t="shared" si="28"/>
        <v>44044</v>
      </c>
      <c r="E23" s="35">
        <f t="shared" si="28"/>
        <v>44075</v>
      </c>
      <c r="F23" s="35">
        <f t="shared" si="28"/>
        <v>44105</v>
      </c>
      <c r="G23" s="35">
        <f t="shared" si="28"/>
        <v>44136</v>
      </c>
      <c r="H23" s="35">
        <f t="shared" si="28"/>
        <v>44166</v>
      </c>
      <c r="I23" s="35">
        <f t="shared" si="28"/>
        <v>44197</v>
      </c>
      <c r="J23" s="35">
        <f t="shared" si="28"/>
        <v>44228</v>
      </c>
      <c r="K23" s="35">
        <f t="shared" si="28"/>
        <v>44256</v>
      </c>
      <c r="L23" s="35">
        <f t="shared" si="28"/>
        <v>44287</v>
      </c>
      <c r="M23" s="35">
        <f t="shared" si="28"/>
        <v>44317</v>
      </c>
      <c r="N23" s="35">
        <f t="shared" si="28"/>
        <v>44348</v>
      </c>
      <c r="O23" s="35">
        <f t="shared" si="28"/>
        <v>44378</v>
      </c>
      <c r="P23" s="35">
        <f t="shared" si="28"/>
        <v>44409</v>
      </c>
      <c r="Q23" s="35">
        <f t="shared" si="28"/>
        <v>44440</v>
      </c>
      <c r="R23" s="35">
        <f t="shared" si="28"/>
        <v>44470</v>
      </c>
      <c r="S23" s="35">
        <f t="shared" si="28"/>
        <v>44501</v>
      </c>
      <c r="T23" s="35">
        <f t="shared" si="28"/>
        <v>44531</v>
      </c>
      <c r="U23" s="35">
        <f t="shared" si="28"/>
        <v>44562</v>
      </c>
      <c r="V23" s="35">
        <f t="shared" si="28"/>
        <v>44593</v>
      </c>
      <c r="W23" s="35">
        <f t="shared" si="28"/>
        <v>44621</v>
      </c>
      <c r="X23" s="35">
        <f t="shared" si="28"/>
        <v>44652</v>
      </c>
      <c r="Y23" s="35">
        <f t="shared" si="28"/>
        <v>44682</v>
      </c>
      <c r="Z23" s="35">
        <f t="shared" si="28"/>
        <v>44713</v>
      </c>
      <c r="AA23" s="35">
        <f t="shared" si="28"/>
        <v>44743</v>
      </c>
      <c r="AB23" s="35"/>
      <c r="AC23" s="35"/>
      <c r="AD23" s="35"/>
      <c r="AI23" s="25"/>
    </row>
    <row r="24" spans="1:42" x14ac:dyDescent="0.2">
      <c r="B24" s="1" t="s">
        <v>25</v>
      </c>
      <c r="C24" s="998" t="s">
        <v>2778</v>
      </c>
      <c r="D24" s="35">
        <v>44104</v>
      </c>
      <c r="E24" s="35">
        <v>44135</v>
      </c>
      <c r="F24" s="35">
        <v>44165</v>
      </c>
      <c r="G24" s="35">
        <v>44196</v>
      </c>
      <c r="H24" s="35">
        <v>44227</v>
      </c>
      <c r="I24" s="35">
        <v>44255</v>
      </c>
      <c r="J24" s="35">
        <v>44286</v>
      </c>
      <c r="K24" s="35">
        <v>44316</v>
      </c>
      <c r="L24" s="35">
        <v>44347</v>
      </c>
      <c r="M24" s="35">
        <v>44377</v>
      </c>
      <c r="N24" s="35">
        <v>44408</v>
      </c>
      <c r="O24" s="35">
        <v>44439</v>
      </c>
      <c r="P24" s="35">
        <v>44469</v>
      </c>
      <c r="Q24" s="35">
        <v>44500</v>
      </c>
      <c r="R24" s="35">
        <v>44530</v>
      </c>
      <c r="S24" s="35">
        <v>44561</v>
      </c>
      <c r="T24" s="35">
        <v>44592</v>
      </c>
      <c r="U24" s="35">
        <v>44620</v>
      </c>
      <c r="V24" s="35">
        <v>44651</v>
      </c>
      <c r="W24" s="35">
        <v>44681</v>
      </c>
      <c r="X24" s="35">
        <v>44712</v>
      </c>
      <c r="Y24" s="35">
        <v>44742</v>
      </c>
      <c r="Z24" s="35">
        <v>44773</v>
      </c>
      <c r="AA24" s="35">
        <v>44681</v>
      </c>
      <c r="AB24" s="35"/>
      <c r="AC24" s="35"/>
      <c r="AD24" s="35"/>
      <c r="AE24" s="35"/>
      <c r="AH24" s="17"/>
      <c r="AI24" s="17"/>
      <c r="AJ24" s="18"/>
    </row>
    <row r="25" spans="1:42" x14ac:dyDescent="0.2">
      <c r="A25" s="1" t="s">
        <v>207</v>
      </c>
      <c r="B25" s="36" t="s">
        <v>26</v>
      </c>
      <c r="C25" s="132">
        <f>C26</f>
        <v>1.4499999999999999E-2</v>
      </c>
      <c r="D25" s="132">
        <v>1.7299999999999999E-2</v>
      </c>
      <c r="E25" s="132">
        <f t="shared" ref="E25:H25" si="29">E26-D26</f>
        <v>3.3819020626199028E-2</v>
      </c>
      <c r="F25" s="132">
        <f t="shared" si="29"/>
        <v>5.825982583172036E-2</v>
      </c>
      <c r="G25" s="132">
        <f t="shared" si="29"/>
        <v>1.1740174168279632E-2</v>
      </c>
      <c r="H25" s="132">
        <f t="shared" si="29"/>
        <v>4.2700000000000002E-2</v>
      </c>
      <c r="I25" s="132">
        <f t="shared" ref="I25" si="30">I26-H26</f>
        <v>3.4900000000000014E-2</v>
      </c>
      <c r="J25" s="132">
        <f t="shared" ref="J25" si="31">J26-I26</f>
        <v>3.4699999999999981E-2</v>
      </c>
      <c r="K25" s="132">
        <f t="shared" ref="K25" si="32">K26-J26</f>
        <v>2.4600000000000011E-2</v>
      </c>
      <c r="L25" s="132">
        <f t="shared" ref="L25" si="33">L26-K26</f>
        <v>4.0399999999999991E-2</v>
      </c>
      <c r="M25" s="132">
        <f t="shared" ref="M25" si="34">M26-L26</f>
        <v>5.4599999999999982E-2</v>
      </c>
      <c r="N25" s="132">
        <f t="shared" ref="N25" si="35">N26-M26</f>
        <v>3.7900000000000045E-2</v>
      </c>
      <c r="O25" s="132">
        <f t="shared" ref="O25" si="36">O26-N26</f>
        <v>2.0999999999999963E-2</v>
      </c>
      <c r="P25" s="132">
        <f t="shared" ref="P25" si="37">P26-O26</f>
        <v>3.1900000000000039E-2</v>
      </c>
      <c r="Q25" s="132">
        <f t="shared" ref="Q25" si="38">Q26-P26</f>
        <v>3.5599999999999965E-2</v>
      </c>
      <c r="R25" s="132">
        <f t="shared" ref="R25" si="39">R26-Q26</f>
        <v>4.4299999999999951E-2</v>
      </c>
      <c r="S25" s="132">
        <f t="shared" ref="S25" si="40">S26-R26</f>
        <v>5.0800000000000067E-2</v>
      </c>
      <c r="T25" s="132">
        <f t="shared" ref="T25" si="41">T26-S26</f>
        <v>4.7399999999999998E-2</v>
      </c>
      <c r="U25" s="132">
        <f t="shared" ref="U25" si="42">U26-T26</f>
        <v>3.180000000000005E-2</v>
      </c>
      <c r="V25" s="132">
        <f t="shared" ref="V25" si="43">V26-U26</f>
        <v>6.030000000000002E-2</v>
      </c>
      <c r="W25" s="132">
        <f t="shared" ref="W25" si="44">W26-V26</f>
        <v>7.5899999999999856E-2</v>
      </c>
      <c r="X25" s="132">
        <f t="shared" ref="X25" si="45">X26-W26</f>
        <v>6.9000000000000061E-2</v>
      </c>
      <c r="Y25" s="132">
        <f t="shared" ref="Y25" si="46">Y26-X26</f>
        <v>5.7900000000000063E-2</v>
      </c>
      <c r="Z25" s="132">
        <f t="shared" ref="Z25" si="47">Z26-Y26</f>
        <v>4.6499999999999875E-2</v>
      </c>
      <c r="AA25" s="132">
        <f t="shared" ref="AA25" si="48">AA26-Z26</f>
        <v>3.6700000000000066E-2</v>
      </c>
      <c r="AB25" s="132"/>
      <c r="AC25" s="132"/>
      <c r="AD25" s="132"/>
      <c r="AE25" s="10">
        <f>INDEX($D$25:$AA$25,,$AJ$20)</f>
        <v>5.825982583172036E-2</v>
      </c>
      <c r="AJ25" s="1"/>
    </row>
    <row r="26" spans="1:42" x14ac:dyDescent="0.2">
      <c r="A26" s="1" t="s">
        <v>208</v>
      </c>
      <c r="B26" s="37" t="s">
        <v>27</v>
      </c>
      <c r="C26" s="132">
        <f>VLOOKUP($A13,Plan3!$B$384:$CN$385,COLUMNS(Plan3!$B$384:H$384)+1+2*COLUMNS(Plan3!$H$384:H$384),0)/100</f>
        <v>1.4499999999999999E-2</v>
      </c>
      <c r="D26" s="132">
        <v>1.7280979373800982E-2</v>
      </c>
      <c r="E26" s="132">
        <f>VLOOKUP($A13,Plan3!$B$384:$CN$385,COLUMNS(Plan3!$B$384:J$384)+1+2*COLUMNS(Plan3!$H$384:J$384),0)/100</f>
        <v>5.1100000000000007E-2</v>
      </c>
      <c r="F26" s="333">
        <v>0.10935982583172037</v>
      </c>
      <c r="G26" s="132">
        <f>VLOOKUP($A13,Plan3!$B$384:$CN$385,COLUMNS(Plan3!$B$384:L$384)+1+2*COLUMNS(Plan3!$H$384:L$384),0)/100</f>
        <v>0.1211</v>
      </c>
      <c r="H26" s="132">
        <f>VLOOKUP($A13,Plan3!$B$384:$CN$385,COLUMNS(Plan3!$B$384:M$384)+1+2*COLUMNS(Plan3!$H$384:M$384),0)/100</f>
        <v>0.1638</v>
      </c>
      <c r="I26" s="132">
        <f>VLOOKUP($A13,Plan3!$B$384:$CN$385,COLUMNS(Plan3!$B$384:N$384)+1+2*COLUMNS(Plan3!$H$384:N$384),0)/100</f>
        <v>0.19870000000000002</v>
      </c>
      <c r="J26" s="132">
        <f>VLOOKUP($A13,Plan3!$B$384:$CN$385,COLUMNS(Plan3!$B$384:O$384)+1+2*COLUMNS(Plan3!$H$384:O$384),0)/100</f>
        <v>0.2334</v>
      </c>
      <c r="K26" s="132">
        <f>VLOOKUP($A13,Plan3!$B$384:$CN$385,COLUMNS(Plan3!$B$384:P$384)+1+2*COLUMNS(Plan3!$H$384:P$384),0)/100</f>
        <v>0.25800000000000001</v>
      </c>
      <c r="L26" s="132">
        <f>VLOOKUP($A13,Plan3!$B$384:$CN$385,COLUMNS(Plan3!$B$384:Q$384)+1+2*COLUMNS(Plan3!$H$384:Q$384),0)/100</f>
        <v>0.2984</v>
      </c>
      <c r="M26" s="132">
        <f>VLOOKUP($A13,Plan3!$B$384:$CN$385,COLUMNS(Plan3!$B$384:R$384)+1+2*COLUMNS(Plan3!$H$384:R$384),0)/100</f>
        <v>0.35299999999999998</v>
      </c>
      <c r="N26" s="132">
        <f>VLOOKUP($A13,Plan3!$B$384:$CN$385,COLUMNS(Plan3!$B$384:S$384)+1+2*COLUMNS(Plan3!$H$384:S$384),0)/100</f>
        <v>0.39090000000000003</v>
      </c>
      <c r="O26" s="132">
        <f>VLOOKUP($A13,Plan3!$B$384:$CN$385,COLUMNS(Plan3!$B$384:T$384)+1+2*COLUMNS(Plan3!$H$384:T$384),0)/100</f>
        <v>0.41189999999999999</v>
      </c>
      <c r="P26" s="132">
        <f>VLOOKUP($A13,Plan3!$B$384:$CN$385,COLUMNS(Plan3!$B$384:U$384)+1+2*COLUMNS(Plan3!$H$384:U$384),0)/100</f>
        <v>0.44380000000000003</v>
      </c>
      <c r="Q26" s="132">
        <f>VLOOKUP($A13,Plan3!$B$384:$CN$385,COLUMNS(Plan3!$B$384:V$384)+1+2*COLUMNS(Plan3!$H$384:V$384),0)/100</f>
        <v>0.47939999999999999</v>
      </c>
      <c r="R26" s="132">
        <f>VLOOKUP($A13,Plan3!$B$384:$CN$385,COLUMNS(Plan3!$B$384:W$384)+1+2*COLUMNS(Plan3!$H$384:W$384),0)/100</f>
        <v>0.52369999999999994</v>
      </c>
      <c r="S26" s="132">
        <f>VLOOKUP($A13,Plan3!$B$384:$CN$385,COLUMNS(Plan3!$B$384:X$384)+1+2*COLUMNS(Plan3!$H$384:X$384),0)/100</f>
        <v>0.57450000000000001</v>
      </c>
      <c r="T26" s="132">
        <f>VLOOKUP($A13,Plan3!$B$384:$CN$385,COLUMNS(Plan3!$B$384:Y$384)+1+2*COLUMNS(Plan3!$H$384:Y$384),0)/100</f>
        <v>0.62190000000000001</v>
      </c>
      <c r="U26" s="132">
        <f>VLOOKUP($A13,Plan3!$B$384:$CN$385,COLUMNS(Plan3!$B$384:Z$384)+1+2*COLUMNS(Plan3!$H$384:Z$384),0)/100</f>
        <v>0.65370000000000006</v>
      </c>
      <c r="V26" s="132">
        <f>VLOOKUP($A13,Plan3!$B$384:$CN$385,COLUMNS(Plan3!$B$384:AA$384)+1+2*COLUMNS(Plan3!$H$384:AA$384),0)/100</f>
        <v>0.71400000000000008</v>
      </c>
      <c r="W26" s="132">
        <f>VLOOKUP($A13,Plan3!$B$384:$CN$385,COLUMNS(Plan3!$B$384:AB$384)+1+2*COLUMNS(Plan3!$H$384:AB$384),0)/100</f>
        <v>0.78989999999999994</v>
      </c>
      <c r="X26" s="132">
        <f>VLOOKUP($A13,Plan3!$B$384:$CN$385,COLUMNS(Plan3!$B$384:AC$384)+1+2*COLUMNS(Plan3!$H$384:AC$384),0)/100</f>
        <v>0.8589</v>
      </c>
      <c r="Y26" s="132">
        <f>VLOOKUP($A13,Plan3!$B$384:$CN$385,COLUMNS(Plan3!$B$384:AD$384)+1+2*COLUMNS(Plan3!$H$384:AD$384),0)/100</f>
        <v>0.91680000000000006</v>
      </c>
      <c r="Z26" s="132">
        <f>VLOOKUP($A13,Plan3!$B$384:$CN$385,COLUMNS(Plan3!$B$384:AE$384)+1+2*COLUMNS(Plan3!$H$384:AE$384),0)/100</f>
        <v>0.96329999999999993</v>
      </c>
      <c r="AA26" s="333">
        <v>1</v>
      </c>
      <c r="AB26" s="132"/>
      <c r="AC26" s="132"/>
      <c r="AD26" s="132"/>
      <c r="AE26" s="10">
        <f>INDEX($D$26:$AA$26,,$AJ$20)</f>
        <v>0.10935982583172037</v>
      </c>
      <c r="AH26" s="25"/>
      <c r="AI26" s="25"/>
      <c r="AJ26" s="26"/>
      <c r="AL26" s="27"/>
      <c r="AM26" s="3"/>
      <c r="AP26" s="10"/>
    </row>
    <row r="27" spans="1:42" x14ac:dyDescent="0.2">
      <c r="C27" s="694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25</v>
      </c>
      <c r="E37" s="132">
        <v>1.4499999999999999E-2</v>
      </c>
      <c r="F37" s="35">
        <v>44043</v>
      </c>
      <c r="G37" s="23">
        <f>IF($AE$20&gt;=E37,$AE$20,"")</f>
        <v>9.7914802470753862E-2</v>
      </c>
      <c r="H37" s="39">
        <f>IF(G37="","",(E38-E37)/(F38-F37))</f>
        <v>8.9709012058096212E-5</v>
      </c>
      <c r="I37" s="10">
        <f>IF(G37="","",+G37-E37)</f>
        <v>8.3414802470753863E-2</v>
      </c>
      <c r="J37" s="1">
        <f>IF(G37="","",+I37/H37)</f>
        <v>929.83748853162967</v>
      </c>
      <c r="K37" s="35">
        <f>IF(G37="","",+F37+J37)</f>
        <v>44972.83748853163</v>
      </c>
      <c r="AE37" s="3"/>
      <c r="AJ37" s="1"/>
    </row>
    <row r="38" spans="4:36" x14ac:dyDescent="0.2">
      <c r="D38" s="1">
        <v>24</v>
      </c>
      <c r="E38" s="132">
        <v>1.7280979373800982E-2</v>
      </c>
      <c r="F38" s="35">
        <v>44074</v>
      </c>
      <c r="G38" s="23">
        <f t="shared" ref="G38:G61" si="49">IF($AE$20&gt;=E38,$AE$20,"")</f>
        <v>9.7914802470753862E-2</v>
      </c>
      <c r="H38" s="39">
        <f t="shared" ref="H38:H61" si="50">IF(G38="","",(E39-E38)/(F39-F38))</f>
        <v>1.1273006875399676E-3</v>
      </c>
      <c r="I38" s="10">
        <f t="shared" ref="I38:I61" si="51">IF(G38="","",+G38-E38)</f>
        <v>8.0633823096952884E-2</v>
      </c>
      <c r="J38" s="1">
        <f t="shared" ref="J38:J61" si="52">IF(G38="","",+I38/H38)</f>
        <v>71.528230212397588</v>
      </c>
      <c r="K38" s="35">
        <f t="shared" ref="K38:K61" si="53">IF(G38="","",+F38+J38)</f>
        <v>44145.528230212396</v>
      </c>
      <c r="AE38" s="3"/>
      <c r="AJ38" s="1"/>
    </row>
    <row r="39" spans="4:36" x14ac:dyDescent="0.2">
      <c r="D39" s="1">
        <v>23</v>
      </c>
      <c r="E39" s="132">
        <v>5.1100000000000007E-2</v>
      </c>
      <c r="F39" s="35">
        <v>44104</v>
      </c>
      <c r="G39" s="23">
        <f t="shared" si="49"/>
        <v>9.7914802470753862E-2</v>
      </c>
      <c r="H39" s="39">
        <f t="shared" si="50"/>
        <v>1.8793492203780762E-3</v>
      </c>
      <c r="I39" s="10">
        <f t="shared" si="51"/>
        <v>4.6814802470753855E-2</v>
      </c>
      <c r="J39" s="1">
        <f t="shared" si="52"/>
        <v>24.910113545228135</v>
      </c>
      <c r="K39" s="35">
        <f t="shared" si="53"/>
        <v>44128.910113545229</v>
      </c>
      <c r="AE39" s="3"/>
      <c r="AJ39" s="1"/>
    </row>
    <row r="40" spans="4:36" x14ac:dyDescent="0.2">
      <c r="D40" s="1">
        <v>22</v>
      </c>
      <c r="E40" s="333">
        <v>0.10935982583172037</v>
      </c>
      <c r="F40" s="35">
        <v>44135</v>
      </c>
      <c r="G40" s="23" t="str">
        <f t="shared" si="49"/>
        <v/>
      </c>
      <c r="H40" s="39" t="str">
        <f t="shared" si="50"/>
        <v/>
      </c>
      <c r="I40" s="10" t="str">
        <f t="shared" si="51"/>
        <v/>
      </c>
      <c r="J40" s="1" t="str">
        <f t="shared" si="52"/>
        <v/>
      </c>
      <c r="K40" s="35" t="str">
        <f t="shared" si="53"/>
        <v/>
      </c>
      <c r="AE40" s="3"/>
      <c r="AJ40" s="1"/>
    </row>
    <row r="41" spans="4:36" x14ac:dyDescent="0.2">
      <c r="D41" s="1">
        <v>21</v>
      </c>
      <c r="E41" s="132">
        <v>0.1211</v>
      </c>
      <c r="F41" s="35">
        <v>44165</v>
      </c>
      <c r="G41" s="23" t="str">
        <f t="shared" si="49"/>
        <v/>
      </c>
      <c r="H41" s="39" t="str">
        <f t="shared" si="50"/>
        <v/>
      </c>
      <c r="I41" s="10" t="str">
        <f t="shared" si="51"/>
        <v/>
      </c>
      <c r="J41" s="1" t="str">
        <f t="shared" si="52"/>
        <v/>
      </c>
      <c r="K41" s="35" t="str">
        <f t="shared" si="53"/>
        <v/>
      </c>
      <c r="AE41" s="3"/>
      <c r="AJ41" s="1"/>
    </row>
    <row r="42" spans="4:36" x14ac:dyDescent="0.2">
      <c r="D42" s="1">
        <v>20</v>
      </c>
      <c r="E42" s="132">
        <v>0.1638</v>
      </c>
      <c r="F42" s="35">
        <v>44196</v>
      </c>
      <c r="G42" s="23" t="str">
        <f t="shared" si="49"/>
        <v/>
      </c>
      <c r="H42" s="39" t="str">
        <f t="shared" si="50"/>
        <v/>
      </c>
      <c r="I42" s="10" t="str">
        <f t="shared" si="51"/>
        <v/>
      </c>
      <c r="J42" s="1" t="str">
        <f t="shared" si="52"/>
        <v/>
      </c>
      <c r="K42" s="35" t="str">
        <f t="shared" si="53"/>
        <v/>
      </c>
      <c r="AE42" s="3"/>
      <c r="AJ42" s="1"/>
    </row>
    <row r="43" spans="4:36" x14ac:dyDescent="0.2">
      <c r="D43" s="1">
        <v>19</v>
      </c>
      <c r="E43" s="132">
        <v>0.19870000000000002</v>
      </c>
      <c r="F43" s="35">
        <v>44227</v>
      </c>
      <c r="G43" s="23" t="str">
        <f t="shared" si="49"/>
        <v/>
      </c>
      <c r="H43" s="39" t="str">
        <f t="shared" si="50"/>
        <v/>
      </c>
      <c r="I43" s="10" t="str">
        <f t="shared" si="51"/>
        <v/>
      </c>
      <c r="J43" s="1" t="str">
        <f t="shared" si="52"/>
        <v/>
      </c>
      <c r="K43" s="35" t="str">
        <f t="shared" si="53"/>
        <v/>
      </c>
      <c r="AE43" s="3"/>
      <c r="AJ43" s="1"/>
    </row>
    <row r="44" spans="4:36" x14ac:dyDescent="0.2">
      <c r="D44" s="1">
        <v>18</v>
      </c>
      <c r="E44" s="132">
        <v>0.2334</v>
      </c>
      <c r="F44" s="35">
        <v>44255</v>
      </c>
      <c r="G44" s="23" t="str">
        <f t="shared" si="49"/>
        <v/>
      </c>
      <c r="H44" s="39" t="str">
        <f t="shared" si="50"/>
        <v/>
      </c>
      <c r="I44" s="10" t="str">
        <f t="shared" si="51"/>
        <v/>
      </c>
      <c r="J44" s="1" t="str">
        <f t="shared" si="52"/>
        <v/>
      </c>
      <c r="K44" s="35" t="str">
        <f t="shared" si="53"/>
        <v/>
      </c>
      <c r="AE44" s="3"/>
      <c r="AJ44" s="1"/>
    </row>
    <row r="45" spans="4:36" x14ac:dyDescent="0.2">
      <c r="D45" s="1">
        <v>17</v>
      </c>
      <c r="E45" s="132">
        <v>0.25800000000000001</v>
      </c>
      <c r="F45" s="35">
        <v>44286</v>
      </c>
      <c r="G45" s="23" t="str">
        <f t="shared" si="49"/>
        <v/>
      </c>
      <c r="H45" s="39" t="str">
        <f t="shared" si="50"/>
        <v/>
      </c>
      <c r="I45" s="10" t="str">
        <f t="shared" si="51"/>
        <v/>
      </c>
      <c r="J45" s="1" t="str">
        <f t="shared" si="52"/>
        <v/>
      </c>
      <c r="K45" s="35" t="str">
        <f t="shared" si="53"/>
        <v/>
      </c>
      <c r="AE45" s="3"/>
      <c r="AJ45" s="1"/>
    </row>
    <row r="46" spans="4:36" x14ac:dyDescent="0.2">
      <c r="D46" s="1">
        <v>16</v>
      </c>
      <c r="E46" s="132">
        <v>0.2984</v>
      </c>
      <c r="F46" s="35">
        <v>44316</v>
      </c>
      <c r="G46" s="23" t="str">
        <f t="shared" si="49"/>
        <v/>
      </c>
      <c r="H46" s="39" t="str">
        <f t="shared" si="50"/>
        <v/>
      </c>
      <c r="I46" s="10" t="str">
        <f t="shared" si="51"/>
        <v/>
      </c>
      <c r="J46" s="1" t="str">
        <f t="shared" si="52"/>
        <v/>
      </c>
      <c r="K46" s="35" t="str">
        <f t="shared" si="53"/>
        <v/>
      </c>
      <c r="AE46" s="3"/>
      <c r="AJ46" s="1"/>
    </row>
    <row r="47" spans="4:36" x14ac:dyDescent="0.2">
      <c r="D47" s="1">
        <v>15</v>
      </c>
      <c r="E47" s="132">
        <v>0.35299999999999998</v>
      </c>
      <c r="F47" s="35">
        <v>44347</v>
      </c>
      <c r="G47" s="23" t="str">
        <f t="shared" si="49"/>
        <v/>
      </c>
      <c r="H47" s="39" t="str">
        <f t="shared" si="50"/>
        <v/>
      </c>
      <c r="I47" s="10" t="str">
        <f t="shared" si="51"/>
        <v/>
      </c>
      <c r="J47" s="1" t="str">
        <f t="shared" si="52"/>
        <v/>
      </c>
      <c r="K47" s="35" t="str">
        <f t="shared" si="53"/>
        <v/>
      </c>
      <c r="AE47" s="3"/>
      <c r="AJ47" s="1"/>
    </row>
    <row r="48" spans="4:36" x14ac:dyDescent="0.2">
      <c r="D48" s="1">
        <v>14</v>
      </c>
      <c r="E48" s="132">
        <v>0.39090000000000003</v>
      </c>
      <c r="F48" s="35">
        <v>44377</v>
      </c>
      <c r="G48" s="23" t="str">
        <f t="shared" si="49"/>
        <v/>
      </c>
      <c r="H48" s="39" t="str">
        <f t="shared" si="50"/>
        <v/>
      </c>
      <c r="I48" s="10" t="str">
        <f t="shared" si="51"/>
        <v/>
      </c>
      <c r="J48" s="1" t="str">
        <f t="shared" si="52"/>
        <v/>
      </c>
      <c r="K48" s="35" t="str">
        <f t="shared" si="53"/>
        <v/>
      </c>
      <c r="AE48" s="3"/>
      <c r="AJ48" s="1"/>
    </row>
    <row r="49" spans="4:36" x14ac:dyDescent="0.2">
      <c r="D49" s="1">
        <v>13</v>
      </c>
      <c r="E49" s="132">
        <v>0.41189999999999999</v>
      </c>
      <c r="F49" s="35">
        <v>44408</v>
      </c>
      <c r="G49" s="23" t="str">
        <f t="shared" si="49"/>
        <v/>
      </c>
      <c r="H49" s="39" t="str">
        <f t="shared" si="50"/>
        <v/>
      </c>
      <c r="I49" s="10" t="str">
        <f t="shared" si="51"/>
        <v/>
      </c>
      <c r="J49" s="1" t="str">
        <f t="shared" si="52"/>
        <v/>
      </c>
      <c r="K49" s="35" t="str">
        <f t="shared" si="53"/>
        <v/>
      </c>
      <c r="AE49" s="3"/>
      <c r="AJ49" s="1"/>
    </row>
    <row r="50" spans="4:36" x14ac:dyDescent="0.2">
      <c r="D50" s="1">
        <v>12</v>
      </c>
      <c r="E50" s="132">
        <v>0.44380000000000003</v>
      </c>
      <c r="F50" s="35">
        <v>44439</v>
      </c>
      <c r="G50" s="23" t="str">
        <f t="shared" si="49"/>
        <v/>
      </c>
      <c r="H50" s="39" t="str">
        <f t="shared" si="50"/>
        <v/>
      </c>
      <c r="I50" s="10" t="str">
        <f t="shared" si="51"/>
        <v/>
      </c>
      <c r="J50" s="1" t="str">
        <f t="shared" si="52"/>
        <v/>
      </c>
      <c r="K50" s="35" t="str">
        <f t="shared" si="53"/>
        <v/>
      </c>
      <c r="AE50" s="3"/>
      <c r="AJ50" s="1"/>
    </row>
    <row r="51" spans="4:36" x14ac:dyDescent="0.2">
      <c r="D51" s="1">
        <v>11</v>
      </c>
      <c r="E51" s="132">
        <v>0.47939999999999999</v>
      </c>
      <c r="F51" s="35">
        <v>44469</v>
      </c>
      <c r="G51" s="23" t="str">
        <f t="shared" si="49"/>
        <v/>
      </c>
      <c r="H51" s="39" t="str">
        <f t="shared" si="50"/>
        <v/>
      </c>
      <c r="I51" s="10" t="str">
        <f t="shared" si="51"/>
        <v/>
      </c>
      <c r="J51" s="1" t="str">
        <f t="shared" si="52"/>
        <v/>
      </c>
      <c r="K51" s="35" t="str">
        <f t="shared" si="53"/>
        <v/>
      </c>
      <c r="AE51" s="3"/>
      <c r="AJ51" s="1"/>
    </row>
    <row r="52" spans="4:36" x14ac:dyDescent="0.2">
      <c r="D52" s="1">
        <v>10</v>
      </c>
      <c r="E52" s="132">
        <v>0.52369999999999994</v>
      </c>
      <c r="F52" s="35">
        <v>44500</v>
      </c>
      <c r="G52" s="23" t="str">
        <f t="shared" si="49"/>
        <v/>
      </c>
      <c r="H52" s="39" t="str">
        <f t="shared" si="50"/>
        <v/>
      </c>
      <c r="I52" s="10" t="str">
        <f t="shared" si="51"/>
        <v/>
      </c>
      <c r="J52" s="1" t="str">
        <f t="shared" si="52"/>
        <v/>
      </c>
      <c r="K52" s="35" t="str">
        <f t="shared" si="53"/>
        <v/>
      </c>
      <c r="AE52" s="3"/>
      <c r="AJ52" s="1"/>
    </row>
    <row r="53" spans="4:36" x14ac:dyDescent="0.2">
      <c r="D53" s="1">
        <v>9</v>
      </c>
      <c r="E53" s="132">
        <v>0.57450000000000001</v>
      </c>
      <c r="F53" s="35">
        <v>44530</v>
      </c>
      <c r="G53" s="23" t="str">
        <f t="shared" si="49"/>
        <v/>
      </c>
      <c r="H53" s="39" t="str">
        <f t="shared" si="50"/>
        <v/>
      </c>
      <c r="I53" s="10" t="str">
        <f t="shared" si="51"/>
        <v/>
      </c>
      <c r="J53" s="1" t="str">
        <f t="shared" si="52"/>
        <v/>
      </c>
      <c r="K53" s="35" t="str">
        <f t="shared" si="53"/>
        <v/>
      </c>
      <c r="AE53" s="3"/>
      <c r="AJ53" s="1"/>
    </row>
    <row r="54" spans="4:36" x14ac:dyDescent="0.2">
      <c r="D54" s="1">
        <v>8</v>
      </c>
      <c r="E54" s="132">
        <v>0.62190000000000001</v>
      </c>
      <c r="F54" s="35">
        <v>44561</v>
      </c>
      <c r="G54" s="23" t="str">
        <f t="shared" si="49"/>
        <v/>
      </c>
      <c r="H54" s="39" t="str">
        <f t="shared" si="50"/>
        <v/>
      </c>
      <c r="I54" s="10" t="str">
        <f t="shared" si="51"/>
        <v/>
      </c>
      <c r="J54" s="1" t="str">
        <f t="shared" si="52"/>
        <v/>
      </c>
      <c r="K54" s="35" t="str">
        <f t="shared" si="53"/>
        <v/>
      </c>
      <c r="AE54" s="3"/>
      <c r="AJ54" s="1"/>
    </row>
    <row r="55" spans="4:36" x14ac:dyDescent="0.2">
      <c r="D55" s="1">
        <v>7</v>
      </c>
      <c r="E55" s="132">
        <v>0.65370000000000006</v>
      </c>
      <c r="F55" s="35">
        <v>44592</v>
      </c>
      <c r="G55" s="23" t="str">
        <f t="shared" si="49"/>
        <v/>
      </c>
      <c r="H55" s="39" t="str">
        <f t="shared" si="50"/>
        <v/>
      </c>
      <c r="I55" s="10" t="str">
        <f t="shared" si="51"/>
        <v/>
      </c>
      <c r="J55" s="1" t="str">
        <f t="shared" si="52"/>
        <v/>
      </c>
      <c r="K55" s="35" t="str">
        <f t="shared" si="53"/>
        <v/>
      </c>
      <c r="AE55" s="3"/>
      <c r="AJ55" s="1"/>
    </row>
    <row r="56" spans="4:36" x14ac:dyDescent="0.2">
      <c r="D56" s="1">
        <v>6</v>
      </c>
      <c r="E56" s="132">
        <v>0.71400000000000008</v>
      </c>
      <c r="F56" s="35">
        <v>44620</v>
      </c>
      <c r="G56" s="23" t="str">
        <f t="shared" si="49"/>
        <v/>
      </c>
      <c r="H56" s="39" t="str">
        <f t="shared" si="50"/>
        <v/>
      </c>
      <c r="I56" s="10" t="str">
        <f t="shared" si="51"/>
        <v/>
      </c>
      <c r="J56" s="1" t="str">
        <f t="shared" si="52"/>
        <v/>
      </c>
      <c r="K56" s="35" t="str">
        <f t="shared" si="53"/>
        <v/>
      </c>
      <c r="AE56" s="3"/>
      <c r="AJ56" s="1"/>
    </row>
    <row r="57" spans="4:36" x14ac:dyDescent="0.2">
      <c r="D57" s="1">
        <v>5</v>
      </c>
      <c r="E57" s="132">
        <v>0.78989999999999994</v>
      </c>
      <c r="F57" s="35">
        <v>44651</v>
      </c>
      <c r="G57" s="23" t="str">
        <f t="shared" si="49"/>
        <v/>
      </c>
      <c r="H57" s="39" t="str">
        <f t="shared" si="50"/>
        <v/>
      </c>
      <c r="I57" s="10" t="str">
        <f t="shared" si="51"/>
        <v/>
      </c>
      <c r="J57" s="1" t="str">
        <f t="shared" si="52"/>
        <v/>
      </c>
      <c r="K57" s="35" t="str">
        <f t="shared" si="53"/>
        <v/>
      </c>
      <c r="AE57" s="3"/>
      <c r="AJ57" s="1"/>
    </row>
    <row r="58" spans="4:36" x14ac:dyDescent="0.2">
      <c r="D58" s="1">
        <v>4</v>
      </c>
      <c r="E58" s="132">
        <v>0.8589</v>
      </c>
      <c r="F58" s="35">
        <v>44681</v>
      </c>
      <c r="G58" s="23" t="str">
        <f t="shared" si="49"/>
        <v/>
      </c>
      <c r="H58" s="39" t="str">
        <f t="shared" si="50"/>
        <v/>
      </c>
      <c r="I58" s="10" t="str">
        <f t="shared" si="51"/>
        <v/>
      </c>
      <c r="J58" s="1" t="str">
        <f t="shared" si="52"/>
        <v/>
      </c>
      <c r="K58" s="35" t="str">
        <f t="shared" si="53"/>
        <v/>
      </c>
      <c r="AE58" s="3"/>
      <c r="AJ58" s="1"/>
    </row>
    <row r="59" spans="4:36" x14ac:dyDescent="0.2">
      <c r="D59" s="1">
        <v>3</v>
      </c>
      <c r="E59" s="132">
        <v>0.91680000000000006</v>
      </c>
      <c r="F59" s="35">
        <v>44712</v>
      </c>
      <c r="G59" s="23" t="str">
        <f t="shared" si="49"/>
        <v/>
      </c>
      <c r="H59" s="39" t="str">
        <f t="shared" si="50"/>
        <v/>
      </c>
      <c r="I59" s="10" t="str">
        <f t="shared" si="51"/>
        <v/>
      </c>
      <c r="J59" s="1" t="str">
        <f t="shared" si="52"/>
        <v/>
      </c>
      <c r="K59" s="35" t="str">
        <f t="shared" si="53"/>
        <v/>
      </c>
      <c r="AE59" s="3"/>
      <c r="AJ59" s="1"/>
    </row>
    <row r="60" spans="4:36" x14ac:dyDescent="0.2">
      <c r="D60" s="1">
        <v>2</v>
      </c>
      <c r="E60" s="132">
        <v>0.96329999999999993</v>
      </c>
      <c r="F60" s="35">
        <v>44742</v>
      </c>
      <c r="G60" s="23" t="str">
        <f t="shared" si="49"/>
        <v/>
      </c>
      <c r="H60" s="39" t="str">
        <f t="shared" si="50"/>
        <v/>
      </c>
      <c r="I60" s="10" t="str">
        <f t="shared" si="51"/>
        <v/>
      </c>
      <c r="J60" s="1" t="str">
        <f t="shared" si="52"/>
        <v/>
      </c>
      <c r="K60" s="35" t="str">
        <f t="shared" si="53"/>
        <v/>
      </c>
      <c r="AE60" s="3"/>
      <c r="AJ60" s="1"/>
    </row>
    <row r="61" spans="4:36" x14ac:dyDescent="0.2">
      <c r="D61" s="1">
        <v>1</v>
      </c>
      <c r="E61" s="132">
        <v>1</v>
      </c>
      <c r="F61" s="35">
        <v>44773</v>
      </c>
      <c r="G61" s="23" t="str">
        <f t="shared" si="49"/>
        <v/>
      </c>
      <c r="H61" s="39" t="str">
        <f t="shared" si="50"/>
        <v/>
      </c>
      <c r="I61" s="10" t="str">
        <f t="shared" si="51"/>
        <v/>
      </c>
      <c r="J61" s="1" t="str">
        <f t="shared" si="52"/>
        <v/>
      </c>
      <c r="K61" s="35" t="str">
        <f t="shared" si="53"/>
        <v/>
      </c>
      <c r="AE61" s="3"/>
      <c r="AJ61" s="1"/>
    </row>
    <row r="62" spans="4:36" x14ac:dyDescent="0.2">
      <c r="E62" s="132"/>
      <c r="F62" s="35"/>
      <c r="G62" s="23"/>
      <c r="H62" s="39"/>
      <c r="I62" s="10"/>
      <c r="K62" s="35"/>
      <c r="AE62" s="3"/>
      <c r="AJ62" s="1"/>
    </row>
    <row r="63" spans="4:36" x14ac:dyDescent="0.2">
      <c r="E63" s="132"/>
      <c r="F63" s="35"/>
      <c r="G63" s="23"/>
      <c r="H63" s="39"/>
      <c r="I63" s="10"/>
      <c r="K63" s="35"/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f>VLOOKUP(COUNTBLANK($K$37:$K$61)+1,$D$37:$K$61,COLUMNS($D$37:$K$37),0)</f>
        <v>44128.910113545229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f>'Análise Física Macro'!$O$4</f>
        <v>44135</v>
      </c>
      <c r="L69" s="3" t="s">
        <v>322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f>+K67-K69</f>
        <v>-6.089886454770749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opLeftCell="A12" zoomScale="90" zoomScaleNormal="90" workbookViewId="0">
      <selection activeCell="A27" sqref="A27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6.28515625" style="1" bestFit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17" t="s">
        <v>2779</v>
      </c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9"/>
    </row>
    <row r="3" spans="1:23" ht="24.75" customHeight="1" thickBot="1" x14ac:dyDescent="0.25">
      <c r="B3" s="1026" t="s">
        <v>31</v>
      </c>
      <c r="C3" s="1027"/>
      <c r="D3" s="1027"/>
      <c r="E3" s="1027"/>
      <c r="F3" s="1027"/>
      <c r="G3" s="1027"/>
      <c r="H3" s="1027"/>
      <c r="I3" s="1027"/>
      <c r="J3" s="1027"/>
      <c r="K3" s="1027"/>
      <c r="L3" s="1027"/>
      <c r="M3" s="1027"/>
      <c r="N3" s="1027"/>
      <c r="O3" s="1028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44135</v>
      </c>
      <c r="P4" s="482"/>
      <c r="Q4" s="482"/>
      <c r="R4" s="482"/>
      <c r="S4" s="482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f>$O$4</f>
        <v>44135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f>$O$5</f>
        <v>44135</v>
      </c>
      <c r="E6" s="337">
        <v>44104</v>
      </c>
      <c r="F6" s="1033" t="s">
        <v>38</v>
      </c>
      <c r="G6" s="1034"/>
      <c r="H6" s="1034"/>
      <c r="I6" s="1034"/>
      <c r="J6" s="1034"/>
      <c r="K6" s="1034"/>
      <c r="L6" s="1034"/>
      <c r="M6" s="1034"/>
      <c r="N6" s="1034"/>
      <c r="O6" s="1035"/>
      <c r="P6" s="43"/>
    </row>
    <row r="7" spans="1:23" ht="30" customHeight="1" x14ac:dyDescent="0.25">
      <c r="A7" s="176">
        <v>11</v>
      </c>
      <c r="B7" s="1020" t="s">
        <v>35</v>
      </c>
      <c r="C7" s="1021"/>
      <c r="D7" s="338">
        <f>DADOS!$AE$26</f>
        <v>0.10935982583172037</v>
      </c>
      <c r="E7" s="338">
        <v>5.1100000000000007E-2</v>
      </c>
      <c r="F7" s="194" t="s">
        <v>5</v>
      </c>
      <c r="G7" s="1036" t="s">
        <v>274</v>
      </c>
      <c r="H7" s="1037"/>
      <c r="I7" s="1037"/>
      <c r="J7" s="1037"/>
      <c r="K7" s="1037"/>
      <c r="L7" s="1038"/>
      <c r="M7" s="194" t="s">
        <v>40</v>
      </c>
      <c r="N7" s="194" t="s">
        <v>41</v>
      </c>
      <c r="O7" s="858" t="s">
        <v>42</v>
      </c>
      <c r="P7" s="43"/>
    </row>
    <row r="8" spans="1:23" ht="21.95" customHeight="1" x14ac:dyDescent="0.25">
      <c r="A8" s="167">
        <v>1</v>
      </c>
      <c r="B8" s="1022" t="s">
        <v>36</v>
      </c>
      <c r="C8" s="1023"/>
      <c r="D8" s="339">
        <f>DADOS!$AE$20</f>
        <v>9.7914802470753862E-2</v>
      </c>
      <c r="E8" s="339">
        <v>4.1683704171009341E-2</v>
      </c>
      <c r="F8" s="191" t="str">
        <f>IF($A8&gt;MAX('Análise Física Detalhada'!$BN$13:$BN$379),0,VLOOKUP($A8,'Análise Física Detalhada'!$BN$13:$BO$379,2,0))</f>
        <v xml:space="preserve">05 </v>
      </c>
      <c r="G8" s="1039" t="str">
        <f>IF($F8=0,0,VLOOKUP($F8,'Análise Física Detalhada'!$E$13:$AB$380,2,0))</f>
        <v>FUNDAÇÃO</v>
      </c>
      <c r="H8" s="1040"/>
      <c r="I8" s="1040"/>
      <c r="J8" s="1040"/>
      <c r="K8" s="1040"/>
      <c r="L8" s="1041"/>
      <c r="M8" s="192">
        <f>IF($F8=0,0,VLOOKUP($F8,'Análise Física Detalhada'!$E$13:$AB$380,8,0))</f>
        <v>0.6620332139875108</v>
      </c>
      <c r="N8" s="192">
        <f>IF($F8=0,0,VLOOKUP($F8,'Análise Física Detalhada'!$E$13:$AB$380,12,0))</f>
        <v>0.54206031687479794</v>
      </c>
      <c r="O8" s="193">
        <f>N8-M8</f>
        <v>-0.11997289711271286</v>
      </c>
      <c r="P8" s="43"/>
    </row>
    <row r="9" spans="1:23" ht="21.95" customHeight="1" x14ac:dyDescent="0.25">
      <c r="A9" s="167">
        <v>2</v>
      </c>
      <c r="B9" s="1020" t="s">
        <v>1937</v>
      </c>
      <c r="C9" s="1021"/>
      <c r="D9" s="338">
        <f>DADOS!$AE$25</f>
        <v>5.825982583172036E-2</v>
      </c>
      <c r="E9" s="338">
        <v>3.3819020626199028E-2</v>
      </c>
      <c r="F9" s="191" t="str">
        <f>IF($A9&gt;MAX('Análise Física Detalhada'!$BN$13:$BN$379),0,VLOOKUP($A9,'Análise Física Detalhada'!$BN$13:$BO$379,2,0))</f>
        <v xml:space="preserve">02 </v>
      </c>
      <c r="G9" s="1039" t="str">
        <f>IF($F9=0,0,VLOOKUP($F9,'Análise Física Detalhada'!$E$13:$AB$380,2,0))</f>
        <v>LAUDOS E ESTUDOS</v>
      </c>
      <c r="H9" s="1040"/>
      <c r="I9" s="1040"/>
      <c r="J9" s="1040"/>
      <c r="K9" s="1040"/>
      <c r="L9" s="1041"/>
      <c r="M9" s="192">
        <f>IF($F9=0,0,VLOOKUP($F9,'Análise Física Detalhada'!$E$13:$AB$380,8,0))</f>
        <v>0.56905733841621897</v>
      </c>
      <c r="N9" s="192">
        <f>IF($F9=0,0,VLOOKUP($F9,'Análise Física Detalhada'!$E$13:$AB$380,12,0))</f>
        <v>0.56850477386934672</v>
      </c>
      <c r="O9" s="193">
        <f t="shared" ref="O9:O17" si="0">N9-M9</f>
        <v>-5.5256454687224732E-4</v>
      </c>
      <c r="P9" s="43"/>
    </row>
    <row r="10" spans="1:23" ht="21.95" customHeight="1" x14ac:dyDescent="0.25">
      <c r="A10" s="167">
        <v>3</v>
      </c>
      <c r="B10" s="1022" t="s">
        <v>34</v>
      </c>
      <c r="C10" s="1023"/>
      <c r="D10" s="339">
        <f>DADOS!$AE$19</f>
        <v>5.6231098299744521E-2</v>
      </c>
      <c r="E10" s="339">
        <v>2.4402724797208359E-2</v>
      </c>
      <c r="F10" s="191">
        <f>IF($A10&gt;MAX('Análise Física Detalhada'!$BN$13:$BN$379),0,VLOOKUP($A10,'Análise Física Detalhada'!$BN$13:$BO$379,2,0))</f>
        <v>0</v>
      </c>
      <c r="G10" s="1039">
        <f>IF($F10=0,0,VLOOKUP($F10,'Análise Física Detalhada'!$E$13:$AB$380,2,0))</f>
        <v>0</v>
      </c>
      <c r="H10" s="1040"/>
      <c r="I10" s="1040"/>
      <c r="J10" s="1040"/>
      <c r="K10" s="1040"/>
      <c r="L10" s="1041"/>
      <c r="M10" s="192">
        <f>IF($F10=0,0,VLOOKUP($F10,'Análise Física Detalhada'!$E$13:$AB$380,8,0))</f>
        <v>0</v>
      </c>
      <c r="N10" s="192">
        <f>IF($F10=0,0,VLOOKUP($F10,'Análise Física Detalhada'!$E$13:$AB$380,12,0))</f>
        <v>0</v>
      </c>
      <c r="O10" s="193">
        <f t="shared" si="0"/>
        <v>0</v>
      </c>
      <c r="P10" s="43"/>
    </row>
    <row r="11" spans="1:23" ht="21.95" customHeight="1" x14ac:dyDescent="0.25">
      <c r="A11" s="167">
        <v>4</v>
      </c>
      <c r="B11" s="1024" t="s">
        <v>37</v>
      </c>
      <c r="C11" s="1025"/>
      <c r="D11" s="340">
        <f>$D$8-$D$7</f>
        <v>-1.1445023360966505E-2</v>
      </c>
      <c r="E11" s="340">
        <v>-9.4162958289906659E-3</v>
      </c>
      <c r="F11" s="191">
        <f>IF($A11&gt;MAX('Análise Física Detalhada'!$BN$13:$BN$379),0,VLOOKUP($A11,'Análise Física Detalhada'!$BN$13:$BO$379,2,0))</f>
        <v>0</v>
      </c>
      <c r="G11" s="1039">
        <f>IF($F11=0,0,VLOOKUP($F11,'Análise Física Detalhada'!$E$13:$AB$380,2,0))</f>
        <v>0</v>
      </c>
      <c r="H11" s="1040"/>
      <c r="I11" s="1040"/>
      <c r="J11" s="1040"/>
      <c r="K11" s="1040"/>
      <c r="L11" s="1041"/>
      <c r="M11" s="192">
        <f>IF($F11=0,0,VLOOKUP($F11,'Análise Física Detalhada'!$E$13:$AB$380,8,0))</f>
        <v>0</v>
      </c>
      <c r="N11" s="192">
        <f>IF($F11=0,0,VLOOKUP($F11,'Análise Física Detalhada'!$E$13:$AB$380,12,0))</f>
        <v>0</v>
      </c>
      <c r="O11" s="193">
        <f t="shared" si="0"/>
        <v>0</v>
      </c>
      <c r="P11" s="42"/>
    </row>
    <row r="12" spans="1:23" ht="21.95" customHeight="1" x14ac:dyDescent="0.2">
      <c r="A12" s="167">
        <v>5</v>
      </c>
      <c r="B12" s="43"/>
      <c r="C12" s="42"/>
      <c r="D12" s="859"/>
      <c r="E12" s="859"/>
      <c r="F12" s="191">
        <f>IF($A12&gt;MAX('Análise Física Detalhada'!$BN$13:$BN$379),0,VLOOKUP($A12,'Análise Física Detalhada'!$BN$13:$BO$379,2,0))</f>
        <v>0</v>
      </c>
      <c r="G12" s="1039">
        <f>IF($F12=0,0,VLOOKUP($F12,'Análise Física Detalhada'!$E$13:$AB$380,2,0))</f>
        <v>0</v>
      </c>
      <c r="H12" s="1040"/>
      <c r="I12" s="1040"/>
      <c r="J12" s="1040"/>
      <c r="K12" s="1040"/>
      <c r="L12" s="1041"/>
      <c r="M12" s="192">
        <f>IF($F12=0,0,VLOOKUP($F12,'Análise Física Detalhada'!$E$13:$AB$380,8,0))</f>
        <v>0</v>
      </c>
      <c r="N12" s="192">
        <f>IF($F12=0,0,VLOOKUP($F12,'Análise Física Detalhada'!$E$13:$AB$380,12,0))</f>
        <v>0</v>
      </c>
      <c r="O12" s="193">
        <f t="shared" si="0"/>
        <v>0</v>
      </c>
      <c r="P12" s="42"/>
    </row>
    <row r="13" spans="1:23" ht="21" customHeight="1" x14ac:dyDescent="0.2">
      <c r="A13" s="167">
        <v>6</v>
      </c>
      <c r="B13" s="1042" t="str">
        <f>IF(D13="0","Situação física Global em dia com o cronograma",IF(D13&lt;0,"A obra está atrasada (em dias)",IF(D13&gt;0,"A obra está adiantada (em dias)")))</f>
        <v>A obra está atrasada (em dias)</v>
      </c>
      <c r="C13" s="1043"/>
      <c r="D13" s="336">
        <f>DADOS!$K$71</f>
        <v>-6.089886454770749</v>
      </c>
      <c r="E13" s="336">
        <v>-8.3529584724528831</v>
      </c>
      <c r="F13" s="191">
        <f>IF($A13&gt;MAX('Análise Física Detalhada'!$BN$13:$BN$379),0,VLOOKUP($A13,'Análise Física Detalhada'!$BN$13:$BO$379,2,0))</f>
        <v>0</v>
      </c>
      <c r="G13" s="1039">
        <f>IF($F13=0,0,VLOOKUP($F13,'Análise Física Detalhada'!$E$13:$AB$380,2,0))</f>
        <v>0</v>
      </c>
      <c r="H13" s="1040"/>
      <c r="I13" s="1040"/>
      <c r="J13" s="1040"/>
      <c r="K13" s="1040"/>
      <c r="L13" s="1041"/>
      <c r="M13" s="192">
        <f>IF($F13=0,0,VLOOKUP($F13,'Análise Física Detalhada'!$E$13:$AB$380,8,0))</f>
        <v>0</v>
      </c>
      <c r="N13" s="192">
        <f>IF($F13=0,0,VLOOKUP($F13,'Análise Física Detalhada'!$E$13:$AB$380,12,0))</f>
        <v>0</v>
      </c>
      <c r="O13" s="193">
        <f t="shared" si="0"/>
        <v>0</v>
      </c>
      <c r="P13" s="42"/>
    </row>
    <row r="14" spans="1:23" ht="21.95" customHeight="1" x14ac:dyDescent="0.2">
      <c r="A14" s="167">
        <v>7</v>
      </c>
      <c r="B14" s="1029"/>
      <c r="C14" s="1030"/>
      <c r="D14" s="56"/>
      <c r="E14" s="56">
        <v>0</v>
      </c>
      <c r="F14" s="191">
        <f>IF($A14&gt;MAX('Análise Física Detalhada'!$BN$13:$BN$379),0,VLOOKUP($A14,'Análise Física Detalhada'!$BN$13:$BO$379,2,0))</f>
        <v>0</v>
      </c>
      <c r="G14" s="1039">
        <f>IF($F14=0,0,VLOOKUP($F14,'Análise Física Detalhada'!$E$13:$AB$380,2,0))</f>
        <v>0</v>
      </c>
      <c r="H14" s="1040"/>
      <c r="I14" s="1040"/>
      <c r="J14" s="1040"/>
      <c r="K14" s="1040"/>
      <c r="L14" s="1041"/>
      <c r="M14" s="192">
        <f>IF($F14=0,0,VLOOKUP($F14,'Análise Física Detalhada'!$E$13:$AB$380,8,0))</f>
        <v>0</v>
      </c>
      <c r="N14" s="192">
        <f>IF($F14=0,0,VLOOKUP($F14,'Análise Física Detalhada'!$E$13:$AB$380,12,0))</f>
        <v>0</v>
      </c>
      <c r="O14" s="193">
        <f t="shared" si="0"/>
        <v>0</v>
      </c>
      <c r="P14" s="52"/>
    </row>
    <row r="15" spans="1:23" ht="21.95" customHeight="1" x14ac:dyDescent="0.2">
      <c r="A15" s="167">
        <v>8</v>
      </c>
      <c r="B15" s="860"/>
      <c r="C15" s="624"/>
      <c r="D15" s="580"/>
      <c r="E15" s="581"/>
      <c r="F15" s="191">
        <f>IF($A15&gt;MAX('Análise Física Detalhada'!$BN$13:$BN$379),0,VLOOKUP($A15,'Análise Física Detalhada'!$BN$13:$BO$379,2,0))</f>
        <v>0</v>
      </c>
      <c r="G15" s="1039">
        <f>IF($F15=0,0,VLOOKUP($F15,'Análise Física Detalhada'!$E$13:$AB$380,2,0))</f>
        <v>0</v>
      </c>
      <c r="H15" s="1040"/>
      <c r="I15" s="1040"/>
      <c r="J15" s="1040"/>
      <c r="K15" s="1040"/>
      <c r="L15" s="1041"/>
      <c r="M15" s="192">
        <f>IF($F15=0,0,VLOOKUP($F15,'Análise Física Detalhada'!$E$13:$AB$380,8,0))</f>
        <v>0</v>
      </c>
      <c r="N15" s="192">
        <f>IF($F15=0,0,VLOOKUP($F15,'Análise Física Detalhada'!$E$13:$AB$380,12,0))</f>
        <v>0</v>
      </c>
      <c r="O15" s="193">
        <f t="shared" si="0"/>
        <v>0</v>
      </c>
      <c r="P15" s="42"/>
    </row>
    <row r="16" spans="1:23" ht="21.95" customHeight="1" x14ac:dyDescent="0.2">
      <c r="A16" s="167">
        <v>9</v>
      </c>
      <c r="B16" s="1031"/>
      <c r="C16" s="1032"/>
      <c r="D16" s="57"/>
      <c r="E16" s="58"/>
      <c r="F16" s="191">
        <f>IF($A16&gt;MAX('Análise Física Detalhada'!$BN$13:$BN$379),0,VLOOKUP($A16,'Análise Física Detalhada'!$BN$13:$BO$379,2,0))</f>
        <v>0</v>
      </c>
      <c r="G16" s="1039">
        <f>IF($F16=0,0,VLOOKUP($F16,'Análise Física Detalhada'!$E$13:$AB$380,2,0))</f>
        <v>0</v>
      </c>
      <c r="H16" s="1040"/>
      <c r="I16" s="1040"/>
      <c r="J16" s="1040"/>
      <c r="K16" s="1040"/>
      <c r="L16" s="1041"/>
      <c r="M16" s="192">
        <f>IF($F16=0,0,VLOOKUP($F16,'Análise Física Detalhada'!$E$13:$AB$380,8,0))</f>
        <v>0</v>
      </c>
      <c r="N16" s="192">
        <f>IF($F16=0,0,VLOOKUP($F16,'Análise Física Detalhada'!$E$13:$AB$380,12,0))</f>
        <v>0</v>
      </c>
      <c r="O16" s="193">
        <f t="shared" si="0"/>
        <v>0</v>
      </c>
      <c r="P16" s="42"/>
    </row>
    <row r="17" spans="1:16" ht="21.95" customHeight="1" x14ac:dyDescent="0.2">
      <c r="A17" s="167">
        <v>10</v>
      </c>
      <c r="B17" s="1031"/>
      <c r="C17" s="1032"/>
      <c r="D17" s="57"/>
      <c r="E17" s="59"/>
      <c r="F17" s="191">
        <f>IF($A17&gt;MAX('Análise Física Detalhada'!$BN$13:$BN$379),0,VLOOKUP($A17,'Análise Física Detalhada'!$BN$13:$BO$379,2,0))</f>
        <v>0</v>
      </c>
      <c r="G17" s="1039">
        <f>IF($F17=0,0,VLOOKUP($F17,'Análise Física Detalhada'!$E$13:$AB$380,2,0))</f>
        <v>0</v>
      </c>
      <c r="H17" s="1040"/>
      <c r="I17" s="1040"/>
      <c r="J17" s="1040"/>
      <c r="K17" s="1040"/>
      <c r="L17" s="1041"/>
      <c r="M17" s="192">
        <f>IF($F17=0,0,VLOOKUP($F17,'Análise Física Detalhada'!$E$13:$AB$380,8,0))</f>
        <v>0</v>
      </c>
      <c r="N17" s="192">
        <f>IF($F17=0,0,VLOOKUP($F17,'Análise Física Detalhada'!$E$13:$AB$380,12,0))</f>
        <v>0</v>
      </c>
      <c r="O17" s="193">
        <f t="shared" si="0"/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44" t="s">
        <v>275</v>
      </c>
      <c r="H18" s="1045"/>
      <c r="I18" s="1045"/>
      <c r="J18" s="1045"/>
      <c r="K18" s="1045"/>
      <c r="L18" s="1046"/>
      <c r="M18" s="195" t="s">
        <v>40</v>
      </c>
      <c r="N18" s="195" t="s">
        <v>41</v>
      </c>
      <c r="O18" s="861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tr">
        <f>IF($A19&gt;MAX('Análise Física Detalhada'!$BR$13:$BR$379),0,VLOOKUP($A19,'Análise Física Detalhada'!$BR$13:$BS$379,2,0))</f>
        <v xml:space="preserve">03 </v>
      </c>
      <c r="G19" s="1047" t="str">
        <f>IF($F19=0,0,VLOOKUP($F19,'Análise Física Detalhada'!$E$13:$AB$379,2,0))</f>
        <v>SERVIÇOS PRELIMINARES</v>
      </c>
      <c r="H19" s="1048"/>
      <c r="I19" s="1048"/>
      <c r="J19" s="1048"/>
      <c r="K19" s="1048"/>
      <c r="L19" s="1049"/>
      <c r="M19" s="192">
        <f>IF($F19=0,0,VLOOKUP($F19,'Análise Física Detalhada'!$E$13:$AB$379,8,0))</f>
        <v>0.51579906795127295</v>
      </c>
      <c r="N19" s="192">
        <f>IF($F19=0,0,VLOOKUP($F19,'Análise Física Detalhada'!$E$13:$AB$379,12,0))</f>
        <v>0.65650704313885888</v>
      </c>
      <c r="O19" s="193">
        <f t="shared" ref="O19" si="1">N19-M19</f>
        <v>0.14070797518758593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>
        <f>IF($A20&gt;MAX('Análise Física Detalhada'!$BR$13:$BR$379),0,VLOOKUP($A20,'Análise Física Detalhada'!$BR$13:$BS$379,2,0))</f>
        <v>0</v>
      </c>
      <c r="G20" s="1047">
        <f>IF($F20=0,0,VLOOKUP($F20,'Análise Física Detalhada'!$E$13:$AB$379,2,0))</f>
        <v>0</v>
      </c>
      <c r="H20" s="1048"/>
      <c r="I20" s="1048"/>
      <c r="J20" s="1048"/>
      <c r="K20" s="1048"/>
      <c r="L20" s="1049"/>
      <c r="M20" s="192">
        <f>IF($F20=0,0,VLOOKUP($F20,'Análise Física Detalhada'!$E$13:$AB$379,8,0))</f>
        <v>0</v>
      </c>
      <c r="N20" s="192">
        <f>IF($F20=0,0,VLOOKUP($F20,'Análise Física Detalhada'!$E$13:$AB$379,12,0))</f>
        <v>0</v>
      </c>
      <c r="O20" s="193">
        <f t="shared" ref="O20:O29" si="2">N20-M20</f>
        <v>0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>
        <f>IF($A21&gt;MAX('Análise Física Detalhada'!$BR$13:$BR$379),0,VLOOKUP($A21,'Análise Física Detalhada'!$BR$13:$BS$379,2,0))</f>
        <v>0</v>
      </c>
      <c r="G21" s="1047">
        <f>IF($F21=0,0,VLOOKUP($F21,'Análise Física Detalhada'!$E$13:$AB$379,2,0))</f>
        <v>0</v>
      </c>
      <c r="H21" s="1048"/>
      <c r="I21" s="1048"/>
      <c r="J21" s="1048"/>
      <c r="K21" s="1048"/>
      <c r="L21" s="1049"/>
      <c r="M21" s="192">
        <f>IF($F21=0,0,VLOOKUP($F21,'Análise Física Detalhada'!$E$13:$AB$379,8,0))</f>
        <v>0</v>
      </c>
      <c r="N21" s="192">
        <f>IF($F21=0,0,VLOOKUP($F21,'Análise Física Detalhada'!$E$13:$AB$379,12,0))</f>
        <v>0</v>
      </c>
      <c r="O21" s="193">
        <f t="shared" si="2"/>
        <v>0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>
        <f>IF($A22&gt;MAX('Análise Física Detalhada'!$BR$13:$BR$379),0,VLOOKUP($A22,'Análise Física Detalhada'!$BR$13:$BS$379,2,0))</f>
        <v>0</v>
      </c>
      <c r="G22" s="1047">
        <f>IF($F22=0,0,VLOOKUP($F22,'Análise Física Detalhada'!$E$13:$AB$379,2,0))</f>
        <v>0</v>
      </c>
      <c r="H22" s="1048"/>
      <c r="I22" s="1048"/>
      <c r="J22" s="1048"/>
      <c r="K22" s="1048"/>
      <c r="L22" s="1049"/>
      <c r="M22" s="192">
        <f>IF($F22=0,0,VLOOKUP($F22,'Análise Física Detalhada'!$E$13:$AB$379,8,0))</f>
        <v>0</v>
      </c>
      <c r="N22" s="192">
        <f>IF($F22=0,0,VLOOKUP($F22,'Análise Física Detalhada'!$E$13:$AB$379,12,0))</f>
        <v>0</v>
      </c>
      <c r="O22" s="193">
        <f t="shared" si="2"/>
        <v>0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>
        <f>IF($A23&gt;MAX('Análise Física Detalhada'!$BR$13:$BR$379),0,VLOOKUP($A23,'Análise Física Detalhada'!$BR$13:$BS$379,2,0))</f>
        <v>0</v>
      </c>
      <c r="G23" s="1047">
        <f>IF($F23=0,0,VLOOKUP($F23,'Análise Física Detalhada'!$E$13:$AB$379,2,0))</f>
        <v>0</v>
      </c>
      <c r="H23" s="1048"/>
      <c r="I23" s="1048"/>
      <c r="J23" s="1048"/>
      <c r="K23" s="1048"/>
      <c r="L23" s="1049"/>
      <c r="M23" s="192">
        <f>IF($F23=0,0,VLOOKUP($F23,'Análise Física Detalhada'!$E$13:$AB$379,8,0))</f>
        <v>0</v>
      </c>
      <c r="N23" s="192">
        <f>IF($F23=0,0,VLOOKUP($F23,'Análise Física Detalhada'!$E$13:$AB$379,12,0))</f>
        <v>0</v>
      </c>
      <c r="O23" s="193">
        <f t="shared" si="2"/>
        <v>0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>
        <f>IF($A24&gt;MAX('Análise Física Detalhada'!$BR$13:$BR$379),0,VLOOKUP($A24,'Análise Física Detalhada'!$BR$13:$BS$379,2,0))</f>
        <v>0</v>
      </c>
      <c r="G24" s="1047">
        <f>IF($F24=0,0,VLOOKUP($F24,'Análise Física Detalhada'!$E$13:$AB$379,2,0))</f>
        <v>0</v>
      </c>
      <c r="H24" s="1048"/>
      <c r="I24" s="1048"/>
      <c r="J24" s="1048"/>
      <c r="K24" s="1048"/>
      <c r="L24" s="1049"/>
      <c r="M24" s="192">
        <f>IF($F24=0,0,VLOOKUP($F24,'Análise Física Detalhada'!$E$13:$AB$379,8,0))</f>
        <v>0</v>
      </c>
      <c r="N24" s="192">
        <f>IF($F24=0,0,VLOOKUP($F24,'Análise Física Detalhada'!$E$13:$AB$379,12,0))</f>
        <v>0</v>
      </c>
      <c r="O24" s="193">
        <f t="shared" si="2"/>
        <v>0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>
        <f>IF($A25&gt;MAX('Análise Física Detalhada'!$BR$13:$BR$379),0,VLOOKUP($A25,'Análise Física Detalhada'!$BR$13:$BS$379,2,0))</f>
        <v>0</v>
      </c>
      <c r="G25" s="1047">
        <f>IF($F25=0,0,VLOOKUP($F25,'Análise Física Detalhada'!$E$13:$AB$379,2,0))</f>
        <v>0</v>
      </c>
      <c r="H25" s="1048"/>
      <c r="I25" s="1048"/>
      <c r="J25" s="1048"/>
      <c r="K25" s="1048"/>
      <c r="L25" s="1049"/>
      <c r="M25" s="192">
        <f>IF($F25=0,0,VLOOKUP($F25,'Análise Física Detalhada'!$E$13:$AB$379,8,0))</f>
        <v>0</v>
      </c>
      <c r="N25" s="192">
        <f>IF($F25=0,0,VLOOKUP($F25,'Análise Física Detalhada'!$E$13:$AB$379,12,0))</f>
        <v>0</v>
      </c>
      <c r="O25" s="193">
        <f t="shared" si="2"/>
        <v>0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>
        <f>IF($A26&gt;MAX('Análise Física Detalhada'!$BR$13:$BR$379),0,VLOOKUP($A26,'Análise Física Detalhada'!$BR$13:$BS$379,2,0))</f>
        <v>0</v>
      </c>
      <c r="G26" s="1047">
        <f>IF($F26=0,0,VLOOKUP($F26,'Análise Física Detalhada'!$E$13:$AB$379,2,0))</f>
        <v>0</v>
      </c>
      <c r="H26" s="1048"/>
      <c r="I26" s="1048"/>
      <c r="J26" s="1048"/>
      <c r="K26" s="1048"/>
      <c r="L26" s="1049"/>
      <c r="M26" s="192">
        <f>IF($F26=0,0,VLOOKUP($F26,'Análise Física Detalhada'!$E$13:$AB$379,8,0))</f>
        <v>0</v>
      </c>
      <c r="N26" s="192">
        <f>IF($F26=0,0,VLOOKUP($F26,'Análise Física Detalhada'!$E$13:$AB$379,12,0))</f>
        <v>0</v>
      </c>
      <c r="O26" s="193">
        <f t="shared" si="2"/>
        <v>0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f>IF($A27&gt;MAX('Análise Física Detalhada'!$BR$13:$BR$379),0,VLOOKUP($A27,'Análise Física Detalhada'!$BR$13:$BS$379,2,0))</f>
        <v>0</v>
      </c>
      <c r="G27" s="1047">
        <f>IF($F27=0,0,VLOOKUP($F27,'Análise Física Detalhada'!$E$13:$AB$379,2,0))</f>
        <v>0</v>
      </c>
      <c r="H27" s="1048"/>
      <c r="I27" s="1048"/>
      <c r="J27" s="1048"/>
      <c r="K27" s="1048"/>
      <c r="L27" s="1049"/>
      <c r="M27" s="192">
        <f>IF($F27=0,0,VLOOKUP($F27,'Análise Física Detalhada'!$E$13:$AB$379,8,0))</f>
        <v>0</v>
      </c>
      <c r="N27" s="192">
        <f>IF($F27=0,0,VLOOKUP($F27,'Análise Física Detalhada'!$E$13:$AB$379,12,0))</f>
        <v>0</v>
      </c>
      <c r="O27" s="193">
        <f t="shared" si="2"/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f>IF($A28&gt;MAX('Análise Física Detalhada'!$BR$13:$BR$379),0,VLOOKUP($A28,'Análise Física Detalhada'!$BR$13:$BS$379,2,0))</f>
        <v>0</v>
      </c>
      <c r="G28" s="1047">
        <f>IF($F28=0,0,VLOOKUP($F28,'Análise Física Detalhada'!$E$13:$AB$379,2,0))</f>
        <v>0</v>
      </c>
      <c r="H28" s="1048"/>
      <c r="I28" s="1048"/>
      <c r="J28" s="1048"/>
      <c r="K28" s="1048"/>
      <c r="L28" s="1049"/>
      <c r="M28" s="192">
        <f>IF($F28=0,0,VLOOKUP($F28,'Análise Física Detalhada'!$E$13:$AB$379,8,0))</f>
        <v>0</v>
      </c>
      <c r="N28" s="192">
        <f>IF($F28=0,0,VLOOKUP($F28,'Análise Física Detalhada'!$E$13:$AB$379,12,0))</f>
        <v>0</v>
      </c>
      <c r="O28" s="193">
        <f t="shared" si="2"/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f>IF($A29&gt;MAX('Análise Física Detalhada'!$BR$13:$BR$379),0,VLOOKUP($A29,'Análise Física Detalhada'!$BR$13:$BS$379,2,0))</f>
        <v>0</v>
      </c>
      <c r="G29" s="1047">
        <f>IF($F29=0,0,VLOOKUP($F29,'Análise Física Detalhada'!$E$13:$AB$379,2,0))</f>
        <v>0</v>
      </c>
      <c r="H29" s="1048"/>
      <c r="I29" s="1048"/>
      <c r="J29" s="1048"/>
      <c r="K29" s="1048"/>
      <c r="L29" s="1049"/>
      <c r="M29" s="192">
        <f>IF($F29=0,0,VLOOKUP($F29,'Análise Física Detalhada'!$E$13:$AB$379,8,0))</f>
        <v>0</v>
      </c>
      <c r="N29" s="192">
        <f>IF($F29=0,0,VLOOKUP($F29,'Análise Física Detalhada'!$E$13:$AB$379,12,0))</f>
        <v>0</v>
      </c>
      <c r="O29" s="193">
        <f t="shared" si="2"/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2779</v>
      </c>
      <c r="K86" s="75"/>
      <c r="L86" s="75"/>
      <c r="M86" s="76"/>
      <c r="N86" s="52"/>
      <c r="O86" s="77"/>
    </row>
    <row r="87" spans="1:15" ht="15.75" x14ac:dyDescent="0.25">
      <c r="B87" s="1050"/>
      <c r="C87" s="1051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52"/>
      <c r="C88" s="1053"/>
      <c r="D88" s="61"/>
      <c r="E88" s="61"/>
      <c r="F88" s="42"/>
      <c r="G88" s="42"/>
      <c r="I88" s="42"/>
      <c r="J88" s="1054"/>
      <c r="K88" s="1054"/>
      <c r="L88" s="1054"/>
      <c r="M88" s="1054"/>
      <c r="N88" s="1054"/>
      <c r="O88" s="1055"/>
    </row>
    <row r="89" spans="1:15" ht="15.75" x14ac:dyDescent="0.25">
      <c r="B89" s="1050"/>
      <c r="C89" s="1051"/>
      <c r="D89" s="62"/>
      <c r="E89" s="62"/>
      <c r="F89" s="42"/>
      <c r="G89" s="42"/>
      <c r="H89" s="42"/>
      <c r="I89" s="42"/>
      <c r="J89" s="1054"/>
      <c r="K89" s="1054"/>
      <c r="L89" s="1054"/>
      <c r="M89" s="1054"/>
      <c r="N89" s="1054"/>
      <c r="O89" s="1055"/>
    </row>
    <row r="90" spans="1:15" ht="15.75" x14ac:dyDescent="0.2">
      <c r="B90" s="1052"/>
      <c r="C90" s="1053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31"/>
      <c r="C92" s="1032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272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31"/>
      <c r="C94" s="1032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273</v>
      </c>
      <c r="N94" s="330">
        <v>44044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31"/>
      <c r="C96" s="1032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44044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44743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/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v>44074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87:C87"/>
    <mergeCell ref="B88:C88"/>
    <mergeCell ref="J88:O89"/>
    <mergeCell ref="B96:C96"/>
    <mergeCell ref="B92:C92"/>
    <mergeCell ref="B94:C94"/>
    <mergeCell ref="B89:C89"/>
    <mergeCell ref="B90:C90"/>
    <mergeCell ref="G25:L25"/>
    <mergeCell ref="G26:L26"/>
    <mergeCell ref="G27:L27"/>
    <mergeCell ref="G28:L28"/>
    <mergeCell ref="G29:L29"/>
    <mergeCell ref="G20:L20"/>
    <mergeCell ref="G21:L21"/>
    <mergeCell ref="G22:L22"/>
    <mergeCell ref="G23:L23"/>
    <mergeCell ref="G24:L24"/>
    <mergeCell ref="G18:L18"/>
    <mergeCell ref="G19:L19"/>
    <mergeCell ref="G11:L11"/>
    <mergeCell ref="G12:L12"/>
    <mergeCell ref="G13:L13"/>
    <mergeCell ref="G14:L14"/>
    <mergeCell ref="G15:L15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B2:O2"/>
    <mergeCell ref="B9:C9"/>
    <mergeCell ref="B10:C10"/>
    <mergeCell ref="B8:C8"/>
    <mergeCell ref="B11:C11"/>
    <mergeCell ref="B3:O3"/>
  </mergeCells>
  <conditionalFormatting sqref="E17">
    <cfRule type="cellIs" dxfId="215" priority="43" operator="equal">
      <formula>"""OBRA ATRASADA"""</formula>
    </cfRule>
  </conditionalFormatting>
  <conditionalFormatting sqref="E16">
    <cfRule type="cellIs" dxfId="214" priority="42" operator="equal">
      <formula>"""OBRA ATRASADA"""</formula>
    </cfRule>
  </conditionalFormatting>
  <conditionalFormatting sqref="D11">
    <cfRule type="cellIs" dxfId="213" priority="38" operator="lessThan">
      <formula>0</formula>
    </cfRule>
    <cfRule type="cellIs" dxfId="212" priority="39" operator="greaterThan">
      <formula>0</formula>
    </cfRule>
  </conditionalFormatting>
  <conditionalFormatting sqref="E96:E97">
    <cfRule type="cellIs" dxfId="211" priority="22" operator="equal">
      <formula>"""OBRA ATRASADA"""</formula>
    </cfRule>
  </conditionalFormatting>
  <conditionalFormatting sqref="D88">
    <cfRule type="cellIs" dxfId="210" priority="20" operator="lessThan">
      <formula>$D$14</formula>
    </cfRule>
    <cfRule type="cellIs" dxfId="209" priority="21" operator="greaterThan">
      <formula>$D$14</formula>
    </cfRule>
  </conditionalFormatting>
  <conditionalFormatting sqref="D92:D93">
    <cfRule type="cellIs" dxfId="208" priority="18" operator="lessThan">
      <formula>0</formula>
    </cfRule>
    <cfRule type="cellIs" dxfId="207" priority="19" operator="greaterThan">
      <formula>0</formula>
    </cfRule>
  </conditionalFormatting>
  <conditionalFormatting sqref="E88">
    <cfRule type="cellIs" dxfId="206" priority="16" operator="lessThan">
      <formula>$D$14</formula>
    </cfRule>
    <cfRule type="cellIs" dxfId="205" priority="17" operator="greaterThan">
      <formula>$D$14</formula>
    </cfRule>
  </conditionalFormatting>
  <conditionalFormatting sqref="E92:E93">
    <cfRule type="cellIs" dxfId="204" priority="14" operator="lessThan">
      <formula>0</formula>
    </cfRule>
    <cfRule type="cellIs" dxfId="203" priority="15" operator="greaterThan">
      <formula>0</formula>
    </cfRule>
  </conditionalFormatting>
  <conditionalFormatting sqref="B13:C13">
    <cfRule type="containsText" dxfId="202" priority="7" operator="containsText" text="A obra está atrasada (em dias)">
      <formula>NOT(ISERROR(SEARCH("A obra está atrasada (em dias)",B13)))</formula>
    </cfRule>
    <cfRule type="containsText" dxfId="201" priority="9" operator="containsText" text="A obra está adiantada (em dias)">
      <formula>NOT(ISERROR(SEARCH("A obra está adiantada (em dias)",B13)))</formula>
    </cfRule>
    <cfRule type="containsText" dxfId="200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99" priority="5" operator="lessThan">
      <formula>0</formula>
    </cfRule>
    <cfRule type="cellIs" dxfId="198" priority="6" operator="greaterThanOrEqual">
      <formula>0</formula>
    </cfRule>
  </conditionalFormatting>
  <conditionalFormatting sqref="E11">
    <cfRule type="cellIs" dxfId="197" priority="3" operator="lessThan">
      <formula>0</formula>
    </cfRule>
    <cfRule type="cellIs" dxfId="196" priority="4" operator="greaterThan">
      <formula>0</formula>
    </cfRule>
  </conditionalFormatting>
  <conditionalFormatting sqref="E13">
    <cfRule type="cellIs" dxfId="195" priority="1" operator="lessThan">
      <formula>0</formula>
    </cfRule>
    <cfRule type="cellIs" dxfId="194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485"/>
  <sheetViews>
    <sheetView showZeros="0" topLeftCell="E11" zoomScale="60" zoomScaleNormal="60" workbookViewId="0">
      <pane xSplit="6" ySplit="2" topLeftCell="K464" activePane="bottomRight" state="frozen"/>
      <selection activeCell="E11" sqref="E11"/>
      <selection pane="topRight" activeCell="K11" sqref="K11"/>
      <selection pane="bottomLeft" activeCell="E13" sqref="E13"/>
      <selection pane="bottomRight" activeCell="L481" sqref="L481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14.2851562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18.7109375" bestFit="1" customWidth="1"/>
    <col min="10" max="10" width="21.5703125" customWidth="1"/>
    <col min="11" max="11" width="12.7109375" customWidth="1"/>
    <col min="12" max="12" width="15.140625" customWidth="1"/>
    <col min="13" max="13" width="15.140625" bestFit="1" customWidth="1"/>
    <col min="14" max="14" width="25.5703125" customWidth="1"/>
    <col min="15" max="16" width="12.7109375" customWidth="1"/>
    <col min="17" max="17" width="13.28515625" customWidth="1"/>
    <col min="18" max="18" width="19.42578125" bestFit="1" customWidth="1"/>
    <col min="19" max="19" width="22.5703125" customWidth="1"/>
    <col min="20" max="20" width="19.42578125" customWidth="1"/>
    <col min="21" max="21" width="22.28515625" customWidth="1"/>
    <col min="22" max="22" width="21.85546875" customWidth="1"/>
    <col min="23" max="23" width="19.42578125" customWidth="1"/>
    <col min="24" max="24" width="17.5703125" customWidth="1"/>
    <col min="25" max="25" width="13.42578125" customWidth="1"/>
    <col min="26" max="26" width="22.28515625" customWidth="1"/>
    <col min="27" max="27" width="14.5703125" customWidth="1"/>
    <col min="28" max="28" width="21" customWidth="1"/>
    <col min="29" max="29" width="9.140625" customWidth="1"/>
    <col min="30" max="30" width="10.85546875" style="120" bestFit="1" customWidth="1"/>
    <col min="31" max="31" width="10.85546875" bestFit="1" customWidth="1"/>
    <col min="32" max="32" width="9.140625" customWidth="1"/>
    <col min="33" max="33" width="13.5703125" customWidth="1"/>
    <col min="34" max="34" width="16.28515625" customWidth="1"/>
    <col min="35" max="35" width="13" customWidth="1"/>
    <col min="36" max="36" width="16.28515625" customWidth="1"/>
    <col min="37" max="37" width="11" customWidth="1"/>
    <col min="38" max="38" width="22.85546875" customWidth="1"/>
    <col min="39" max="39" width="18.7109375" customWidth="1"/>
    <col min="40" max="40" width="16" customWidth="1"/>
    <col min="41" max="41" width="15.28515625" customWidth="1"/>
    <col min="42" max="42" width="12" customWidth="1"/>
    <col min="43" max="43" width="14.140625" customWidth="1"/>
    <col min="44" max="44" width="11.5703125" customWidth="1"/>
    <col min="45" max="47" width="12.85546875" customWidth="1"/>
    <col min="48" max="48" width="9.140625" customWidth="1"/>
    <col min="49" max="49" width="14.85546875" style="153" customWidth="1"/>
    <col min="50" max="50" width="10.5703125" style="206" customWidth="1"/>
    <col min="51" max="51" width="10.42578125" style="253" bestFit="1" customWidth="1"/>
    <col min="52" max="52" width="9.140625" style="235" customWidth="1"/>
    <col min="53" max="60" width="9.140625" customWidth="1"/>
    <col min="61" max="61" width="13.7109375" customWidth="1"/>
    <col min="62" max="64" width="9.140625" customWidth="1"/>
    <col min="65" max="65" width="15.85546875" customWidth="1"/>
    <col min="66" max="66" width="11.28515625" customWidth="1"/>
    <col min="67" max="67" width="12.28515625" customWidth="1"/>
    <col min="68" max="68" width="17" bestFit="1" customWidth="1"/>
    <col min="69" max="69" width="11.7109375" customWidth="1"/>
    <col min="70" max="70" width="13.85546875" customWidth="1"/>
    <col min="71" max="71" width="14.28515625" customWidth="1"/>
    <col min="72" max="72" width="14.140625" customWidth="1"/>
    <col min="73" max="73" width="15.5703125" customWidth="1"/>
    <col min="83" max="83" width="11.140625" style="483" bestFit="1" customWidth="1"/>
  </cols>
  <sheetData>
    <row r="1" spans="1:83" ht="19.5" customHeight="1" x14ac:dyDescent="0.2">
      <c r="E1" s="879"/>
    </row>
    <row r="2" spans="1:83" ht="16.5" customHeight="1" x14ac:dyDescent="0.2">
      <c r="E2" s="332"/>
      <c r="F2" s="130"/>
    </row>
    <row r="3" spans="1:83" ht="15" customHeight="1" x14ac:dyDescent="0.2">
      <c r="E3" s="331"/>
      <c r="F3" s="130"/>
    </row>
    <row r="4" spans="1:83" ht="16.5" customHeight="1" x14ac:dyDescent="0.2">
      <c r="E4" s="331"/>
      <c r="F4" s="130"/>
    </row>
    <row r="5" spans="1:83" ht="15.75" customHeight="1" x14ac:dyDescent="0.2">
      <c r="E5" s="331"/>
      <c r="F5" s="130"/>
    </row>
    <row r="6" spans="1:83" ht="17.25" customHeight="1" thickBot="1" x14ac:dyDescent="0.25">
      <c r="D6" s="154"/>
      <c r="E6" s="332">
        <f>HLOOKUP('Análise Física Macro'!$O$4,Plan3!$A$10:$CN$12,3)</f>
        <v>19</v>
      </c>
      <c r="F6" s="130" t="s">
        <v>296</v>
      </c>
      <c r="R6" s="341"/>
      <c r="S6" s="341"/>
      <c r="T6" s="341"/>
      <c r="U6" s="341"/>
      <c r="V6" s="341"/>
      <c r="W6" s="341"/>
    </row>
    <row r="7" spans="1:83" ht="19.5" customHeight="1" thickBot="1" x14ac:dyDescent="0.25">
      <c r="D7" s="154"/>
      <c r="E7" s="332">
        <f>HLOOKUP('Análise Física Macro'!$O$4,Plan3!$A$10:$CN$12,3)+1</f>
        <v>20</v>
      </c>
      <c r="F7" s="130" t="s">
        <v>297</v>
      </c>
      <c r="H7" s="341"/>
      <c r="BL7" s="1057" t="s">
        <v>284</v>
      </c>
      <c r="BM7" s="1058"/>
      <c r="BN7" s="1058"/>
      <c r="BO7" s="1058"/>
      <c r="BP7" s="1059"/>
      <c r="BQ7" s="1059"/>
      <c r="BR7" s="1059"/>
      <c r="BS7" s="1059"/>
      <c r="BT7" s="1059"/>
      <c r="BU7" s="1060"/>
    </row>
    <row r="8" spans="1:83" s="120" customFormat="1" ht="17.25" customHeight="1" x14ac:dyDescent="0.2">
      <c r="A8" s="844"/>
      <c r="B8" s="844"/>
      <c r="C8" s="591"/>
      <c r="D8" s="365"/>
      <c r="E8" s="395"/>
      <c r="F8" s="365"/>
      <c r="L8" s="396"/>
      <c r="AL8" s="1089" t="s">
        <v>285</v>
      </c>
      <c r="AM8" s="1090"/>
      <c r="AN8" s="1090"/>
      <c r="AO8" s="1090"/>
      <c r="AP8" s="1091"/>
      <c r="AW8" s="397"/>
      <c r="AX8" s="398"/>
      <c r="AY8" s="399"/>
      <c r="AZ8" s="394"/>
      <c r="BL8" s="1061" t="s">
        <v>226</v>
      </c>
      <c r="BM8" s="400" t="s">
        <v>227</v>
      </c>
      <c r="BN8" s="1064" t="s">
        <v>228</v>
      </c>
      <c r="BO8" s="1064"/>
      <c r="BP8" s="1064"/>
      <c r="BQ8" s="1065"/>
      <c r="BR8" s="1064" t="s">
        <v>229</v>
      </c>
      <c r="BS8" s="1064"/>
      <c r="BT8" s="1064"/>
      <c r="BU8" s="1065"/>
      <c r="CE8" s="484"/>
    </row>
    <row r="9" spans="1:83" ht="16.5" customHeight="1" x14ac:dyDescent="0.2">
      <c r="E9" s="262"/>
      <c r="F9" s="130"/>
      <c r="AL9" s="210" t="s">
        <v>227</v>
      </c>
      <c r="AM9" s="205"/>
      <c r="AN9" s="205" t="s">
        <v>234</v>
      </c>
      <c r="AO9" s="205"/>
      <c r="AP9" s="211" t="s">
        <v>234</v>
      </c>
      <c r="BL9" s="1062"/>
      <c r="BM9" s="157" t="s">
        <v>230</v>
      </c>
      <c r="BN9" s="1066" t="s">
        <v>231</v>
      </c>
      <c r="BO9" s="1068" t="s">
        <v>232</v>
      </c>
      <c r="BP9" s="1068" t="s">
        <v>233</v>
      </c>
      <c r="BQ9" s="1070" t="s">
        <v>234</v>
      </c>
      <c r="BR9" s="1066" t="s">
        <v>231</v>
      </c>
      <c r="BS9" s="1068" t="s">
        <v>232</v>
      </c>
      <c r="BT9" s="1068" t="s">
        <v>233</v>
      </c>
      <c r="BU9" s="1070" t="s">
        <v>234</v>
      </c>
    </row>
    <row r="10" spans="1:83" ht="19.5" customHeight="1" x14ac:dyDescent="0.2">
      <c r="E10" s="1081" t="s">
        <v>0</v>
      </c>
      <c r="F10" s="1081"/>
      <c r="G10" s="1081"/>
      <c r="H10" s="1081"/>
      <c r="I10" s="1081"/>
      <c r="J10" s="1081"/>
      <c r="K10" s="1076" t="s">
        <v>213</v>
      </c>
      <c r="L10" s="1077"/>
      <c r="M10" s="1077"/>
      <c r="N10" s="1077"/>
      <c r="O10" s="1077"/>
      <c r="P10" s="1077"/>
      <c r="Q10" s="1077"/>
      <c r="R10" s="1078"/>
      <c r="S10" s="1076"/>
      <c r="T10" s="1077"/>
      <c r="U10" s="1077"/>
      <c r="V10" s="1078"/>
      <c r="W10" s="881"/>
      <c r="X10" s="1079" t="s">
        <v>215</v>
      </c>
      <c r="Y10" s="1079"/>
      <c r="Z10" s="1084" t="s">
        <v>211</v>
      </c>
      <c r="AA10" s="1085"/>
      <c r="AB10" s="1086"/>
      <c r="AG10" s="1088" t="s">
        <v>276</v>
      </c>
      <c r="AH10" s="1088"/>
      <c r="AI10" s="1088" t="s">
        <v>277</v>
      </c>
      <c r="AJ10" s="1088"/>
      <c r="AL10" s="210" t="s">
        <v>230</v>
      </c>
      <c r="AM10" s="1092" t="s">
        <v>278</v>
      </c>
      <c r="AN10" s="1092" t="s">
        <v>279</v>
      </c>
      <c r="AO10" s="1092" t="s">
        <v>280</v>
      </c>
      <c r="AP10" s="1093" t="s">
        <v>281</v>
      </c>
      <c r="BL10" s="1062"/>
      <c r="BM10" s="157" t="s">
        <v>235</v>
      </c>
      <c r="BN10" s="1066"/>
      <c r="BO10" s="1068"/>
      <c r="BP10" s="1068"/>
      <c r="BQ10" s="1070"/>
      <c r="BR10" s="1066"/>
      <c r="BS10" s="1068"/>
      <c r="BT10" s="1068"/>
      <c r="BU10" s="1070"/>
    </row>
    <row r="11" spans="1:83" ht="30.75" customHeight="1" thickBot="1" x14ac:dyDescent="0.25">
      <c r="A11" s="236" t="s">
        <v>282</v>
      </c>
      <c r="B11" s="236" t="s">
        <v>283</v>
      </c>
      <c r="E11" s="1082" t="s">
        <v>70</v>
      </c>
      <c r="F11" s="1082" t="s">
        <v>39</v>
      </c>
      <c r="G11" s="1082" t="s">
        <v>71</v>
      </c>
      <c r="H11" s="1082" t="s">
        <v>72</v>
      </c>
      <c r="I11" s="1082" t="s">
        <v>210</v>
      </c>
      <c r="J11" s="1072" t="s">
        <v>326</v>
      </c>
      <c r="K11" s="1076" t="s">
        <v>214</v>
      </c>
      <c r="L11" s="1077"/>
      <c r="M11" s="1077"/>
      <c r="N11" s="1078"/>
      <c r="O11" s="1076" t="s">
        <v>289</v>
      </c>
      <c r="P11" s="1077"/>
      <c r="Q11" s="1077"/>
      <c r="R11" s="1078"/>
      <c r="S11" s="1076" t="s">
        <v>1975</v>
      </c>
      <c r="T11" s="1077"/>
      <c r="U11" s="1077"/>
      <c r="V11" s="1078"/>
      <c r="W11" s="881"/>
      <c r="X11" s="1079" t="s">
        <v>220</v>
      </c>
      <c r="Y11" s="1079" t="s">
        <v>221</v>
      </c>
      <c r="Z11" s="1087" t="s">
        <v>222</v>
      </c>
      <c r="AA11" s="1087" t="s">
        <v>223</v>
      </c>
      <c r="AB11" s="1074" t="s">
        <v>212</v>
      </c>
      <c r="AG11" s="1088"/>
      <c r="AH11" s="1088"/>
      <c r="AI11" s="1088"/>
      <c r="AJ11" s="1088"/>
      <c r="AL11" s="210" t="s">
        <v>235</v>
      </c>
      <c r="AM11" s="1092"/>
      <c r="AN11" s="1092"/>
      <c r="AO11" s="1092"/>
      <c r="AP11" s="1093"/>
      <c r="AR11" s="1056" t="s">
        <v>298</v>
      </c>
      <c r="AS11" s="1056"/>
      <c r="AT11" s="1056"/>
      <c r="AU11" s="1056"/>
      <c r="AV11" s="1056"/>
      <c r="AW11" s="1056"/>
      <c r="AX11" s="1056"/>
      <c r="AY11" s="1056"/>
      <c r="BL11" s="1063"/>
      <c r="BM11" s="158"/>
      <c r="BN11" s="1067"/>
      <c r="BO11" s="1069"/>
      <c r="BP11" s="1069"/>
      <c r="BQ11" s="1071"/>
      <c r="BR11" s="1067"/>
      <c r="BS11" s="1069"/>
      <c r="BT11" s="1069"/>
      <c r="BU11" s="1071"/>
    </row>
    <row r="12" spans="1:83" ht="57" customHeight="1" x14ac:dyDescent="0.25">
      <c r="E12" s="1083"/>
      <c r="F12" s="1083"/>
      <c r="G12" s="1083"/>
      <c r="H12" s="1083"/>
      <c r="I12" s="1083"/>
      <c r="J12" s="1073"/>
      <c r="K12" s="168" t="s">
        <v>216</v>
      </c>
      <c r="L12" s="168" t="s">
        <v>217</v>
      </c>
      <c r="M12" s="168" t="s">
        <v>218</v>
      </c>
      <c r="N12" s="168" t="s">
        <v>219</v>
      </c>
      <c r="O12" s="168" t="s">
        <v>216</v>
      </c>
      <c r="P12" s="168" t="s">
        <v>217</v>
      </c>
      <c r="Q12" s="168" t="s">
        <v>224</v>
      </c>
      <c r="R12" s="169" t="s">
        <v>225</v>
      </c>
      <c r="S12" s="169" t="s">
        <v>1976</v>
      </c>
      <c r="T12" s="169" t="s">
        <v>225</v>
      </c>
      <c r="U12" s="169" t="s">
        <v>1974</v>
      </c>
      <c r="V12" s="169" t="s">
        <v>1977</v>
      </c>
      <c r="W12" s="169" t="s">
        <v>1978</v>
      </c>
      <c r="X12" s="1080"/>
      <c r="Y12" s="1080"/>
      <c r="Z12" s="1074"/>
      <c r="AA12" s="1074"/>
      <c r="AB12" s="1075"/>
      <c r="AG12" s="206"/>
      <c r="AH12" s="206"/>
      <c r="AI12" s="206"/>
      <c r="AJ12" s="206"/>
      <c r="AL12" s="210"/>
      <c r="AM12" s="1092"/>
      <c r="AN12" s="1092"/>
      <c r="AO12" s="1092"/>
      <c r="AP12" s="1093"/>
      <c r="AR12" s="849">
        <f>'Análise Física Macro'!$O$5+28</f>
        <v>44163</v>
      </c>
      <c r="AS12" s="849">
        <f>$AR$12+30</f>
        <v>44193</v>
      </c>
      <c r="AT12" s="849">
        <f>$AS$12+30</f>
        <v>44223</v>
      </c>
      <c r="AU12" s="849">
        <f>$AT$12+31</f>
        <v>44254</v>
      </c>
      <c r="BL12" s="178"/>
      <c r="BM12" s="179"/>
      <c r="BN12" s="180"/>
      <c r="BO12" s="181"/>
      <c r="BP12" s="181"/>
      <c r="BQ12" s="182"/>
      <c r="BR12" s="180"/>
      <c r="BS12" s="181"/>
      <c r="BT12" s="181"/>
      <c r="BU12" s="183"/>
    </row>
    <row r="13" spans="1:83" s="177" customFormat="1" ht="21.95" customHeight="1" x14ac:dyDescent="0.2">
      <c r="A13" s="237">
        <f t="shared" ref="A13" si="0">AJ13</f>
        <v>0</v>
      </c>
      <c r="B13" s="237">
        <f t="shared" ref="B13" si="1">AH13</f>
        <v>0</v>
      </c>
      <c r="C13" s="393" t="str">
        <f t="shared" ref="C13:C76" si="2">IF($D13=$D12,0,$D13)</f>
        <v xml:space="preserve">01 </v>
      </c>
      <c r="D13" s="393" t="str">
        <f t="shared" ref="D13:D76" si="3">IF(LEFT($E13,3)=$E13,$E13,LEFT($D12,2)&amp;" ")</f>
        <v xml:space="preserve">01 </v>
      </c>
      <c r="E13" s="161" t="s">
        <v>75</v>
      </c>
      <c r="F13" s="161" t="s">
        <v>592</v>
      </c>
      <c r="G13" s="162"/>
      <c r="H13" s="162"/>
      <c r="I13" s="162"/>
      <c r="J13" s="163">
        <v>170985</v>
      </c>
      <c r="K13" s="164">
        <v>5.383459660204111E-2</v>
      </c>
      <c r="L13" s="164">
        <f t="array" ref="L13">SUM(IF($D14:$D$379=$E13,$L14:$L$379*$J14:$J$379))/$J13</f>
        <v>0.76711407433400591</v>
      </c>
      <c r="M13" s="163"/>
      <c r="N13" s="163">
        <f>$L13*$J13</f>
        <v>131165</v>
      </c>
      <c r="O13" s="164">
        <v>0.220927741759017</v>
      </c>
      <c r="P13" s="164">
        <f t="array" ref="P13">SUM(IF($D14:$D$379=$E13,$P14:$P$379*$J14:$J$379))/$J13</f>
        <v>0.76711407433400591</v>
      </c>
      <c r="Q13" s="163">
        <f>$P13*$H13</f>
        <v>0</v>
      </c>
      <c r="R13" s="163">
        <f>$P13*$J13</f>
        <v>131165</v>
      </c>
      <c r="S13" s="163">
        <v>172530.23217287386</v>
      </c>
      <c r="T13" s="163">
        <f>SUM(T14:T24)</f>
        <v>132296.6223408739</v>
      </c>
      <c r="U13" s="163"/>
      <c r="V13" s="163">
        <f t="shared" ref="V13:W13" si="4">SUM(V14:V24)</f>
        <v>173226.27362296745</v>
      </c>
      <c r="W13" s="163">
        <f t="shared" si="4"/>
        <v>132524.54277199286</v>
      </c>
      <c r="X13" s="164">
        <f t="shared" ref="X13:X76" si="5">$L13-$K13</f>
        <v>0.71327947773196476</v>
      </c>
      <c r="Y13" s="164">
        <f t="shared" ref="Y13:Y76" si="6">$P13-$O13</f>
        <v>0.54618633257498894</v>
      </c>
      <c r="Z13" s="164">
        <f t="shared" ref="Z13:Z76" si="7">$P13-$L13</f>
        <v>0</v>
      </c>
      <c r="AA13" s="164">
        <f t="shared" ref="AA13:AA76" si="8">$Y13-$X13</f>
        <v>-0.16709314515697582</v>
      </c>
      <c r="AB13" s="201">
        <f t="shared" ref="AB13:AB76" si="9">IF($Z13&lt;0,"Atrasada",IF($Z13&gt;0,"Adiantada",IF($P13=0,"Não Iniciada",0)))</f>
        <v>0</v>
      </c>
      <c r="AC13" s="155" t="s">
        <v>763</v>
      </c>
      <c r="AD13" s="689">
        <v>0</v>
      </c>
      <c r="AE13" s="835">
        <f>Q13-AD13</f>
        <v>0</v>
      </c>
      <c r="AF13" s="155"/>
      <c r="AG13" s="207"/>
      <c r="AH13" s="208"/>
      <c r="AI13" s="207"/>
      <c r="AJ13" s="208"/>
      <c r="AK13" s="155"/>
      <c r="AL13" s="212"/>
      <c r="AM13" s="209"/>
      <c r="AN13" s="209"/>
      <c r="AO13" s="209"/>
      <c r="AP13" s="213"/>
      <c r="AQ13" s="401"/>
      <c r="AR13" s="247"/>
      <c r="AS13" s="247"/>
      <c r="AT13" s="247"/>
      <c r="AU13" s="247"/>
      <c r="AV13" s="155"/>
      <c r="AW13" s="250"/>
      <c r="AX13" s="248"/>
      <c r="AY13" s="402"/>
      <c r="AZ13" s="237" t="str">
        <f t="shared" ref="AZ13:AZ76" si="10">$E13</f>
        <v xml:space="preserve">01 </v>
      </c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666" t="str">
        <f t="shared" ref="BL13:BL76" si="11">IF($D13=$D12,0,$D13)</f>
        <v xml:space="preserve">01 </v>
      </c>
      <c r="BM13" s="667">
        <f t="shared" ref="BM13:BM76" si="12">IF($AC13="s",$R13,0)</f>
        <v>131165</v>
      </c>
      <c r="BN13" s="668">
        <f>IF($BQ13=0,0,RANK($BQ13,$BQ$12:$BQ$379))</f>
        <v>0</v>
      </c>
      <c r="BO13" s="669">
        <f t="shared" ref="BO13:BO76" si="13">IF(OR($BN13=0,$BN13=0),0,$BL13)</f>
        <v>0</v>
      </c>
      <c r="BP13" s="669">
        <f t="shared" ref="BP13:BP76" si="14">IF($AC13&lt;&gt;"S",0,IF($N13-$R13&lt;0,0,$R13-$N13))</f>
        <v>0</v>
      </c>
      <c r="BQ13" s="670">
        <f>IF($BP13=0,0,$BP13/$BP$380)</f>
        <v>0</v>
      </c>
      <c r="BR13" s="671">
        <f>IF($BU13=0,0,RANK($BU13,$BU$12:$BU$379))</f>
        <v>0</v>
      </c>
      <c r="BS13" s="669">
        <f t="shared" ref="BS13:BS76" si="15">IF(OR($BR13=0,$BR13=0),0,$BL13)</f>
        <v>0</v>
      </c>
      <c r="BT13" s="669">
        <f t="shared" ref="BT13:BT76" si="16">IF($AC13&lt;&gt;"S",0,IF($N13-$R13&gt;0,0,$R13-$N13))</f>
        <v>0</v>
      </c>
      <c r="BU13" s="672">
        <f>IF($BT13=0,0,$BT13/$BT$380)</f>
        <v>0</v>
      </c>
      <c r="CE13" s="486">
        <v>2</v>
      </c>
    </row>
    <row r="14" spans="1:83" s="177" customFormat="1" ht="21.95" customHeight="1" x14ac:dyDescent="0.2">
      <c r="A14" s="237">
        <f t="shared" ref="A14:A77" si="17">AJ14</f>
        <v>0</v>
      </c>
      <c r="B14" s="237">
        <f t="shared" ref="B14:B77" si="18">AH14</f>
        <v>0</v>
      </c>
      <c r="C14" s="393">
        <f t="shared" si="2"/>
        <v>0</v>
      </c>
      <c r="D14" s="393" t="str">
        <f t="shared" si="3"/>
        <v xml:space="preserve">01 </v>
      </c>
      <c r="E14" s="959" t="s">
        <v>76</v>
      </c>
      <c r="F14" s="959" t="s">
        <v>407</v>
      </c>
      <c r="G14" s="959" t="s">
        <v>7</v>
      </c>
      <c r="H14" s="960">
        <v>1</v>
      </c>
      <c r="I14" s="961">
        <v>56000</v>
      </c>
      <c r="J14" s="962">
        <v>56000</v>
      </c>
      <c r="K14" s="367">
        <v>0</v>
      </c>
      <c r="L14" s="999">
        <v>0.63</v>
      </c>
      <c r="M14" s="368">
        <f>$L14*$H14</f>
        <v>0.63</v>
      </c>
      <c r="N14" s="368">
        <f>$L14*$J14</f>
        <v>35280</v>
      </c>
      <c r="O14" s="367">
        <v>0.20096428571428571</v>
      </c>
      <c r="P14" s="999">
        <v>0.63</v>
      </c>
      <c r="Q14" s="368">
        <f>$P14*$H14</f>
        <v>0.63</v>
      </c>
      <c r="R14" s="368">
        <f>$P14*$J14</f>
        <v>35280</v>
      </c>
      <c r="S14" s="880">
        <v>56519.053599999999</v>
      </c>
      <c r="T14" s="880">
        <f>$S14*$P14</f>
        <v>35607.003768000002</v>
      </c>
      <c r="U14" s="880">
        <f>IF($I14="",0,($S14-$T14)*(1+('Econômico Macro'!$R$12/100)))</f>
        <v>21273.828294093601</v>
      </c>
      <c r="V14" s="880">
        <f>$U14+$T14</f>
        <v>56880.832062093599</v>
      </c>
      <c r="W14" s="880">
        <f>V14*L14</f>
        <v>35834.92419911897</v>
      </c>
      <c r="X14" s="367">
        <f t="shared" si="5"/>
        <v>0.63</v>
      </c>
      <c r="Y14" s="367">
        <f t="shared" si="6"/>
        <v>0.4290357142857143</v>
      </c>
      <c r="Z14" s="367">
        <f t="shared" si="7"/>
        <v>0</v>
      </c>
      <c r="AA14" s="367">
        <f t="shared" si="8"/>
        <v>-0.20096428571428571</v>
      </c>
      <c r="AB14" s="369">
        <f t="shared" si="9"/>
        <v>0</v>
      </c>
      <c r="AC14" s="365"/>
      <c r="AD14" s="368">
        <v>1</v>
      </c>
      <c r="AE14" s="368">
        <f t="shared" ref="AE14" si="19">Q14-AD14</f>
        <v>-0.37</v>
      </c>
      <c r="AF14" s="365"/>
      <c r="AG14" s="863">
        <f t="shared" ref="AG14:AG77" si="20">IF($AB14="Não Iniciada",+$AM14,IF($Z14&lt;1,$AM14,0))</f>
        <v>0</v>
      </c>
      <c r="AH14" s="864">
        <f>IF($AN14=0,0,RANK($AN14,$AN$13:$AN$379))</f>
        <v>0</v>
      </c>
      <c r="AI14" s="863">
        <f t="shared" ref="AI14:AI77" si="21">IF($AB14="Não Iniciada",0,IF($AO14=0,0,IF($AO14=0,0,$AO14)))</f>
        <v>0</v>
      </c>
      <c r="AJ14" s="864">
        <f>IF($AP14=0,0,RANK($AP14,$AP$13:$AP$379))</f>
        <v>0</v>
      </c>
      <c r="AK14" s="365"/>
      <c r="AL14" s="865">
        <f t="shared" ref="AL14:AL77" si="22">$R14</f>
        <v>35280</v>
      </c>
      <c r="AM14" s="866">
        <f>IF($H14="",0,IF(+$N14-$AL14&lt;0,0,+$AL14-$N14))</f>
        <v>0</v>
      </c>
      <c r="AN14" s="866">
        <f>IF($AM14=0,0,$AM14/$AM$380)</f>
        <v>0</v>
      </c>
      <c r="AO14" s="866">
        <f>IF($H14="",0,IF($Z14*1000&lt;1,0,IF(+$N14-$R14&gt;0,0,+$R14-$N14)))</f>
        <v>0</v>
      </c>
      <c r="AP14" s="867">
        <f>IF($AO14=0,0,$AO14/$AO$380)</f>
        <v>0</v>
      </c>
      <c r="AQ14" s="591">
        <f t="shared" ref="AQ14:AQ77" si="23">$AY14</f>
        <v>0</v>
      </c>
      <c r="AR14" s="868">
        <f>IF(AND($L14=0,$P14=0)=TRUE,VLOOKUP($E14,Plan3!$A$16:$CT$487,$E$7+3,0)/100,0)</f>
        <v>0</v>
      </c>
      <c r="AS14" s="868">
        <f>IF(AND($L14=0,$P14=0)=TRUE,VLOOKUP($E14,Plan3!$A$16:$CT$487,$E$7+6,0)/100,0)</f>
        <v>0</v>
      </c>
      <c r="AT14" s="868">
        <f>IF(AND($L14=0,$P14=0)=TRUE,VLOOKUP($E14,Plan3!$A$16:$CT$487,$E$7+9,0)/100,0)</f>
        <v>0</v>
      </c>
      <c r="AU14" s="868">
        <f>IF(AND($L14=0,$P14=0)=TRUE,VLOOKUP($E14,Plan3!$A$16:$CT$487,$E$7+12,0)/100,0)</f>
        <v>0</v>
      </c>
      <c r="AV14" s="841"/>
      <c r="AW14" s="869">
        <f>IF(MAX($AR14:$AU14)=0,0,MAX($AR14:$AU14)*$J14)</f>
        <v>0</v>
      </c>
      <c r="AX14" s="870">
        <f>IF($AW14=0,0,$AW14/$AW$380)</f>
        <v>0</v>
      </c>
      <c r="AY14" s="871">
        <f>IF($AX14=0,0,RANK($AX14,$AX$14:$AX$379))</f>
        <v>0</v>
      </c>
      <c r="AZ14" s="237" t="str">
        <f t="shared" si="10"/>
        <v xml:space="preserve">01.000.000.001 </v>
      </c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872">
        <f t="shared" si="11"/>
        <v>0</v>
      </c>
      <c r="BM14" s="873">
        <f t="shared" si="12"/>
        <v>0</v>
      </c>
      <c r="BN14" s="874">
        <f>IF($BQ14=0,0,RANK($BQ14,$BQ$12:$BQ$379))</f>
        <v>0</v>
      </c>
      <c r="BO14" s="875">
        <f t="shared" si="13"/>
        <v>0</v>
      </c>
      <c r="BP14" s="875">
        <f t="shared" si="14"/>
        <v>0</v>
      </c>
      <c r="BQ14" s="876">
        <f>IF($BP14=0,0,$BP14/$BP$380)</f>
        <v>0</v>
      </c>
      <c r="BR14" s="877">
        <f>IF($BU14=0,0,RANK($BU14,$BU$12:$BU$379))</f>
        <v>0</v>
      </c>
      <c r="BS14" s="875">
        <f t="shared" si="15"/>
        <v>0</v>
      </c>
      <c r="BT14" s="875">
        <f t="shared" si="16"/>
        <v>0</v>
      </c>
      <c r="BU14" s="878">
        <f>IF($BT14=0,0,$BT14/$BT$380)</f>
        <v>0</v>
      </c>
      <c r="CE14" s="486">
        <v>3</v>
      </c>
    </row>
    <row r="15" spans="1:83" s="177" customFormat="1" ht="21.95" customHeight="1" x14ac:dyDescent="0.2">
      <c r="A15" s="237">
        <f t="shared" si="17"/>
        <v>0</v>
      </c>
      <c r="B15" s="237">
        <f t="shared" si="18"/>
        <v>0</v>
      </c>
      <c r="C15" s="393">
        <f t="shared" si="2"/>
        <v>0</v>
      </c>
      <c r="D15" s="393" t="str">
        <f t="shared" si="3"/>
        <v xml:space="preserve">01 </v>
      </c>
      <c r="E15" s="959" t="s">
        <v>77</v>
      </c>
      <c r="F15" s="959" t="s">
        <v>2037</v>
      </c>
      <c r="G15" s="959" t="s">
        <v>7</v>
      </c>
      <c r="H15" s="960">
        <v>1</v>
      </c>
      <c r="I15" s="963">
        <v>9735</v>
      </c>
      <c r="J15" s="964">
        <v>9735</v>
      </c>
      <c r="K15" s="367">
        <v>0.42109999999999997</v>
      </c>
      <c r="L15" s="367">
        <f>IF($H15="",0,VLOOKUP($E15,Plan3!$A$16:$CT$384,$E$7,0)%)</f>
        <v>1</v>
      </c>
      <c r="M15" s="368">
        <f t="shared" ref="M15:M78" si="24">$L15*$H15</f>
        <v>1</v>
      </c>
      <c r="N15" s="368">
        <f t="shared" ref="N15:N78" si="25">$L15*$J15</f>
        <v>9735</v>
      </c>
      <c r="O15" s="367">
        <v>1</v>
      </c>
      <c r="P15" s="367">
        <f>VLOOKUP($E15,Plan3!$A$492:$P$858,13,0)%</f>
        <v>1</v>
      </c>
      <c r="Q15" s="368">
        <f t="shared" ref="Q15:Q78" si="26">$P15*$H15</f>
        <v>1</v>
      </c>
      <c r="R15" s="368">
        <f t="shared" ref="R15:R78" si="27">$P15*$J15</f>
        <v>9735</v>
      </c>
      <c r="S15" s="880">
        <v>9735</v>
      </c>
      <c r="T15" s="880">
        <f t="shared" ref="T15:T78" si="28">$S15*$P15</f>
        <v>9735</v>
      </c>
      <c r="U15" s="880">
        <f>IF($I15="",0,($S15-$T15)*(1+('Econômico Macro'!$R$12/100)))</f>
        <v>0</v>
      </c>
      <c r="V15" s="880">
        <f t="shared" ref="V15:V78" si="29">$U15+$T15</f>
        <v>9735</v>
      </c>
      <c r="W15" s="880">
        <f t="shared" ref="W15:W78" si="30">V15*L15</f>
        <v>9735</v>
      </c>
      <c r="X15" s="367">
        <f t="shared" si="5"/>
        <v>0.57889999999999997</v>
      </c>
      <c r="Y15" s="367">
        <f t="shared" si="6"/>
        <v>0</v>
      </c>
      <c r="Z15" s="367">
        <f t="shared" si="7"/>
        <v>0</v>
      </c>
      <c r="AA15" s="367">
        <f t="shared" si="8"/>
        <v>-0.57889999999999997</v>
      </c>
      <c r="AB15" s="369">
        <f t="shared" si="9"/>
        <v>0</v>
      </c>
      <c r="AC15" s="365"/>
      <c r="AD15" s="368">
        <v>1</v>
      </c>
      <c r="AE15" s="368">
        <f t="shared" ref="AE15:AE78" si="31">Q15-AD15</f>
        <v>0</v>
      </c>
      <c r="AF15" s="365"/>
      <c r="AG15" s="863">
        <f t="shared" si="20"/>
        <v>0</v>
      </c>
      <c r="AH15" s="864">
        <f t="shared" ref="AH15:AH78" si="32">IF($AN15=0,0,RANK($AN15,$AN$13:$AN$379))</f>
        <v>0</v>
      </c>
      <c r="AI15" s="863">
        <f t="shared" si="21"/>
        <v>0</v>
      </c>
      <c r="AJ15" s="864">
        <f t="shared" ref="AJ15:AJ78" si="33">IF($AP15=0,0,RANK($AP15,$AP$13:$AP$379))</f>
        <v>0</v>
      </c>
      <c r="AK15" s="365"/>
      <c r="AL15" s="865">
        <f t="shared" si="22"/>
        <v>9735</v>
      </c>
      <c r="AM15" s="866">
        <f t="shared" ref="AM15:AM78" si="34">IF($H15="",0,IF(+$N15-$AL15&lt;0,0,+$AL15-$N15))</f>
        <v>0</v>
      </c>
      <c r="AN15" s="866">
        <f t="shared" ref="AN15:AN78" si="35">IF($AM15=0,0,$AM15/$AM$380)</f>
        <v>0</v>
      </c>
      <c r="AO15" s="866">
        <f t="shared" ref="AO15:AO78" si="36">IF($H15="",0,IF($Z15*1000&lt;1,0,IF(+$N15-$R15&gt;0,0,+$R15-$N15)))</f>
        <v>0</v>
      </c>
      <c r="AP15" s="867">
        <f t="shared" ref="AP15:AP78" si="37">IF($AO15=0,0,$AO15/$AO$380)</f>
        <v>0</v>
      </c>
      <c r="AQ15" s="591">
        <f t="shared" si="23"/>
        <v>0</v>
      </c>
      <c r="AR15" s="868">
        <f>IF(AND($L15=0,$P15=0)=TRUE,VLOOKUP($E15,Plan3!$A$16:$CT$487,$E$7+3,0)/100,0)</f>
        <v>0</v>
      </c>
      <c r="AS15" s="868">
        <f>IF(AND($L15=0,$P15=0)=TRUE,VLOOKUP($E15,Plan3!$A$16:$CT$487,$E$7+6,0)/100,0)</f>
        <v>0</v>
      </c>
      <c r="AT15" s="868">
        <f>IF(AND($L15=0,$P15=0)=TRUE,VLOOKUP($E15,Plan3!$A$16:$CT$487,$E$7+9,0)/100,0)</f>
        <v>0</v>
      </c>
      <c r="AU15" s="868">
        <f>IF(AND($L15=0,$P15=0)=TRUE,VLOOKUP($E15,Plan3!$A$16:$CT$487,$E$7+12,0)/100,0)</f>
        <v>0</v>
      </c>
      <c r="AV15" s="841"/>
      <c r="AW15" s="869">
        <f t="shared" ref="AW15:AW78" si="38">IF(MAX($AR15:$AU15)=0,0,MAX($AR15:$AU15)*$J15)</f>
        <v>0</v>
      </c>
      <c r="AX15" s="870">
        <f t="shared" ref="AX15:AX78" si="39">IF($AW15=0,0,$AW15/$AW$380)</f>
        <v>0</v>
      </c>
      <c r="AY15" s="871">
        <f t="shared" ref="AY15:AY78" si="40">IF($AX15=0,0,RANK($AX15,$AX$14:$AX$379))</f>
        <v>0</v>
      </c>
      <c r="AZ15" s="237" t="str">
        <f t="shared" si="10"/>
        <v xml:space="preserve">01.000.000.002 </v>
      </c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872">
        <f t="shared" si="11"/>
        <v>0</v>
      </c>
      <c r="BM15" s="873">
        <f t="shared" si="12"/>
        <v>0</v>
      </c>
      <c r="BN15" s="874">
        <f t="shared" ref="BN15:BN78" si="41">IF($BQ15=0,0,RANK($BQ15,$BQ$12:$BQ$379))</f>
        <v>0</v>
      </c>
      <c r="BO15" s="875">
        <f t="shared" si="13"/>
        <v>0</v>
      </c>
      <c r="BP15" s="875">
        <f t="shared" si="14"/>
        <v>0</v>
      </c>
      <c r="BQ15" s="876">
        <f t="shared" ref="BQ15:BQ78" si="42">IF($BP15=0,0,$BP15/$BP$380)</f>
        <v>0</v>
      </c>
      <c r="BR15" s="877">
        <f t="shared" ref="BR15:BR78" si="43">IF($BU15=0,0,RANK($BU15,$BU$12:$BU$379))</f>
        <v>0</v>
      </c>
      <c r="BS15" s="875">
        <f t="shared" si="15"/>
        <v>0</v>
      </c>
      <c r="BT15" s="875">
        <f t="shared" si="16"/>
        <v>0</v>
      </c>
      <c r="BU15" s="878">
        <f t="shared" ref="BU15:BU78" si="44">IF($BT15=0,0,$BT15/$BT$380)</f>
        <v>0</v>
      </c>
      <c r="CE15" s="486">
        <v>4</v>
      </c>
    </row>
    <row r="16" spans="1:83" s="177" customFormat="1" ht="21.95" customHeight="1" x14ac:dyDescent="0.2">
      <c r="A16" s="237">
        <f t="shared" si="17"/>
        <v>0</v>
      </c>
      <c r="B16" s="237">
        <f t="shared" si="18"/>
        <v>0</v>
      </c>
      <c r="C16" s="393">
        <f t="shared" si="2"/>
        <v>0</v>
      </c>
      <c r="D16" s="393" t="str">
        <f t="shared" si="3"/>
        <v xml:space="preserve">01 </v>
      </c>
      <c r="E16" s="959" t="s">
        <v>78</v>
      </c>
      <c r="F16" s="959" t="s">
        <v>2038</v>
      </c>
      <c r="G16" s="959" t="s">
        <v>7</v>
      </c>
      <c r="H16" s="960">
        <v>1</v>
      </c>
      <c r="I16" s="963">
        <v>5000</v>
      </c>
      <c r="J16" s="964">
        <v>5000</v>
      </c>
      <c r="K16" s="367">
        <v>0.42109999999999997</v>
      </c>
      <c r="L16" s="367">
        <f>IF($H16="",0,VLOOKUP($E16,Plan3!$A$16:$CT$384,$E$7,0)%)</f>
        <v>1</v>
      </c>
      <c r="M16" s="368">
        <f t="shared" si="24"/>
        <v>1</v>
      </c>
      <c r="N16" s="368">
        <f t="shared" si="25"/>
        <v>5000</v>
      </c>
      <c r="O16" s="367">
        <v>0.17166598493310409</v>
      </c>
      <c r="P16" s="367">
        <f>VLOOKUP($E16,Plan3!$A$492:$P$858,13,0)%</f>
        <v>1</v>
      </c>
      <c r="Q16" s="368">
        <f t="shared" si="26"/>
        <v>1</v>
      </c>
      <c r="R16" s="368">
        <f t="shared" si="27"/>
        <v>5000</v>
      </c>
      <c r="S16" s="880">
        <v>5048.0433728738799</v>
      </c>
      <c r="T16" s="880">
        <f t="shared" si="28"/>
        <v>5048.0433728738799</v>
      </c>
      <c r="U16" s="880">
        <f>IF($I16="",0,($S16-$T16)*(1+('Econômico Macro'!$R$12/100)))</f>
        <v>0</v>
      </c>
      <c r="V16" s="880">
        <f t="shared" si="29"/>
        <v>5048.0433728738799</v>
      </c>
      <c r="W16" s="880">
        <f t="shared" si="30"/>
        <v>5048.0433728738799</v>
      </c>
      <c r="X16" s="367">
        <f t="shared" si="5"/>
        <v>0.57889999999999997</v>
      </c>
      <c r="Y16" s="367">
        <f t="shared" si="6"/>
        <v>0.82833401506689586</v>
      </c>
      <c r="Z16" s="367">
        <f t="shared" si="7"/>
        <v>0</v>
      </c>
      <c r="AA16" s="367">
        <f t="shared" si="8"/>
        <v>0.24943401506689589</v>
      </c>
      <c r="AB16" s="369">
        <f t="shared" si="9"/>
        <v>0</v>
      </c>
      <c r="AC16" s="365"/>
      <c r="AD16" s="368">
        <v>1</v>
      </c>
      <c r="AE16" s="368">
        <f t="shared" si="31"/>
        <v>0</v>
      </c>
      <c r="AF16" s="365"/>
      <c r="AG16" s="863">
        <f t="shared" si="20"/>
        <v>0</v>
      </c>
      <c r="AH16" s="864">
        <f t="shared" si="32"/>
        <v>0</v>
      </c>
      <c r="AI16" s="863">
        <f t="shared" si="21"/>
        <v>0</v>
      </c>
      <c r="AJ16" s="864">
        <f t="shared" si="33"/>
        <v>0</v>
      </c>
      <c r="AK16" s="365"/>
      <c r="AL16" s="865">
        <f t="shared" si="22"/>
        <v>5000</v>
      </c>
      <c r="AM16" s="866">
        <f t="shared" si="34"/>
        <v>0</v>
      </c>
      <c r="AN16" s="866">
        <f t="shared" si="35"/>
        <v>0</v>
      </c>
      <c r="AO16" s="866">
        <f t="shared" si="36"/>
        <v>0</v>
      </c>
      <c r="AP16" s="867">
        <f t="shared" si="37"/>
        <v>0</v>
      </c>
      <c r="AQ16" s="591">
        <f t="shared" si="23"/>
        <v>0</v>
      </c>
      <c r="AR16" s="868">
        <f>IF(AND($L16=0,$P16=0)=TRUE,VLOOKUP($E16,Plan3!$A$16:$CT$487,$E$7+3,0)/100,0)</f>
        <v>0</v>
      </c>
      <c r="AS16" s="868">
        <f>IF(AND($L16=0,$P16=0)=TRUE,VLOOKUP($E16,Plan3!$A$16:$CT$487,$E$7+6,0)/100,0)</f>
        <v>0</v>
      </c>
      <c r="AT16" s="868">
        <f>IF(AND($L16=0,$P16=0)=TRUE,VLOOKUP($E16,Plan3!$A$16:$CT$487,$E$7+9,0)/100,0)</f>
        <v>0</v>
      </c>
      <c r="AU16" s="868">
        <f>IF(AND($L16=0,$P16=0)=TRUE,VLOOKUP($E16,Plan3!$A$16:$CT$487,$E$7+12,0)/100,0)</f>
        <v>0</v>
      </c>
      <c r="AV16" s="841"/>
      <c r="AW16" s="869">
        <f t="shared" si="38"/>
        <v>0</v>
      </c>
      <c r="AX16" s="870">
        <f t="shared" si="39"/>
        <v>0</v>
      </c>
      <c r="AY16" s="871">
        <f t="shared" si="40"/>
        <v>0</v>
      </c>
      <c r="AZ16" s="237" t="str">
        <f t="shared" si="10"/>
        <v xml:space="preserve">01.000.000.003 </v>
      </c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872">
        <f t="shared" si="11"/>
        <v>0</v>
      </c>
      <c r="BM16" s="873">
        <f t="shared" si="12"/>
        <v>0</v>
      </c>
      <c r="BN16" s="874">
        <f t="shared" si="41"/>
        <v>0</v>
      </c>
      <c r="BO16" s="875">
        <f t="shared" si="13"/>
        <v>0</v>
      </c>
      <c r="BP16" s="875">
        <f t="shared" si="14"/>
        <v>0</v>
      </c>
      <c r="BQ16" s="876">
        <f t="shared" si="42"/>
        <v>0</v>
      </c>
      <c r="BR16" s="877">
        <f t="shared" si="43"/>
        <v>0</v>
      </c>
      <c r="BS16" s="875">
        <f t="shared" si="15"/>
        <v>0</v>
      </c>
      <c r="BT16" s="875">
        <f t="shared" si="16"/>
        <v>0</v>
      </c>
      <c r="BU16" s="878">
        <f t="shared" si="44"/>
        <v>0</v>
      </c>
      <c r="CE16" s="486">
        <v>5</v>
      </c>
    </row>
    <row r="17" spans="1:83" s="177" customFormat="1" ht="21.95" customHeight="1" x14ac:dyDescent="0.2">
      <c r="A17" s="237">
        <f t="shared" si="17"/>
        <v>0</v>
      </c>
      <c r="B17" s="237">
        <f t="shared" si="18"/>
        <v>0</v>
      </c>
      <c r="C17" s="393">
        <f t="shared" si="2"/>
        <v>0</v>
      </c>
      <c r="D17" s="393" t="str">
        <f t="shared" si="3"/>
        <v xml:space="preserve">01 </v>
      </c>
      <c r="E17" s="959" t="s">
        <v>79</v>
      </c>
      <c r="F17" s="959" t="s">
        <v>1377</v>
      </c>
      <c r="G17" s="959" t="s">
        <v>7</v>
      </c>
      <c r="H17" s="960">
        <v>1</v>
      </c>
      <c r="I17" s="963">
        <v>2800</v>
      </c>
      <c r="J17" s="964">
        <v>2800</v>
      </c>
      <c r="K17" s="367">
        <v>0</v>
      </c>
      <c r="L17" s="367">
        <f>IF($H17="",0,VLOOKUP($E17,Plan3!$A$16:$CT$384,$E$7,0)%)</f>
        <v>0</v>
      </c>
      <c r="M17" s="368">
        <f t="shared" si="24"/>
        <v>0</v>
      </c>
      <c r="N17" s="368">
        <f t="shared" si="25"/>
        <v>0</v>
      </c>
      <c r="O17" s="367">
        <v>0</v>
      </c>
      <c r="P17" s="367">
        <f>VLOOKUP($E17,Plan3!$A$492:$P$858,13,0)%</f>
        <v>0</v>
      </c>
      <c r="Q17" s="368">
        <f t="shared" si="26"/>
        <v>0</v>
      </c>
      <c r="R17" s="368">
        <f t="shared" si="27"/>
        <v>0</v>
      </c>
      <c r="S17" s="880">
        <v>2832.48</v>
      </c>
      <c r="T17" s="880">
        <f t="shared" si="28"/>
        <v>0</v>
      </c>
      <c r="U17" s="880">
        <f>IF($I17="",0,($S17-$T17)*(1+('Econômico Macro'!$R$12/100)))</f>
        <v>2881.4819040000002</v>
      </c>
      <c r="V17" s="880">
        <f t="shared" si="29"/>
        <v>2881.4819040000002</v>
      </c>
      <c r="W17" s="880">
        <f t="shared" si="30"/>
        <v>0</v>
      </c>
      <c r="X17" s="367">
        <f t="shared" si="5"/>
        <v>0</v>
      </c>
      <c r="Y17" s="367">
        <f t="shared" si="6"/>
        <v>0</v>
      </c>
      <c r="Z17" s="367">
        <f t="shared" si="7"/>
        <v>0</v>
      </c>
      <c r="AA17" s="367">
        <f t="shared" si="8"/>
        <v>0</v>
      </c>
      <c r="AB17" s="369" t="str">
        <f t="shared" si="9"/>
        <v>Não Iniciada</v>
      </c>
      <c r="AC17" s="365"/>
      <c r="AD17" s="368">
        <v>1</v>
      </c>
      <c r="AE17" s="368">
        <f t="shared" si="31"/>
        <v>-1</v>
      </c>
      <c r="AF17" s="365"/>
      <c r="AG17" s="863">
        <f t="shared" si="20"/>
        <v>0</v>
      </c>
      <c r="AH17" s="864">
        <f t="shared" si="32"/>
        <v>0</v>
      </c>
      <c r="AI17" s="863">
        <f t="shared" si="21"/>
        <v>0</v>
      </c>
      <c r="AJ17" s="864">
        <f t="shared" si="33"/>
        <v>0</v>
      </c>
      <c r="AK17" s="365"/>
      <c r="AL17" s="865">
        <f t="shared" si="22"/>
        <v>0</v>
      </c>
      <c r="AM17" s="866">
        <f t="shared" si="34"/>
        <v>0</v>
      </c>
      <c r="AN17" s="866">
        <f t="shared" si="35"/>
        <v>0</v>
      </c>
      <c r="AO17" s="866">
        <f t="shared" si="36"/>
        <v>0</v>
      </c>
      <c r="AP17" s="867">
        <f t="shared" si="37"/>
        <v>0</v>
      </c>
      <c r="AQ17" s="591">
        <f t="shared" si="23"/>
        <v>0</v>
      </c>
      <c r="AR17" s="868">
        <f>IF(AND($L17=0,$P17=0)=TRUE,VLOOKUP($E17,Plan3!$A$16:$CT$487,$E$7+3,0)/100,0)</f>
        <v>0</v>
      </c>
      <c r="AS17" s="868">
        <f>IF(AND($L17=0,$P17=0)=TRUE,VLOOKUP($E17,Plan3!$A$16:$CT$487,$E$7+6,0)/100,0)</f>
        <v>0</v>
      </c>
      <c r="AT17" s="868">
        <f>IF(AND($L17=0,$P17=0)=TRUE,VLOOKUP($E17,Plan3!$A$16:$CT$487,$E$7+9,0)/100,0)</f>
        <v>0</v>
      </c>
      <c r="AU17" s="868">
        <f>IF(AND($L17=0,$P17=0)=TRUE,VLOOKUP($E17,Plan3!$A$16:$CT$487,$E$7+12,0)/100,0)</f>
        <v>0</v>
      </c>
      <c r="AV17" s="841"/>
      <c r="AW17" s="869">
        <f t="shared" si="38"/>
        <v>0</v>
      </c>
      <c r="AX17" s="870">
        <f t="shared" si="39"/>
        <v>0</v>
      </c>
      <c r="AY17" s="871">
        <f t="shared" si="40"/>
        <v>0</v>
      </c>
      <c r="AZ17" s="237" t="str">
        <f t="shared" si="10"/>
        <v xml:space="preserve">01.000.000.004 </v>
      </c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872">
        <f t="shared" si="11"/>
        <v>0</v>
      </c>
      <c r="BM17" s="873">
        <f t="shared" si="12"/>
        <v>0</v>
      </c>
      <c r="BN17" s="874">
        <f t="shared" si="41"/>
        <v>0</v>
      </c>
      <c r="BO17" s="875">
        <f t="shared" si="13"/>
        <v>0</v>
      </c>
      <c r="BP17" s="875">
        <f t="shared" si="14"/>
        <v>0</v>
      </c>
      <c r="BQ17" s="876">
        <f t="shared" si="42"/>
        <v>0</v>
      </c>
      <c r="BR17" s="877">
        <f t="shared" si="43"/>
        <v>0</v>
      </c>
      <c r="BS17" s="875">
        <f t="shared" si="15"/>
        <v>0</v>
      </c>
      <c r="BT17" s="875">
        <f t="shared" si="16"/>
        <v>0</v>
      </c>
      <c r="BU17" s="878">
        <f t="shared" si="44"/>
        <v>0</v>
      </c>
      <c r="CE17" s="486">
        <v>6</v>
      </c>
    </row>
    <row r="18" spans="1:83" s="177" customFormat="1" ht="21.95" customHeight="1" x14ac:dyDescent="0.2">
      <c r="A18" s="237">
        <f t="shared" si="17"/>
        <v>0</v>
      </c>
      <c r="B18" s="237">
        <f t="shared" si="18"/>
        <v>0</v>
      </c>
      <c r="C18" s="393">
        <f t="shared" si="2"/>
        <v>0</v>
      </c>
      <c r="D18" s="393" t="str">
        <f t="shared" si="3"/>
        <v xml:space="preserve">01 </v>
      </c>
      <c r="E18" s="959" t="s">
        <v>80</v>
      </c>
      <c r="F18" s="959" t="s">
        <v>425</v>
      </c>
      <c r="G18" s="959" t="s">
        <v>7</v>
      </c>
      <c r="H18" s="960">
        <v>1</v>
      </c>
      <c r="I18" s="961">
        <v>50000</v>
      </c>
      <c r="J18" s="962">
        <v>50000</v>
      </c>
      <c r="K18" s="367">
        <v>0</v>
      </c>
      <c r="L18" s="999">
        <v>1</v>
      </c>
      <c r="M18" s="368">
        <f t="shared" si="24"/>
        <v>1</v>
      </c>
      <c r="N18" s="368">
        <f t="shared" si="25"/>
        <v>50000</v>
      </c>
      <c r="O18" s="367">
        <v>0.15853999999999999</v>
      </c>
      <c r="P18" s="999">
        <v>1</v>
      </c>
      <c r="Q18" s="368">
        <f t="shared" si="26"/>
        <v>1</v>
      </c>
      <c r="R18" s="368">
        <f t="shared" si="27"/>
        <v>50000</v>
      </c>
      <c r="S18" s="880">
        <v>50488.046800000004</v>
      </c>
      <c r="T18" s="880">
        <f t="shared" si="28"/>
        <v>50488.046800000004</v>
      </c>
      <c r="U18" s="880">
        <f>IF($I18="",0,($S18-$T18)*(1+('Econômico Macro'!$R$12/100)))</f>
        <v>0</v>
      </c>
      <c r="V18" s="880">
        <f t="shared" si="29"/>
        <v>50488.046800000004</v>
      </c>
      <c r="W18" s="880">
        <f t="shared" si="30"/>
        <v>50488.046800000004</v>
      </c>
      <c r="X18" s="367">
        <f t="shared" si="5"/>
        <v>1</v>
      </c>
      <c r="Y18" s="367">
        <f t="shared" si="6"/>
        <v>0.84145999999999999</v>
      </c>
      <c r="Z18" s="367">
        <f t="shared" si="7"/>
        <v>0</v>
      </c>
      <c r="AA18" s="367">
        <f t="shared" si="8"/>
        <v>-0.15854000000000001</v>
      </c>
      <c r="AB18" s="369">
        <f t="shared" si="9"/>
        <v>0</v>
      </c>
      <c r="AC18" s="365"/>
      <c r="AD18" s="368">
        <v>1</v>
      </c>
      <c r="AE18" s="368">
        <f t="shared" si="31"/>
        <v>0</v>
      </c>
      <c r="AF18" s="365"/>
      <c r="AG18" s="863">
        <f t="shared" si="20"/>
        <v>0</v>
      </c>
      <c r="AH18" s="864">
        <f t="shared" si="32"/>
        <v>0</v>
      </c>
      <c r="AI18" s="863">
        <f t="shared" si="21"/>
        <v>0</v>
      </c>
      <c r="AJ18" s="864">
        <f t="shared" si="33"/>
        <v>0</v>
      </c>
      <c r="AK18" s="365"/>
      <c r="AL18" s="865">
        <f t="shared" si="22"/>
        <v>50000</v>
      </c>
      <c r="AM18" s="866">
        <f t="shared" si="34"/>
        <v>0</v>
      </c>
      <c r="AN18" s="866">
        <f t="shared" si="35"/>
        <v>0</v>
      </c>
      <c r="AO18" s="866">
        <f t="shared" si="36"/>
        <v>0</v>
      </c>
      <c r="AP18" s="867">
        <f t="shared" si="37"/>
        <v>0</v>
      </c>
      <c r="AQ18" s="591">
        <f t="shared" si="23"/>
        <v>0</v>
      </c>
      <c r="AR18" s="868">
        <f>IF(AND($L18=0,$P18=0)=TRUE,VLOOKUP($E18,Plan3!$A$16:$CT$487,$E$7+3,0)/100,0)</f>
        <v>0</v>
      </c>
      <c r="AS18" s="868">
        <f>IF(AND($L18=0,$P18=0)=TRUE,VLOOKUP($E18,Plan3!$A$16:$CT$487,$E$7+6,0)/100,0)</f>
        <v>0</v>
      </c>
      <c r="AT18" s="868">
        <f>IF(AND($L18=0,$P18=0)=TRUE,VLOOKUP($E18,Plan3!$A$16:$CT$487,$E$7+9,0)/100,0)</f>
        <v>0</v>
      </c>
      <c r="AU18" s="868">
        <f>IF(AND($L18=0,$P18=0)=TRUE,VLOOKUP($E18,Plan3!$A$16:$CT$487,$E$7+12,0)/100,0)</f>
        <v>0</v>
      </c>
      <c r="AV18" s="841"/>
      <c r="AW18" s="869">
        <f t="shared" si="38"/>
        <v>0</v>
      </c>
      <c r="AX18" s="870">
        <f t="shared" si="39"/>
        <v>0</v>
      </c>
      <c r="AY18" s="871">
        <f t="shared" si="40"/>
        <v>0</v>
      </c>
      <c r="AZ18" s="237" t="str">
        <f t="shared" si="10"/>
        <v xml:space="preserve">01.000.000.005 </v>
      </c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872">
        <f t="shared" si="11"/>
        <v>0</v>
      </c>
      <c r="BM18" s="873">
        <f t="shared" si="12"/>
        <v>0</v>
      </c>
      <c r="BN18" s="874">
        <f t="shared" si="41"/>
        <v>0</v>
      </c>
      <c r="BO18" s="875">
        <f t="shared" si="13"/>
        <v>0</v>
      </c>
      <c r="BP18" s="875">
        <f t="shared" si="14"/>
        <v>0</v>
      </c>
      <c r="BQ18" s="876">
        <f t="shared" si="42"/>
        <v>0</v>
      </c>
      <c r="BR18" s="877">
        <f t="shared" si="43"/>
        <v>0</v>
      </c>
      <c r="BS18" s="875">
        <f t="shared" si="15"/>
        <v>0</v>
      </c>
      <c r="BT18" s="875">
        <f t="shared" si="16"/>
        <v>0</v>
      </c>
      <c r="BU18" s="878">
        <f t="shared" si="44"/>
        <v>0</v>
      </c>
      <c r="CE18" s="486">
        <v>7</v>
      </c>
    </row>
    <row r="19" spans="1:83" s="177" customFormat="1" ht="21.95" customHeight="1" x14ac:dyDescent="0.2">
      <c r="A19" s="237">
        <f t="shared" si="17"/>
        <v>0</v>
      </c>
      <c r="B19" s="237">
        <f t="shared" si="18"/>
        <v>0</v>
      </c>
      <c r="C19" s="393">
        <f t="shared" si="2"/>
        <v>0</v>
      </c>
      <c r="D19" s="393" t="str">
        <f t="shared" si="3"/>
        <v xml:space="preserve">01 </v>
      </c>
      <c r="E19" s="959" t="s">
        <v>81</v>
      </c>
      <c r="F19" s="959" t="s">
        <v>2039</v>
      </c>
      <c r="G19" s="959" t="s">
        <v>7</v>
      </c>
      <c r="H19" s="960">
        <v>1</v>
      </c>
      <c r="I19" s="961">
        <v>22250</v>
      </c>
      <c r="J19" s="962">
        <v>22250</v>
      </c>
      <c r="K19" s="367">
        <v>0</v>
      </c>
      <c r="L19" s="999">
        <v>1</v>
      </c>
      <c r="M19" s="368">
        <f t="shared" si="24"/>
        <v>1</v>
      </c>
      <c r="N19" s="368">
        <f t="shared" si="25"/>
        <v>22250</v>
      </c>
      <c r="O19" s="367">
        <v>0.14157303370786517</v>
      </c>
      <c r="P19" s="999">
        <v>1</v>
      </c>
      <c r="Q19" s="368">
        <f t="shared" si="26"/>
        <v>1</v>
      </c>
      <c r="R19" s="368">
        <f t="shared" si="27"/>
        <v>22250</v>
      </c>
      <c r="S19" s="880">
        <v>22471.56</v>
      </c>
      <c r="T19" s="880">
        <f t="shared" si="28"/>
        <v>22471.56</v>
      </c>
      <c r="U19" s="880">
        <f>IF($I19="",0,($S19-$T19)*(1+('Econômico Macro'!$R$12/100)))</f>
        <v>0</v>
      </c>
      <c r="V19" s="880">
        <f t="shared" si="29"/>
        <v>22471.56</v>
      </c>
      <c r="W19" s="880">
        <f t="shared" si="30"/>
        <v>22471.56</v>
      </c>
      <c r="X19" s="367">
        <f t="shared" si="5"/>
        <v>1</v>
      </c>
      <c r="Y19" s="367">
        <f t="shared" si="6"/>
        <v>0.85842696629213489</v>
      </c>
      <c r="Z19" s="367">
        <f t="shared" si="7"/>
        <v>0</v>
      </c>
      <c r="AA19" s="367">
        <f t="shared" si="8"/>
        <v>-0.14157303370786511</v>
      </c>
      <c r="AB19" s="369">
        <f t="shared" si="9"/>
        <v>0</v>
      </c>
      <c r="AC19" s="365"/>
      <c r="AD19" s="368">
        <v>1</v>
      </c>
      <c r="AE19" s="368">
        <f t="shared" si="31"/>
        <v>0</v>
      </c>
      <c r="AF19" s="365"/>
      <c r="AG19" s="863">
        <f t="shared" si="20"/>
        <v>0</v>
      </c>
      <c r="AH19" s="864">
        <f t="shared" si="32"/>
        <v>0</v>
      </c>
      <c r="AI19" s="863">
        <f t="shared" si="21"/>
        <v>0</v>
      </c>
      <c r="AJ19" s="864">
        <f t="shared" si="33"/>
        <v>0</v>
      </c>
      <c r="AK19" s="365"/>
      <c r="AL19" s="865">
        <f t="shared" si="22"/>
        <v>22250</v>
      </c>
      <c r="AM19" s="866">
        <f t="shared" si="34"/>
        <v>0</v>
      </c>
      <c r="AN19" s="866">
        <f t="shared" si="35"/>
        <v>0</v>
      </c>
      <c r="AO19" s="866">
        <f t="shared" si="36"/>
        <v>0</v>
      </c>
      <c r="AP19" s="867">
        <f t="shared" si="37"/>
        <v>0</v>
      </c>
      <c r="AQ19" s="591">
        <f t="shared" si="23"/>
        <v>0</v>
      </c>
      <c r="AR19" s="868">
        <f>IF(AND($L19=0,$P19=0)=TRUE,VLOOKUP($E19,Plan3!$A$16:$CT$487,$E$7+3,0)/100,0)</f>
        <v>0</v>
      </c>
      <c r="AS19" s="868">
        <f>IF(AND($L19=0,$P19=0)=TRUE,VLOOKUP($E19,Plan3!$A$16:$CT$487,$E$7+6,0)/100,0)</f>
        <v>0</v>
      </c>
      <c r="AT19" s="868">
        <f>IF(AND($L19=0,$P19=0)=TRUE,VLOOKUP($E19,Plan3!$A$16:$CT$487,$E$7+9,0)/100,0)</f>
        <v>0</v>
      </c>
      <c r="AU19" s="868">
        <f>IF(AND($L19=0,$P19=0)=TRUE,VLOOKUP($E19,Plan3!$A$16:$CT$487,$E$7+12,0)/100,0)</f>
        <v>0</v>
      </c>
      <c r="AV19" s="841"/>
      <c r="AW19" s="869">
        <f t="shared" si="38"/>
        <v>0</v>
      </c>
      <c r="AX19" s="870">
        <f t="shared" si="39"/>
        <v>0</v>
      </c>
      <c r="AY19" s="871">
        <f t="shared" si="40"/>
        <v>0</v>
      </c>
      <c r="AZ19" s="237" t="str">
        <f t="shared" si="10"/>
        <v xml:space="preserve">01.000.000.006 </v>
      </c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872">
        <f t="shared" si="11"/>
        <v>0</v>
      </c>
      <c r="BM19" s="873">
        <f t="shared" si="12"/>
        <v>0</v>
      </c>
      <c r="BN19" s="874">
        <f t="shared" si="41"/>
        <v>0</v>
      </c>
      <c r="BO19" s="875">
        <f t="shared" si="13"/>
        <v>0</v>
      </c>
      <c r="BP19" s="875">
        <f t="shared" si="14"/>
        <v>0</v>
      </c>
      <c r="BQ19" s="876">
        <f t="shared" si="42"/>
        <v>0</v>
      </c>
      <c r="BR19" s="877">
        <f t="shared" si="43"/>
        <v>0</v>
      </c>
      <c r="BS19" s="875">
        <f t="shared" si="15"/>
        <v>0</v>
      </c>
      <c r="BT19" s="875">
        <f t="shared" si="16"/>
        <v>0</v>
      </c>
      <c r="BU19" s="878">
        <f t="shared" si="44"/>
        <v>0</v>
      </c>
      <c r="CE19" s="486">
        <v>8</v>
      </c>
    </row>
    <row r="20" spans="1:83" s="177" customFormat="1" ht="21.95" customHeight="1" x14ac:dyDescent="0.2">
      <c r="A20" s="237">
        <f t="shared" si="17"/>
        <v>0</v>
      </c>
      <c r="B20" s="237">
        <f t="shared" si="18"/>
        <v>0</v>
      </c>
      <c r="C20" s="393">
        <f t="shared" si="2"/>
        <v>0</v>
      </c>
      <c r="D20" s="393" t="str">
        <f t="shared" si="3"/>
        <v xml:space="preserve">01 </v>
      </c>
      <c r="E20" s="959" t="s">
        <v>153</v>
      </c>
      <c r="F20" s="959" t="s">
        <v>2198</v>
      </c>
      <c r="G20" s="959" t="s">
        <v>7</v>
      </c>
      <c r="H20" s="960">
        <v>1</v>
      </c>
      <c r="I20" s="963">
        <v>3500</v>
      </c>
      <c r="J20" s="964">
        <v>3500</v>
      </c>
      <c r="K20" s="367">
        <v>0</v>
      </c>
      <c r="L20" s="999">
        <v>1</v>
      </c>
      <c r="M20" s="368">
        <f t="shared" si="24"/>
        <v>1</v>
      </c>
      <c r="N20" s="368">
        <f t="shared" si="25"/>
        <v>3500</v>
      </c>
      <c r="O20" s="367">
        <v>0.5288571428571428</v>
      </c>
      <c r="P20" s="999">
        <v>1</v>
      </c>
      <c r="Q20" s="368">
        <f t="shared" si="26"/>
        <v>1</v>
      </c>
      <c r="R20" s="368">
        <f t="shared" si="27"/>
        <v>3500</v>
      </c>
      <c r="S20" s="880">
        <v>3519.1284000000001</v>
      </c>
      <c r="T20" s="880">
        <f t="shared" si="28"/>
        <v>3519.1284000000001</v>
      </c>
      <c r="U20" s="880">
        <f>IF($I20="",0,($S20-$T20)*(1+('Econômico Macro'!$R$12/100)))</f>
        <v>0</v>
      </c>
      <c r="V20" s="880">
        <f t="shared" si="29"/>
        <v>3519.1284000000001</v>
      </c>
      <c r="W20" s="880">
        <f t="shared" si="30"/>
        <v>3519.1284000000001</v>
      </c>
      <c r="X20" s="367">
        <f t="shared" si="5"/>
        <v>1</v>
      </c>
      <c r="Y20" s="367">
        <f t="shared" si="6"/>
        <v>0.4711428571428572</v>
      </c>
      <c r="Z20" s="367">
        <f t="shared" si="7"/>
        <v>0</v>
      </c>
      <c r="AA20" s="367">
        <f t="shared" si="8"/>
        <v>-0.5288571428571428</v>
      </c>
      <c r="AB20" s="369">
        <f t="shared" si="9"/>
        <v>0</v>
      </c>
      <c r="AC20" s="365"/>
      <c r="AD20" s="368">
        <v>1</v>
      </c>
      <c r="AE20" s="368">
        <f t="shared" si="31"/>
        <v>0</v>
      </c>
      <c r="AF20" s="365"/>
      <c r="AG20" s="863">
        <f t="shared" si="20"/>
        <v>0</v>
      </c>
      <c r="AH20" s="864">
        <f t="shared" si="32"/>
        <v>0</v>
      </c>
      <c r="AI20" s="863">
        <f t="shared" si="21"/>
        <v>0</v>
      </c>
      <c r="AJ20" s="864">
        <f t="shared" si="33"/>
        <v>0</v>
      </c>
      <c r="AK20" s="365"/>
      <c r="AL20" s="865">
        <f t="shared" si="22"/>
        <v>3500</v>
      </c>
      <c r="AM20" s="866">
        <f t="shared" si="34"/>
        <v>0</v>
      </c>
      <c r="AN20" s="866">
        <f t="shared" si="35"/>
        <v>0</v>
      </c>
      <c r="AO20" s="866">
        <f t="shared" si="36"/>
        <v>0</v>
      </c>
      <c r="AP20" s="867">
        <f t="shared" si="37"/>
        <v>0</v>
      </c>
      <c r="AQ20" s="591">
        <f t="shared" si="23"/>
        <v>0</v>
      </c>
      <c r="AR20" s="868">
        <f>IF(AND($L20=0,$P20=0)=TRUE,VLOOKUP($E20,Plan3!$A$16:$CT$487,$E$7+3,0)/100,0)</f>
        <v>0</v>
      </c>
      <c r="AS20" s="868">
        <f>IF(AND($L20=0,$P20=0)=TRUE,VLOOKUP($E20,Plan3!$A$16:$CT$487,$E$7+6,0)/100,0)</f>
        <v>0</v>
      </c>
      <c r="AT20" s="868">
        <f>IF(AND($L20=0,$P20=0)=TRUE,VLOOKUP($E20,Plan3!$A$16:$CT$487,$E$7+9,0)/100,0)</f>
        <v>0</v>
      </c>
      <c r="AU20" s="868">
        <f>IF(AND($L20=0,$P20=0)=TRUE,VLOOKUP($E20,Plan3!$A$16:$CT$487,$E$7+12,0)/100,0)</f>
        <v>0</v>
      </c>
      <c r="AV20" s="841"/>
      <c r="AW20" s="869">
        <f t="shared" si="38"/>
        <v>0</v>
      </c>
      <c r="AX20" s="870">
        <f t="shared" si="39"/>
        <v>0</v>
      </c>
      <c r="AY20" s="871">
        <f t="shared" si="40"/>
        <v>0</v>
      </c>
      <c r="AZ20" s="237" t="str">
        <f t="shared" si="10"/>
        <v xml:space="preserve">01.000.000.007 </v>
      </c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872">
        <f t="shared" si="11"/>
        <v>0</v>
      </c>
      <c r="BM20" s="873">
        <f t="shared" si="12"/>
        <v>0</v>
      </c>
      <c r="BN20" s="874">
        <f t="shared" si="41"/>
        <v>0</v>
      </c>
      <c r="BO20" s="875">
        <f t="shared" si="13"/>
        <v>0</v>
      </c>
      <c r="BP20" s="875">
        <f t="shared" si="14"/>
        <v>0</v>
      </c>
      <c r="BQ20" s="876">
        <f t="shared" si="42"/>
        <v>0</v>
      </c>
      <c r="BR20" s="877">
        <f t="shared" si="43"/>
        <v>0</v>
      </c>
      <c r="BS20" s="875">
        <f t="shared" si="15"/>
        <v>0</v>
      </c>
      <c r="BT20" s="875">
        <f t="shared" si="16"/>
        <v>0</v>
      </c>
      <c r="BU20" s="878">
        <f t="shared" si="44"/>
        <v>0</v>
      </c>
      <c r="CE20" s="486">
        <v>9</v>
      </c>
    </row>
    <row r="21" spans="1:83" s="177" customFormat="1" ht="21.95" customHeight="1" x14ac:dyDescent="0.2">
      <c r="A21" s="237">
        <f t="shared" si="17"/>
        <v>0</v>
      </c>
      <c r="B21" s="237">
        <f t="shared" si="18"/>
        <v>0</v>
      </c>
      <c r="C21" s="393">
        <f t="shared" si="2"/>
        <v>0</v>
      </c>
      <c r="D21" s="393" t="str">
        <f t="shared" si="3"/>
        <v xml:space="preserve">01 </v>
      </c>
      <c r="E21" s="959" t="s">
        <v>261</v>
      </c>
      <c r="F21" s="959" t="s">
        <v>767</v>
      </c>
      <c r="G21" s="959" t="s">
        <v>7</v>
      </c>
      <c r="H21" s="960">
        <v>1</v>
      </c>
      <c r="I21" s="963">
        <v>3000</v>
      </c>
      <c r="J21" s="964">
        <v>3000</v>
      </c>
      <c r="K21" s="367">
        <v>1</v>
      </c>
      <c r="L21" s="367">
        <f>IF($H21="",0,VLOOKUP($E21,Plan3!$A$16:$CT$384,$E$7,0)%)</f>
        <v>1</v>
      </c>
      <c r="M21" s="368">
        <f t="shared" si="24"/>
        <v>1</v>
      </c>
      <c r="N21" s="368">
        <f t="shared" si="25"/>
        <v>3000</v>
      </c>
      <c r="O21" s="367">
        <v>1</v>
      </c>
      <c r="P21" s="367">
        <f>VLOOKUP($E21,Plan3!$A$492:$P$858,13,0)%</f>
        <v>1</v>
      </c>
      <c r="Q21" s="368">
        <f t="shared" si="26"/>
        <v>1</v>
      </c>
      <c r="R21" s="368">
        <f t="shared" si="27"/>
        <v>3000</v>
      </c>
      <c r="S21" s="880">
        <v>3000</v>
      </c>
      <c r="T21" s="880">
        <f t="shared" si="28"/>
        <v>3000</v>
      </c>
      <c r="U21" s="880">
        <f>IF($I21="",0,($S21-$T21)*(1+('Econômico Macro'!$R$12/100)))</f>
        <v>0</v>
      </c>
      <c r="V21" s="880">
        <f t="shared" si="29"/>
        <v>3000</v>
      </c>
      <c r="W21" s="880">
        <f t="shared" si="30"/>
        <v>3000</v>
      </c>
      <c r="X21" s="367">
        <f t="shared" si="5"/>
        <v>0</v>
      </c>
      <c r="Y21" s="367">
        <f t="shared" si="6"/>
        <v>0</v>
      </c>
      <c r="Z21" s="367">
        <f t="shared" si="7"/>
        <v>0</v>
      </c>
      <c r="AA21" s="367">
        <f t="shared" si="8"/>
        <v>0</v>
      </c>
      <c r="AB21" s="369">
        <f t="shared" si="9"/>
        <v>0</v>
      </c>
      <c r="AC21" s="365"/>
      <c r="AD21" s="368">
        <v>1</v>
      </c>
      <c r="AE21" s="368">
        <f t="shared" si="31"/>
        <v>0</v>
      </c>
      <c r="AF21" s="365"/>
      <c r="AG21" s="863">
        <f t="shared" si="20"/>
        <v>0</v>
      </c>
      <c r="AH21" s="864">
        <f t="shared" si="32"/>
        <v>0</v>
      </c>
      <c r="AI21" s="863">
        <f t="shared" si="21"/>
        <v>0</v>
      </c>
      <c r="AJ21" s="864">
        <f t="shared" si="33"/>
        <v>0</v>
      </c>
      <c r="AK21" s="365"/>
      <c r="AL21" s="865">
        <f t="shared" si="22"/>
        <v>3000</v>
      </c>
      <c r="AM21" s="866">
        <f t="shared" si="34"/>
        <v>0</v>
      </c>
      <c r="AN21" s="866">
        <f t="shared" si="35"/>
        <v>0</v>
      </c>
      <c r="AO21" s="866">
        <f t="shared" si="36"/>
        <v>0</v>
      </c>
      <c r="AP21" s="867">
        <f t="shared" si="37"/>
        <v>0</v>
      </c>
      <c r="AQ21" s="591">
        <f t="shared" si="23"/>
        <v>0</v>
      </c>
      <c r="AR21" s="868">
        <f>IF(AND($L21=0,$P21=0)=TRUE,VLOOKUP($E21,Plan3!$A$16:$CT$487,$E$7+3,0)/100,0)</f>
        <v>0</v>
      </c>
      <c r="AS21" s="868">
        <f>IF(AND($L21=0,$P21=0)=TRUE,VLOOKUP($E21,Plan3!$A$16:$CT$487,$E$7+6,0)/100,0)</f>
        <v>0</v>
      </c>
      <c r="AT21" s="868">
        <f>IF(AND($L21=0,$P21=0)=TRUE,VLOOKUP($E21,Plan3!$A$16:$CT$487,$E$7+9,0)/100,0)</f>
        <v>0</v>
      </c>
      <c r="AU21" s="868">
        <f>IF(AND($L21=0,$P21=0)=TRUE,VLOOKUP($E21,Plan3!$A$16:$CT$487,$E$7+12,0)/100,0)</f>
        <v>0</v>
      </c>
      <c r="AV21" s="841"/>
      <c r="AW21" s="869">
        <f t="shared" si="38"/>
        <v>0</v>
      </c>
      <c r="AX21" s="870">
        <f t="shared" si="39"/>
        <v>0</v>
      </c>
      <c r="AY21" s="871">
        <f t="shared" si="40"/>
        <v>0</v>
      </c>
      <c r="AZ21" s="237" t="str">
        <f t="shared" si="10"/>
        <v xml:space="preserve">01.000.000.008 </v>
      </c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872">
        <f t="shared" si="11"/>
        <v>0</v>
      </c>
      <c r="BM21" s="873">
        <f t="shared" si="12"/>
        <v>0</v>
      </c>
      <c r="BN21" s="874">
        <f t="shared" si="41"/>
        <v>0</v>
      </c>
      <c r="BO21" s="875">
        <f t="shared" si="13"/>
        <v>0</v>
      </c>
      <c r="BP21" s="875">
        <f t="shared" si="14"/>
        <v>0</v>
      </c>
      <c r="BQ21" s="876">
        <f t="shared" si="42"/>
        <v>0</v>
      </c>
      <c r="BR21" s="877">
        <f t="shared" si="43"/>
        <v>0</v>
      </c>
      <c r="BS21" s="875">
        <f t="shared" si="15"/>
        <v>0</v>
      </c>
      <c r="BT21" s="875">
        <f t="shared" si="16"/>
        <v>0</v>
      </c>
      <c r="BU21" s="878">
        <f t="shared" si="44"/>
        <v>0</v>
      </c>
      <c r="CE21" s="486">
        <v>10</v>
      </c>
    </row>
    <row r="22" spans="1:83" s="177" customFormat="1" ht="21.95" customHeight="1" x14ac:dyDescent="0.2">
      <c r="A22" s="237">
        <f t="shared" si="17"/>
        <v>0</v>
      </c>
      <c r="B22" s="237">
        <f t="shared" si="18"/>
        <v>0</v>
      </c>
      <c r="C22" s="393">
        <f t="shared" si="2"/>
        <v>0</v>
      </c>
      <c r="D22" s="393" t="str">
        <f t="shared" si="3"/>
        <v xml:space="preserve">01 </v>
      </c>
      <c r="E22" s="959" t="s">
        <v>262</v>
      </c>
      <c r="F22" s="959" t="s">
        <v>2199</v>
      </c>
      <c r="G22" s="959" t="s">
        <v>7</v>
      </c>
      <c r="H22" s="960">
        <v>1</v>
      </c>
      <c r="I22" s="963">
        <v>2400</v>
      </c>
      <c r="J22" s="964">
        <v>2400</v>
      </c>
      <c r="K22" s="367">
        <v>0</v>
      </c>
      <c r="L22" s="999">
        <v>1</v>
      </c>
      <c r="M22" s="368">
        <f t="shared" si="24"/>
        <v>1</v>
      </c>
      <c r="N22" s="368">
        <f t="shared" si="25"/>
        <v>2400</v>
      </c>
      <c r="O22" s="367">
        <v>0</v>
      </c>
      <c r="P22" s="999">
        <v>1</v>
      </c>
      <c r="Q22" s="368">
        <f t="shared" si="26"/>
        <v>1</v>
      </c>
      <c r="R22" s="368">
        <f t="shared" si="27"/>
        <v>2400</v>
      </c>
      <c r="S22" s="880">
        <v>2427.84</v>
      </c>
      <c r="T22" s="880">
        <f t="shared" si="28"/>
        <v>2427.84</v>
      </c>
      <c r="U22" s="880">
        <f>IF($I22="",0,($S22-$T22)*(1+('Econômico Macro'!$R$12/100)))</f>
        <v>0</v>
      </c>
      <c r="V22" s="880">
        <f t="shared" si="29"/>
        <v>2427.84</v>
      </c>
      <c r="W22" s="880">
        <f t="shared" si="30"/>
        <v>2427.84</v>
      </c>
      <c r="X22" s="367">
        <f t="shared" si="5"/>
        <v>1</v>
      </c>
      <c r="Y22" s="367">
        <f t="shared" si="6"/>
        <v>1</v>
      </c>
      <c r="Z22" s="367">
        <f t="shared" si="7"/>
        <v>0</v>
      </c>
      <c r="AA22" s="367">
        <f t="shared" si="8"/>
        <v>0</v>
      </c>
      <c r="AB22" s="369">
        <f t="shared" si="9"/>
        <v>0</v>
      </c>
      <c r="AC22" s="365"/>
      <c r="AD22" s="368">
        <v>1</v>
      </c>
      <c r="AE22" s="368">
        <f t="shared" si="31"/>
        <v>0</v>
      </c>
      <c r="AF22" s="365"/>
      <c r="AG22" s="863">
        <f t="shared" si="20"/>
        <v>0</v>
      </c>
      <c r="AH22" s="864">
        <f t="shared" si="32"/>
        <v>0</v>
      </c>
      <c r="AI22" s="863">
        <f t="shared" si="21"/>
        <v>0</v>
      </c>
      <c r="AJ22" s="864">
        <f t="shared" si="33"/>
        <v>0</v>
      </c>
      <c r="AK22" s="365"/>
      <c r="AL22" s="865">
        <f t="shared" si="22"/>
        <v>2400</v>
      </c>
      <c r="AM22" s="866">
        <f t="shared" si="34"/>
        <v>0</v>
      </c>
      <c r="AN22" s="866">
        <f t="shared" si="35"/>
        <v>0</v>
      </c>
      <c r="AO22" s="866">
        <f t="shared" si="36"/>
        <v>0</v>
      </c>
      <c r="AP22" s="867">
        <f t="shared" si="37"/>
        <v>0</v>
      </c>
      <c r="AQ22" s="591">
        <f t="shared" si="23"/>
        <v>0</v>
      </c>
      <c r="AR22" s="868">
        <f>IF(AND($L22=0,$P22=0)=TRUE,VLOOKUP($E22,Plan3!$A$16:$CT$487,$E$7+3,0)/100,0)</f>
        <v>0</v>
      </c>
      <c r="AS22" s="868">
        <f>IF(AND($L22=0,$P22=0)=TRUE,VLOOKUP($E22,Plan3!$A$16:$CT$487,$E$7+6,0)/100,0)</f>
        <v>0</v>
      </c>
      <c r="AT22" s="868">
        <f>IF(AND($L22=0,$P22=0)=TRUE,VLOOKUP($E22,Plan3!$A$16:$CT$487,$E$7+9,0)/100,0)</f>
        <v>0</v>
      </c>
      <c r="AU22" s="868">
        <f>IF(AND($L22=0,$P22=0)=TRUE,VLOOKUP($E22,Plan3!$A$16:$CT$487,$E$7+12,0)/100,0)</f>
        <v>0</v>
      </c>
      <c r="AV22" s="841"/>
      <c r="AW22" s="869">
        <f t="shared" si="38"/>
        <v>0</v>
      </c>
      <c r="AX22" s="870">
        <f t="shared" si="39"/>
        <v>0</v>
      </c>
      <c r="AY22" s="871">
        <f t="shared" si="40"/>
        <v>0</v>
      </c>
      <c r="AZ22" s="237" t="str">
        <f t="shared" si="10"/>
        <v xml:space="preserve">01.000.000.009 </v>
      </c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872">
        <f t="shared" si="11"/>
        <v>0</v>
      </c>
      <c r="BM22" s="873">
        <f t="shared" si="12"/>
        <v>0</v>
      </c>
      <c r="BN22" s="874">
        <f t="shared" si="41"/>
        <v>0</v>
      </c>
      <c r="BO22" s="875">
        <f t="shared" si="13"/>
        <v>0</v>
      </c>
      <c r="BP22" s="875">
        <f t="shared" si="14"/>
        <v>0</v>
      </c>
      <c r="BQ22" s="876">
        <f t="shared" si="42"/>
        <v>0</v>
      </c>
      <c r="BR22" s="877">
        <f t="shared" si="43"/>
        <v>0</v>
      </c>
      <c r="BS22" s="875">
        <f t="shared" si="15"/>
        <v>0</v>
      </c>
      <c r="BT22" s="875">
        <f t="shared" si="16"/>
        <v>0</v>
      </c>
      <c r="BU22" s="878">
        <f t="shared" si="44"/>
        <v>0</v>
      </c>
      <c r="CE22" s="486">
        <v>11</v>
      </c>
    </row>
    <row r="23" spans="1:83" s="177" customFormat="1" ht="21.95" customHeight="1" x14ac:dyDescent="0.2">
      <c r="A23" s="237">
        <f t="shared" si="17"/>
        <v>0</v>
      </c>
      <c r="B23" s="237">
        <f t="shared" si="18"/>
        <v>0</v>
      </c>
      <c r="C23" s="393">
        <f t="shared" si="2"/>
        <v>0</v>
      </c>
      <c r="D23" s="393" t="str">
        <f t="shared" si="3"/>
        <v xml:space="preserve">01 </v>
      </c>
      <c r="E23" s="959" t="s">
        <v>764</v>
      </c>
      <c r="F23" s="959" t="s">
        <v>2200</v>
      </c>
      <c r="G23" s="959" t="s">
        <v>7</v>
      </c>
      <c r="H23" s="960">
        <v>1</v>
      </c>
      <c r="I23" s="961">
        <v>15000</v>
      </c>
      <c r="J23" s="962">
        <v>15000</v>
      </c>
      <c r="K23" s="367">
        <v>0</v>
      </c>
      <c r="L23" s="367">
        <f>IF($H23="",0,VLOOKUP($E23,Plan3!$A$16:$CT$384,$E$7,0)%)</f>
        <v>0</v>
      </c>
      <c r="M23" s="368">
        <f t="shared" si="24"/>
        <v>0</v>
      </c>
      <c r="N23" s="368">
        <f t="shared" si="25"/>
        <v>0</v>
      </c>
      <c r="O23" s="367">
        <v>0</v>
      </c>
      <c r="P23" s="367">
        <f>VLOOKUP($E23,Plan3!$A$492:$P$858,13,0)%</f>
        <v>0</v>
      </c>
      <c r="Q23" s="368">
        <f t="shared" si="26"/>
        <v>0</v>
      </c>
      <c r="R23" s="368">
        <f t="shared" si="27"/>
        <v>0</v>
      </c>
      <c r="S23" s="880">
        <v>15174</v>
      </c>
      <c r="T23" s="880">
        <f t="shared" si="28"/>
        <v>0</v>
      </c>
      <c r="U23" s="880">
        <f>IF($I23="",0,($S23-$T23)*(1+('Econômico Macro'!$R$12/100)))</f>
        <v>15436.510200000001</v>
      </c>
      <c r="V23" s="880">
        <f t="shared" si="29"/>
        <v>15436.510200000001</v>
      </c>
      <c r="W23" s="880">
        <f t="shared" si="30"/>
        <v>0</v>
      </c>
      <c r="X23" s="367">
        <f t="shared" si="5"/>
        <v>0</v>
      </c>
      <c r="Y23" s="367">
        <f t="shared" si="6"/>
        <v>0</v>
      </c>
      <c r="Z23" s="367">
        <f t="shared" si="7"/>
        <v>0</v>
      </c>
      <c r="AA23" s="367">
        <f t="shared" si="8"/>
        <v>0</v>
      </c>
      <c r="AB23" s="369" t="str">
        <f t="shared" si="9"/>
        <v>Não Iniciada</v>
      </c>
      <c r="AC23" s="365"/>
      <c r="AD23" s="368">
        <v>1</v>
      </c>
      <c r="AE23" s="368">
        <f t="shared" si="31"/>
        <v>-1</v>
      </c>
      <c r="AF23" s="365"/>
      <c r="AG23" s="863">
        <f t="shared" si="20"/>
        <v>0</v>
      </c>
      <c r="AH23" s="864">
        <f t="shared" si="32"/>
        <v>0</v>
      </c>
      <c r="AI23" s="863">
        <f t="shared" si="21"/>
        <v>0</v>
      </c>
      <c r="AJ23" s="864">
        <f t="shared" si="33"/>
        <v>0</v>
      </c>
      <c r="AK23" s="365"/>
      <c r="AL23" s="865">
        <f t="shared" si="22"/>
        <v>0</v>
      </c>
      <c r="AM23" s="866">
        <f t="shared" si="34"/>
        <v>0</v>
      </c>
      <c r="AN23" s="866">
        <f t="shared" si="35"/>
        <v>0</v>
      </c>
      <c r="AO23" s="866">
        <f t="shared" si="36"/>
        <v>0</v>
      </c>
      <c r="AP23" s="867">
        <f t="shared" si="37"/>
        <v>0</v>
      </c>
      <c r="AQ23" s="591">
        <f t="shared" si="23"/>
        <v>0</v>
      </c>
      <c r="AR23" s="868">
        <f>IF(AND($L23=0,$P23=0)=TRUE,VLOOKUP($E23,Plan3!$A$16:$CT$487,$E$7+3,0)/100,0)</f>
        <v>0</v>
      </c>
      <c r="AS23" s="868">
        <f>IF(AND($L23=0,$P23=0)=TRUE,VLOOKUP($E23,Plan3!$A$16:$CT$487,$E$7+6,0)/100,0)</f>
        <v>0</v>
      </c>
      <c r="AT23" s="868">
        <f>IF(AND($L23=0,$P23=0)=TRUE,VLOOKUP($E23,Plan3!$A$16:$CT$487,$E$7+9,0)/100,0)</f>
        <v>0</v>
      </c>
      <c r="AU23" s="868">
        <f>IF(AND($L23=0,$P23=0)=TRUE,VLOOKUP($E23,Plan3!$A$16:$CT$487,$E$7+12,0)/100,0)</f>
        <v>0</v>
      </c>
      <c r="AV23" s="841"/>
      <c r="AW23" s="869">
        <f t="shared" si="38"/>
        <v>0</v>
      </c>
      <c r="AX23" s="870">
        <f t="shared" si="39"/>
        <v>0</v>
      </c>
      <c r="AY23" s="871">
        <f t="shared" si="40"/>
        <v>0</v>
      </c>
      <c r="AZ23" s="237" t="str">
        <f t="shared" si="10"/>
        <v xml:space="preserve">01.000.000.010 </v>
      </c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872">
        <f t="shared" si="11"/>
        <v>0</v>
      </c>
      <c r="BM23" s="873">
        <f t="shared" si="12"/>
        <v>0</v>
      </c>
      <c r="BN23" s="874">
        <f t="shared" si="41"/>
        <v>0</v>
      </c>
      <c r="BO23" s="875">
        <f t="shared" si="13"/>
        <v>0</v>
      </c>
      <c r="BP23" s="875">
        <f t="shared" si="14"/>
        <v>0</v>
      </c>
      <c r="BQ23" s="876">
        <f t="shared" si="42"/>
        <v>0</v>
      </c>
      <c r="BR23" s="877">
        <f t="shared" si="43"/>
        <v>0</v>
      </c>
      <c r="BS23" s="875">
        <f t="shared" si="15"/>
        <v>0</v>
      </c>
      <c r="BT23" s="875">
        <f t="shared" si="16"/>
        <v>0</v>
      </c>
      <c r="BU23" s="878">
        <f t="shared" si="44"/>
        <v>0</v>
      </c>
      <c r="CE23" s="486">
        <v>12</v>
      </c>
    </row>
    <row r="24" spans="1:83" s="177" customFormat="1" ht="21.95" customHeight="1" x14ac:dyDescent="0.2">
      <c r="A24" s="237">
        <f t="shared" si="17"/>
        <v>0</v>
      </c>
      <c r="B24" s="237">
        <f t="shared" si="18"/>
        <v>0</v>
      </c>
      <c r="C24" s="393">
        <f t="shared" si="2"/>
        <v>0</v>
      </c>
      <c r="D24" s="393" t="str">
        <f t="shared" si="3"/>
        <v xml:space="preserve">01 </v>
      </c>
      <c r="E24" s="959" t="s">
        <v>766</v>
      </c>
      <c r="F24" s="959" t="s">
        <v>2201</v>
      </c>
      <c r="G24" s="959" t="s">
        <v>7</v>
      </c>
      <c r="H24" s="960">
        <v>1</v>
      </c>
      <c r="I24" s="963">
        <v>1300</v>
      </c>
      <c r="J24" s="964">
        <v>1300</v>
      </c>
      <c r="K24" s="367">
        <v>0</v>
      </c>
      <c r="L24" s="367">
        <f>IF($H24="",0,VLOOKUP($E24,Plan3!$A$16:$CT$384,$E$7,0)%)</f>
        <v>0</v>
      </c>
      <c r="M24" s="368">
        <f t="shared" si="24"/>
        <v>0</v>
      </c>
      <c r="N24" s="368">
        <f t="shared" si="25"/>
        <v>0</v>
      </c>
      <c r="O24" s="367">
        <v>0</v>
      </c>
      <c r="P24" s="367">
        <f>VLOOKUP($E24,Plan3!$A$492:$P$858,13,0)%</f>
        <v>0</v>
      </c>
      <c r="Q24" s="368">
        <f t="shared" si="26"/>
        <v>0</v>
      </c>
      <c r="R24" s="368">
        <f t="shared" si="27"/>
        <v>0</v>
      </c>
      <c r="S24" s="880">
        <v>1315.0800000000002</v>
      </c>
      <c r="T24" s="880">
        <f t="shared" si="28"/>
        <v>0</v>
      </c>
      <c r="U24" s="880">
        <f>IF($I24="",0,($S24-$T24)*(1+('Econômico Macro'!$R$12/100)))</f>
        <v>1337.8308840000002</v>
      </c>
      <c r="V24" s="880">
        <f t="shared" si="29"/>
        <v>1337.8308840000002</v>
      </c>
      <c r="W24" s="880">
        <f t="shared" si="30"/>
        <v>0</v>
      </c>
      <c r="X24" s="367">
        <f t="shared" si="5"/>
        <v>0</v>
      </c>
      <c r="Y24" s="367">
        <f t="shared" si="6"/>
        <v>0</v>
      </c>
      <c r="Z24" s="367">
        <f t="shared" si="7"/>
        <v>0</v>
      </c>
      <c r="AA24" s="367">
        <f t="shared" si="8"/>
        <v>0</v>
      </c>
      <c r="AB24" s="369" t="str">
        <f t="shared" si="9"/>
        <v>Não Iniciada</v>
      </c>
      <c r="AC24" s="365"/>
      <c r="AD24" s="368">
        <v>1</v>
      </c>
      <c r="AE24" s="368">
        <f t="shared" si="31"/>
        <v>-1</v>
      </c>
      <c r="AF24" s="365"/>
      <c r="AG24" s="863">
        <f t="shared" si="20"/>
        <v>0</v>
      </c>
      <c r="AH24" s="864">
        <f t="shared" si="32"/>
        <v>0</v>
      </c>
      <c r="AI24" s="863">
        <f t="shared" si="21"/>
        <v>0</v>
      </c>
      <c r="AJ24" s="864">
        <f t="shared" si="33"/>
        <v>0</v>
      </c>
      <c r="AK24" s="365"/>
      <c r="AL24" s="865">
        <f t="shared" si="22"/>
        <v>0</v>
      </c>
      <c r="AM24" s="866">
        <f t="shared" si="34"/>
        <v>0</v>
      </c>
      <c r="AN24" s="866">
        <f t="shared" si="35"/>
        <v>0</v>
      </c>
      <c r="AO24" s="866">
        <f t="shared" si="36"/>
        <v>0</v>
      </c>
      <c r="AP24" s="867">
        <f t="shared" si="37"/>
        <v>0</v>
      </c>
      <c r="AQ24" s="591">
        <f t="shared" si="23"/>
        <v>0</v>
      </c>
      <c r="AR24" s="868">
        <f>IF(AND($L24=0,$P24=0)=TRUE,VLOOKUP($E24,Plan3!$A$16:$CT$487,$E$7+3,0)/100,0)</f>
        <v>0</v>
      </c>
      <c r="AS24" s="868">
        <f>IF(AND($L24=0,$P24=0)=TRUE,VLOOKUP($E24,Plan3!$A$16:$CT$487,$E$7+6,0)/100,0)</f>
        <v>0</v>
      </c>
      <c r="AT24" s="868">
        <f>IF(AND($L24=0,$P24=0)=TRUE,VLOOKUP($E24,Plan3!$A$16:$CT$487,$E$7+9,0)/100,0)</f>
        <v>0</v>
      </c>
      <c r="AU24" s="868">
        <f>IF(AND($L24=0,$P24=0)=TRUE,VLOOKUP($E24,Plan3!$A$16:$CT$487,$E$7+12,0)/100,0)</f>
        <v>0</v>
      </c>
      <c r="AV24" s="841"/>
      <c r="AW24" s="869">
        <f t="shared" si="38"/>
        <v>0</v>
      </c>
      <c r="AX24" s="870">
        <f t="shared" si="39"/>
        <v>0</v>
      </c>
      <c r="AY24" s="871">
        <f t="shared" si="40"/>
        <v>0</v>
      </c>
      <c r="AZ24" s="237" t="str">
        <f t="shared" si="10"/>
        <v xml:space="preserve">01.000.000.011 </v>
      </c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872">
        <f t="shared" si="11"/>
        <v>0</v>
      </c>
      <c r="BM24" s="873">
        <f t="shared" si="12"/>
        <v>0</v>
      </c>
      <c r="BN24" s="874">
        <f t="shared" si="41"/>
        <v>0</v>
      </c>
      <c r="BO24" s="875">
        <f t="shared" si="13"/>
        <v>0</v>
      </c>
      <c r="BP24" s="875">
        <f t="shared" si="14"/>
        <v>0</v>
      </c>
      <c r="BQ24" s="876">
        <f t="shared" si="42"/>
        <v>0</v>
      </c>
      <c r="BR24" s="877">
        <f t="shared" si="43"/>
        <v>0</v>
      </c>
      <c r="BS24" s="875">
        <f t="shared" si="15"/>
        <v>0</v>
      </c>
      <c r="BT24" s="875">
        <f t="shared" si="16"/>
        <v>0</v>
      </c>
      <c r="BU24" s="878">
        <f t="shared" si="44"/>
        <v>0</v>
      </c>
      <c r="CE24" s="486">
        <v>13</v>
      </c>
    </row>
    <row r="25" spans="1:83" s="177" customFormat="1" ht="21.95" customHeight="1" x14ac:dyDescent="0.2">
      <c r="A25" s="237">
        <f t="shared" si="17"/>
        <v>0</v>
      </c>
      <c r="B25" s="237">
        <f t="shared" si="18"/>
        <v>0</v>
      </c>
      <c r="C25" s="393" t="str">
        <f t="shared" si="2"/>
        <v xml:space="preserve">02 </v>
      </c>
      <c r="D25" s="393" t="str">
        <f t="shared" si="3"/>
        <v xml:space="preserve">02 </v>
      </c>
      <c r="E25" s="161" t="s">
        <v>82</v>
      </c>
      <c r="F25" s="161" t="s">
        <v>593</v>
      </c>
      <c r="G25" s="162"/>
      <c r="H25" s="162"/>
      <c r="I25" s="162"/>
      <c r="J25" s="163">
        <v>46168</v>
      </c>
      <c r="K25" s="164">
        <v>0.5202737827066366</v>
      </c>
      <c r="L25" s="164">
        <f t="array" ref="L25">SUM(IF($D26:$D$379=$E25,$L26:$L$379*$J26:$J$379))/$J25</f>
        <v>0.56905733841621897</v>
      </c>
      <c r="M25" s="163"/>
      <c r="N25" s="163">
        <f>$L25*$J25</f>
        <v>26272.239199999996</v>
      </c>
      <c r="O25" s="164">
        <v>0.5202737827066366</v>
      </c>
      <c r="P25" s="164">
        <f t="array" ref="P25">SUM(IF($D26:$D$379=$E25,$P26:$P$379*$J26:$J$379))/$J25</f>
        <v>0.56850477386934672</v>
      </c>
      <c r="Q25" s="163">
        <f>$P25*$H25</f>
        <v>0</v>
      </c>
      <c r="R25" s="163">
        <f>$P25*$J25</f>
        <v>26246.7284</v>
      </c>
      <c r="S25" s="163">
        <v>46424.916799999999</v>
      </c>
      <c r="T25" s="163">
        <f>SUM(T26:T32)</f>
        <v>26272.558449439999</v>
      </c>
      <c r="U25" s="163"/>
      <c r="V25" s="163">
        <f t="shared" ref="V25:W25" si="45">SUM(V26:V32)</f>
        <v>46773.552599464689</v>
      </c>
      <c r="W25" s="163">
        <f t="shared" si="45"/>
        <v>26330.555991220754</v>
      </c>
      <c r="X25" s="164">
        <f t="shared" si="5"/>
        <v>4.8783555709582371E-2</v>
      </c>
      <c r="Y25" s="164">
        <f t="shared" si="6"/>
        <v>4.8230991162710124E-2</v>
      </c>
      <c r="Z25" s="164">
        <f t="shared" si="7"/>
        <v>-5.5256454687224732E-4</v>
      </c>
      <c r="AA25" s="164">
        <f t="shared" si="8"/>
        <v>-5.5256454687224732E-4</v>
      </c>
      <c r="AB25" s="201" t="str">
        <f t="shared" si="9"/>
        <v>Atrasada</v>
      </c>
      <c r="AC25" s="155" t="s">
        <v>763</v>
      </c>
      <c r="AD25" s="689">
        <v>0</v>
      </c>
      <c r="AE25" s="835">
        <f>Q25-AD25</f>
        <v>0</v>
      </c>
      <c r="AF25" s="155"/>
      <c r="AG25" s="207"/>
      <c r="AH25" s="208"/>
      <c r="AI25" s="207"/>
      <c r="AJ25" s="208"/>
      <c r="AK25" s="155"/>
      <c r="AL25" s="212"/>
      <c r="AM25" s="209"/>
      <c r="AN25" s="209"/>
      <c r="AO25" s="209"/>
      <c r="AP25" s="213"/>
      <c r="AQ25" s="401"/>
      <c r="AR25" s="247"/>
      <c r="AS25" s="247"/>
      <c r="AT25" s="247"/>
      <c r="AU25" s="247"/>
      <c r="AV25" s="155"/>
      <c r="AW25" s="250"/>
      <c r="AX25" s="248"/>
      <c r="AY25" s="402"/>
      <c r="AZ25" s="237" t="str">
        <f t="shared" si="10"/>
        <v xml:space="preserve">02 </v>
      </c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666" t="str">
        <f t="shared" si="11"/>
        <v xml:space="preserve">02 </v>
      </c>
      <c r="BM25" s="667">
        <f t="shared" si="12"/>
        <v>26246.7284</v>
      </c>
      <c r="BN25" s="668">
        <f>IF($BQ25=0,0,RANK($BQ25,$BQ$12:$BQ$379))</f>
        <v>2</v>
      </c>
      <c r="BO25" s="669" t="str">
        <f t="shared" si="13"/>
        <v xml:space="preserve">02 </v>
      </c>
      <c r="BP25" s="669">
        <f t="shared" si="14"/>
        <v>-25.510799999996379</v>
      </c>
      <c r="BQ25" s="670">
        <f>IF($BP25=0,0,$BP25/$BP$380)</f>
        <v>3.7259132664720058E-4</v>
      </c>
      <c r="BR25" s="671">
        <f>IF($BU25=0,0,RANK($BU25,$BU$12:$BU$379))</f>
        <v>0</v>
      </c>
      <c r="BS25" s="669">
        <f t="shared" si="15"/>
        <v>0</v>
      </c>
      <c r="BT25" s="669">
        <f t="shared" si="16"/>
        <v>0</v>
      </c>
      <c r="BU25" s="672">
        <f>IF($BT25=0,0,$BT25/$BT$380)</f>
        <v>0</v>
      </c>
      <c r="CE25" s="486">
        <v>14</v>
      </c>
    </row>
    <row r="26" spans="1:83" s="177" customFormat="1" ht="21.95" customHeight="1" x14ac:dyDescent="0.2">
      <c r="A26" s="237">
        <f t="shared" si="17"/>
        <v>0</v>
      </c>
      <c r="B26" s="237">
        <f t="shared" si="18"/>
        <v>0</v>
      </c>
      <c r="C26" s="393">
        <f t="shared" si="2"/>
        <v>0</v>
      </c>
      <c r="D26" s="393" t="str">
        <f t="shared" si="3"/>
        <v xml:space="preserve">02 </v>
      </c>
      <c r="E26" s="959" t="s">
        <v>83</v>
      </c>
      <c r="F26" s="959" t="s">
        <v>410</v>
      </c>
      <c r="G26" s="959" t="s">
        <v>7</v>
      </c>
      <c r="H26" s="960">
        <v>1</v>
      </c>
      <c r="I26" s="961">
        <v>12000</v>
      </c>
      <c r="J26" s="962">
        <v>12000</v>
      </c>
      <c r="K26" s="367">
        <v>1</v>
      </c>
      <c r="L26" s="367">
        <f>IF($H26="",0,VLOOKUP($E26,Plan3!$A$16:$CT$384,$E$7,0)%)</f>
        <v>1</v>
      </c>
      <c r="M26" s="368">
        <f t="shared" si="24"/>
        <v>1</v>
      </c>
      <c r="N26" s="368">
        <f t="shared" si="25"/>
        <v>12000</v>
      </c>
      <c r="O26" s="367">
        <v>1</v>
      </c>
      <c r="P26" s="367">
        <f>VLOOKUP($E26,Plan3!$A$492:$P$858,13,0)%</f>
        <v>1</v>
      </c>
      <c r="Q26" s="368">
        <f t="shared" si="26"/>
        <v>1</v>
      </c>
      <c r="R26" s="368">
        <f t="shared" si="27"/>
        <v>12000</v>
      </c>
      <c r="S26" s="880">
        <v>12000</v>
      </c>
      <c r="T26" s="880">
        <f t="shared" si="28"/>
        <v>12000</v>
      </c>
      <c r="U26" s="880">
        <f>IF($I26="",0,($S26-$T26)*(1+('Econômico Macro'!$R$12/100)))</f>
        <v>0</v>
      </c>
      <c r="V26" s="880">
        <f t="shared" si="29"/>
        <v>12000</v>
      </c>
      <c r="W26" s="880">
        <f t="shared" si="30"/>
        <v>12000</v>
      </c>
      <c r="X26" s="367">
        <f t="shared" si="5"/>
        <v>0</v>
      </c>
      <c r="Y26" s="367">
        <f t="shared" si="6"/>
        <v>0</v>
      </c>
      <c r="Z26" s="367">
        <f t="shared" si="7"/>
        <v>0</v>
      </c>
      <c r="AA26" s="367">
        <f t="shared" si="8"/>
        <v>0</v>
      </c>
      <c r="AB26" s="369">
        <f t="shared" si="9"/>
        <v>0</v>
      </c>
      <c r="AC26" s="365"/>
      <c r="AD26" s="368">
        <v>1</v>
      </c>
      <c r="AE26" s="368">
        <f t="shared" si="31"/>
        <v>0</v>
      </c>
      <c r="AF26" s="365"/>
      <c r="AG26" s="863">
        <f t="shared" si="20"/>
        <v>0</v>
      </c>
      <c r="AH26" s="864">
        <f t="shared" si="32"/>
        <v>0</v>
      </c>
      <c r="AI26" s="863">
        <f t="shared" si="21"/>
        <v>0</v>
      </c>
      <c r="AJ26" s="864">
        <f t="shared" si="33"/>
        <v>0</v>
      </c>
      <c r="AK26" s="365"/>
      <c r="AL26" s="865">
        <f t="shared" si="22"/>
        <v>12000</v>
      </c>
      <c r="AM26" s="866">
        <f t="shared" si="34"/>
        <v>0</v>
      </c>
      <c r="AN26" s="866">
        <f t="shared" si="35"/>
        <v>0</v>
      </c>
      <c r="AO26" s="866">
        <f t="shared" si="36"/>
        <v>0</v>
      </c>
      <c r="AP26" s="867">
        <f t="shared" si="37"/>
        <v>0</v>
      </c>
      <c r="AQ26" s="591">
        <f t="shared" si="23"/>
        <v>0</v>
      </c>
      <c r="AR26" s="868">
        <f>IF(AND($L26=0,$P26=0)=TRUE,VLOOKUP($E26,Plan3!$A$16:$CT$487,$E$7+3,0)/100,0)</f>
        <v>0</v>
      </c>
      <c r="AS26" s="868">
        <f>IF(AND($L26=0,$P26=0)=TRUE,VLOOKUP($E26,Plan3!$A$16:$CT$487,$E$7+6,0)/100,0)</f>
        <v>0</v>
      </c>
      <c r="AT26" s="868">
        <f>IF(AND($L26=0,$P26=0)=TRUE,VLOOKUP($E26,Plan3!$A$16:$CT$487,$E$7+9,0)/100,0)</f>
        <v>0</v>
      </c>
      <c r="AU26" s="868">
        <f>IF(AND($L26=0,$P26=0)=TRUE,VLOOKUP($E26,Plan3!$A$16:$CT$487,$E$7+12,0)/100,0)</f>
        <v>0</v>
      </c>
      <c r="AV26" s="841"/>
      <c r="AW26" s="869">
        <f t="shared" si="38"/>
        <v>0</v>
      </c>
      <c r="AX26" s="870">
        <f t="shared" si="39"/>
        <v>0</v>
      </c>
      <c r="AY26" s="871">
        <f t="shared" si="40"/>
        <v>0</v>
      </c>
      <c r="AZ26" s="237" t="str">
        <f t="shared" si="10"/>
        <v xml:space="preserve">02.000.000.001 </v>
      </c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872">
        <f t="shared" si="11"/>
        <v>0</v>
      </c>
      <c r="BM26" s="873">
        <f t="shared" si="12"/>
        <v>0</v>
      </c>
      <c r="BN26" s="874">
        <f t="shared" si="41"/>
        <v>0</v>
      </c>
      <c r="BO26" s="875">
        <f t="shared" si="13"/>
        <v>0</v>
      </c>
      <c r="BP26" s="875">
        <f t="shared" si="14"/>
        <v>0</v>
      </c>
      <c r="BQ26" s="876">
        <f t="shared" si="42"/>
        <v>0</v>
      </c>
      <c r="BR26" s="877">
        <f t="shared" si="43"/>
        <v>0</v>
      </c>
      <c r="BS26" s="875">
        <f t="shared" si="15"/>
        <v>0</v>
      </c>
      <c r="BT26" s="875">
        <f t="shared" si="16"/>
        <v>0</v>
      </c>
      <c r="BU26" s="878">
        <f t="shared" si="44"/>
        <v>0</v>
      </c>
      <c r="CE26" s="486">
        <v>15</v>
      </c>
    </row>
    <row r="27" spans="1:83" s="177" customFormat="1" ht="21.95" customHeight="1" x14ac:dyDescent="0.2">
      <c r="A27" s="237">
        <f t="shared" si="17"/>
        <v>0</v>
      </c>
      <c r="B27" s="237">
        <f t="shared" si="18"/>
        <v>0</v>
      </c>
      <c r="C27" s="393">
        <f t="shared" si="2"/>
        <v>0</v>
      </c>
      <c r="D27" s="393" t="str">
        <f t="shared" si="3"/>
        <v xml:space="preserve">02 </v>
      </c>
      <c r="E27" s="959" t="s">
        <v>84</v>
      </c>
      <c r="F27" s="959" t="s">
        <v>594</v>
      </c>
      <c r="G27" s="959" t="s">
        <v>7</v>
      </c>
      <c r="H27" s="960">
        <v>1</v>
      </c>
      <c r="I27" s="963">
        <v>1500</v>
      </c>
      <c r="J27" s="964">
        <v>1500</v>
      </c>
      <c r="K27" s="367">
        <v>1</v>
      </c>
      <c r="L27" s="367">
        <f>IF($H27="",0,VLOOKUP($E27,Plan3!$A$16:$CT$384,$E$7,0)%)</f>
        <v>1</v>
      </c>
      <c r="M27" s="368">
        <f t="shared" si="24"/>
        <v>1</v>
      </c>
      <c r="N27" s="368">
        <f t="shared" si="25"/>
        <v>1500</v>
      </c>
      <c r="O27" s="367">
        <v>1</v>
      </c>
      <c r="P27" s="367">
        <f>VLOOKUP($E27,Plan3!$A$492:$P$858,13,0)%</f>
        <v>1</v>
      </c>
      <c r="Q27" s="368">
        <f t="shared" si="26"/>
        <v>1</v>
      </c>
      <c r="R27" s="368">
        <f t="shared" si="27"/>
        <v>1500</v>
      </c>
      <c r="S27" s="880">
        <v>1500</v>
      </c>
      <c r="T27" s="880">
        <f t="shared" si="28"/>
        <v>1500</v>
      </c>
      <c r="U27" s="880">
        <f>IF($I27="",0,($S27-$T27)*(1+('Econômico Macro'!$R$12/100)))</f>
        <v>0</v>
      </c>
      <c r="V27" s="880">
        <f t="shared" si="29"/>
        <v>1500</v>
      </c>
      <c r="W27" s="880">
        <f t="shared" si="30"/>
        <v>1500</v>
      </c>
      <c r="X27" s="367">
        <f t="shared" si="5"/>
        <v>0</v>
      </c>
      <c r="Y27" s="367">
        <f t="shared" si="6"/>
        <v>0</v>
      </c>
      <c r="Z27" s="367">
        <f t="shared" si="7"/>
        <v>0</v>
      </c>
      <c r="AA27" s="367">
        <f t="shared" si="8"/>
        <v>0</v>
      </c>
      <c r="AB27" s="369">
        <f t="shared" si="9"/>
        <v>0</v>
      </c>
      <c r="AC27" s="365"/>
      <c r="AD27" s="368">
        <v>1</v>
      </c>
      <c r="AE27" s="368">
        <f t="shared" si="31"/>
        <v>0</v>
      </c>
      <c r="AF27" s="365"/>
      <c r="AG27" s="863">
        <f t="shared" si="20"/>
        <v>0</v>
      </c>
      <c r="AH27" s="864">
        <f t="shared" si="32"/>
        <v>0</v>
      </c>
      <c r="AI27" s="863">
        <f t="shared" si="21"/>
        <v>0</v>
      </c>
      <c r="AJ27" s="864">
        <f t="shared" si="33"/>
        <v>0</v>
      </c>
      <c r="AK27" s="365"/>
      <c r="AL27" s="865">
        <f t="shared" si="22"/>
        <v>1500</v>
      </c>
      <c r="AM27" s="866">
        <f t="shared" si="34"/>
        <v>0</v>
      </c>
      <c r="AN27" s="866">
        <f t="shared" si="35"/>
        <v>0</v>
      </c>
      <c r="AO27" s="866">
        <f t="shared" si="36"/>
        <v>0</v>
      </c>
      <c r="AP27" s="867">
        <f t="shared" si="37"/>
        <v>0</v>
      </c>
      <c r="AQ27" s="591">
        <f t="shared" si="23"/>
        <v>0</v>
      </c>
      <c r="AR27" s="868">
        <f>IF(AND($L27=0,$P27=0)=TRUE,VLOOKUP($E27,Plan3!$A$16:$CT$487,$E$7+3,0)/100,0)</f>
        <v>0</v>
      </c>
      <c r="AS27" s="868">
        <f>IF(AND($L27=0,$P27=0)=TRUE,VLOOKUP($E27,Plan3!$A$16:$CT$487,$E$7+6,0)/100,0)</f>
        <v>0</v>
      </c>
      <c r="AT27" s="868">
        <f>IF(AND($L27=0,$P27=0)=TRUE,VLOOKUP($E27,Plan3!$A$16:$CT$487,$E$7+9,0)/100,0)</f>
        <v>0</v>
      </c>
      <c r="AU27" s="868">
        <f>IF(AND($L27=0,$P27=0)=TRUE,VLOOKUP($E27,Plan3!$A$16:$CT$487,$E$7+12,0)/100,0)</f>
        <v>0</v>
      </c>
      <c r="AV27" s="841"/>
      <c r="AW27" s="869">
        <f t="shared" si="38"/>
        <v>0</v>
      </c>
      <c r="AX27" s="870">
        <f t="shared" si="39"/>
        <v>0</v>
      </c>
      <c r="AY27" s="871">
        <f t="shared" si="40"/>
        <v>0</v>
      </c>
      <c r="AZ27" s="237" t="str">
        <f t="shared" si="10"/>
        <v xml:space="preserve">02.000.000.002 </v>
      </c>
      <c r="BA27" s="365"/>
      <c r="BB27" s="365"/>
      <c r="BC27" s="365"/>
      <c r="BD27" s="365"/>
      <c r="BE27" s="365"/>
      <c r="BF27" s="365"/>
      <c r="BG27" s="365"/>
      <c r="BH27" s="365"/>
      <c r="BI27" s="365"/>
      <c r="BJ27" s="365"/>
      <c r="BK27" s="365"/>
      <c r="BL27" s="872">
        <f t="shared" si="11"/>
        <v>0</v>
      </c>
      <c r="BM27" s="873">
        <f t="shared" si="12"/>
        <v>0</v>
      </c>
      <c r="BN27" s="874">
        <f t="shared" si="41"/>
        <v>0</v>
      </c>
      <c r="BO27" s="875">
        <f t="shared" si="13"/>
        <v>0</v>
      </c>
      <c r="BP27" s="875">
        <f t="shared" si="14"/>
        <v>0</v>
      </c>
      <c r="BQ27" s="876">
        <f t="shared" si="42"/>
        <v>0</v>
      </c>
      <c r="BR27" s="877">
        <f t="shared" si="43"/>
        <v>0</v>
      </c>
      <c r="BS27" s="875">
        <f t="shared" si="15"/>
        <v>0</v>
      </c>
      <c r="BT27" s="875">
        <f t="shared" si="16"/>
        <v>0</v>
      </c>
      <c r="BU27" s="878">
        <f t="shared" si="44"/>
        <v>0</v>
      </c>
      <c r="CE27" s="486">
        <v>16</v>
      </c>
    </row>
    <row r="28" spans="1:83" s="177" customFormat="1" ht="21.95" customHeight="1" x14ac:dyDescent="0.2">
      <c r="A28" s="237">
        <f t="shared" si="17"/>
        <v>0</v>
      </c>
      <c r="B28" s="237">
        <f t="shared" si="18"/>
        <v>0</v>
      </c>
      <c r="C28" s="393">
        <f t="shared" si="2"/>
        <v>0</v>
      </c>
      <c r="D28" s="393" t="str">
        <f t="shared" si="3"/>
        <v xml:space="preserve">02 </v>
      </c>
      <c r="E28" s="959" t="s">
        <v>85</v>
      </c>
      <c r="F28" s="959" t="s">
        <v>453</v>
      </c>
      <c r="G28" s="959" t="s">
        <v>7</v>
      </c>
      <c r="H28" s="960">
        <v>1</v>
      </c>
      <c r="I28" s="963">
        <v>3520</v>
      </c>
      <c r="J28" s="964">
        <v>3520</v>
      </c>
      <c r="K28" s="367">
        <v>1</v>
      </c>
      <c r="L28" s="367">
        <f>IF($H28="",0,VLOOKUP($E28,Plan3!$A$16:$CT$384,$E$7,0)%)</f>
        <v>1</v>
      </c>
      <c r="M28" s="368">
        <f t="shared" si="24"/>
        <v>1</v>
      </c>
      <c r="N28" s="368">
        <f t="shared" si="25"/>
        <v>3520</v>
      </c>
      <c r="O28" s="367">
        <v>1</v>
      </c>
      <c r="P28" s="367">
        <f>VLOOKUP($E28,Plan3!$A$492:$P$858,13,0)%</f>
        <v>1</v>
      </c>
      <c r="Q28" s="368">
        <f t="shared" si="26"/>
        <v>1</v>
      </c>
      <c r="R28" s="368">
        <f t="shared" si="27"/>
        <v>3520</v>
      </c>
      <c r="S28" s="880">
        <v>3520</v>
      </c>
      <c r="T28" s="880">
        <f t="shared" si="28"/>
        <v>3520</v>
      </c>
      <c r="U28" s="880">
        <f>IF($I28="",0,($S28-$T28)*(1+('Econômico Macro'!$R$12/100)))</f>
        <v>0</v>
      </c>
      <c r="V28" s="880">
        <f t="shared" si="29"/>
        <v>3520</v>
      </c>
      <c r="W28" s="880">
        <f t="shared" si="30"/>
        <v>3520</v>
      </c>
      <c r="X28" s="367">
        <f t="shared" si="5"/>
        <v>0</v>
      </c>
      <c r="Y28" s="367">
        <f t="shared" si="6"/>
        <v>0</v>
      </c>
      <c r="Z28" s="367">
        <f t="shared" si="7"/>
        <v>0</v>
      </c>
      <c r="AA28" s="367">
        <f t="shared" si="8"/>
        <v>0</v>
      </c>
      <c r="AB28" s="369">
        <f t="shared" si="9"/>
        <v>0</v>
      </c>
      <c r="AC28" s="365"/>
      <c r="AD28" s="368">
        <v>1</v>
      </c>
      <c r="AE28" s="368">
        <f t="shared" si="31"/>
        <v>0</v>
      </c>
      <c r="AF28" s="365"/>
      <c r="AG28" s="863">
        <f t="shared" si="20"/>
        <v>0</v>
      </c>
      <c r="AH28" s="864">
        <f t="shared" si="32"/>
        <v>0</v>
      </c>
      <c r="AI28" s="863">
        <f t="shared" si="21"/>
        <v>0</v>
      </c>
      <c r="AJ28" s="864">
        <f t="shared" si="33"/>
        <v>0</v>
      </c>
      <c r="AK28" s="365"/>
      <c r="AL28" s="865">
        <f t="shared" si="22"/>
        <v>3520</v>
      </c>
      <c r="AM28" s="866">
        <f t="shared" si="34"/>
        <v>0</v>
      </c>
      <c r="AN28" s="866">
        <f t="shared" si="35"/>
        <v>0</v>
      </c>
      <c r="AO28" s="866">
        <f t="shared" si="36"/>
        <v>0</v>
      </c>
      <c r="AP28" s="867">
        <f t="shared" si="37"/>
        <v>0</v>
      </c>
      <c r="AQ28" s="591">
        <f t="shared" si="23"/>
        <v>0</v>
      </c>
      <c r="AR28" s="868">
        <f>IF(AND($L28=0,$P28=0)=TRUE,VLOOKUP($E28,Plan3!$A$16:$CT$487,$E$7+3,0)/100,0)</f>
        <v>0</v>
      </c>
      <c r="AS28" s="868">
        <f>IF(AND($L28=0,$P28=0)=TRUE,VLOOKUP($E28,Plan3!$A$16:$CT$487,$E$7+6,0)/100,0)</f>
        <v>0</v>
      </c>
      <c r="AT28" s="868">
        <f>IF(AND($L28=0,$P28=0)=TRUE,VLOOKUP($E28,Plan3!$A$16:$CT$487,$E$7+9,0)/100,0)</f>
        <v>0</v>
      </c>
      <c r="AU28" s="868">
        <f>IF(AND($L28=0,$P28=0)=TRUE,VLOOKUP($E28,Plan3!$A$16:$CT$487,$E$7+12,0)/100,0)</f>
        <v>0</v>
      </c>
      <c r="AV28" s="841"/>
      <c r="AW28" s="869">
        <f t="shared" si="38"/>
        <v>0</v>
      </c>
      <c r="AX28" s="870">
        <f t="shared" si="39"/>
        <v>0</v>
      </c>
      <c r="AY28" s="871">
        <f t="shared" si="40"/>
        <v>0</v>
      </c>
      <c r="AZ28" s="237" t="str">
        <f t="shared" si="10"/>
        <v xml:space="preserve">02.000.000.003 </v>
      </c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872">
        <f t="shared" si="11"/>
        <v>0</v>
      </c>
      <c r="BM28" s="873">
        <f t="shared" si="12"/>
        <v>0</v>
      </c>
      <c r="BN28" s="874">
        <f t="shared" si="41"/>
        <v>0</v>
      </c>
      <c r="BO28" s="875">
        <f t="shared" si="13"/>
        <v>0</v>
      </c>
      <c r="BP28" s="875">
        <f t="shared" si="14"/>
        <v>0</v>
      </c>
      <c r="BQ28" s="876">
        <f t="shared" si="42"/>
        <v>0</v>
      </c>
      <c r="BR28" s="877">
        <f t="shared" si="43"/>
        <v>0</v>
      </c>
      <c r="BS28" s="875">
        <f t="shared" si="15"/>
        <v>0</v>
      </c>
      <c r="BT28" s="875">
        <f t="shared" si="16"/>
        <v>0</v>
      </c>
      <c r="BU28" s="878">
        <f t="shared" si="44"/>
        <v>0</v>
      </c>
      <c r="CE28" s="486">
        <v>17</v>
      </c>
    </row>
    <row r="29" spans="1:83" s="177" customFormat="1" ht="21.95" customHeight="1" x14ac:dyDescent="0.2">
      <c r="A29" s="237">
        <f t="shared" si="17"/>
        <v>0</v>
      </c>
      <c r="B29" s="237">
        <f t="shared" si="18"/>
        <v>15</v>
      </c>
      <c r="C29" s="393">
        <f t="shared" si="2"/>
        <v>0</v>
      </c>
      <c r="D29" s="393" t="str">
        <f t="shared" si="3"/>
        <v xml:space="preserve">02 </v>
      </c>
      <c r="E29" s="959" t="s">
        <v>157</v>
      </c>
      <c r="F29" s="959" t="s">
        <v>447</v>
      </c>
      <c r="G29" s="959" t="s">
        <v>7</v>
      </c>
      <c r="H29" s="960">
        <v>1</v>
      </c>
      <c r="I29" s="961">
        <v>12148</v>
      </c>
      <c r="J29" s="962">
        <v>12148</v>
      </c>
      <c r="K29" s="367">
        <v>0</v>
      </c>
      <c r="L29" s="367">
        <f>IF($H29="",0,VLOOKUP($E29,Plan3!$A$16:$CT$384,$E$7,0)%)</f>
        <v>0.18539999999999998</v>
      </c>
      <c r="M29" s="368">
        <f t="shared" si="24"/>
        <v>0.18539999999999998</v>
      </c>
      <c r="N29" s="368">
        <f t="shared" si="25"/>
        <v>2252.2392</v>
      </c>
      <c r="O29" s="367">
        <v>0</v>
      </c>
      <c r="P29" s="367">
        <f>VLOOKUP($E29,Plan3!$A$492:$P$858,13,0)%</f>
        <v>0.18329999999999999</v>
      </c>
      <c r="Q29" s="368">
        <f t="shared" si="26"/>
        <v>0.18329999999999999</v>
      </c>
      <c r="R29" s="368">
        <f t="shared" si="27"/>
        <v>2226.7284</v>
      </c>
      <c r="S29" s="880">
        <v>12288.916800000001</v>
      </c>
      <c r="T29" s="880">
        <f t="shared" si="28"/>
        <v>2252.55844944</v>
      </c>
      <c r="U29" s="880">
        <f>IF($I29="",0,($S29-$T29)*(1+('Econômico Macro'!$R$12/100)))</f>
        <v>10209.987350024689</v>
      </c>
      <c r="V29" s="880">
        <f t="shared" si="29"/>
        <v>12462.545799464689</v>
      </c>
      <c r="W29" s="880">
        <f t="shared" si="30"/>
        <v>2310.5559912207532</v>
      </c>
      <c r="X29" s="367">
        <f t="shared" si="5"/>
        <v>0.18539999999999998</v>
      </c>
      <c r="Y29" s="367">
        <f t="shared" si="6"/>
        <v>0.18329999999999999</v>
      </c>
      <c r="Z29" s="367">
        <f t="shared" si="7"/>
        <v>-2.0999999999999908E-3</v>
      </c>
      <c r="AA29" s="367">
        <f t="shared" si="8"/>
        <v>-2.0999999999999908E-3</v>
      </c>
      <c r="AB29" s="369" t="str">
        <f t="shared" si="9"/>
        <v>Atrasada</v>
      </c>
      <c r="AC29" s="365"/>
      <c r="AD29" s="368">
        <v>1</v>
      </c>
      <c r="AE29" s="368">
        <f t="shared" si="31"/>
        <v>-0.81669999999999998</v>
      </c>
      <c r="AF29" s="365"/>
      <c r="AG29" s="863">
        <f t="shared" si="20"/>
        <v>-25.510800000000017</v>
      </c>
      <c r="AH29" s="864">
        <f t="shared" si="32"/>
        <v>15</v>
      </c>
      <c r="AI29" s="863">
        <f t="shared" si="21"/>
        <v>0</v>
      </c>
      <c r="AJ29" s="864">
        <f t="shared" si="33"/>
        <v>0</v>
      </c>
      <c r="AK29" s="365"/>
      <c r="AL29" s="865">
        <f t="shared" si="22"/>
        <v>2226.7284</v>
      </c>
      <c r="AM29" s="866">
        <f t="shared" si="34"/>
        <v>-25.510800000000017</v>
      </c>
      <c r="AN29" s="866">
        <f t="shared" si="35"/>
        <v>3.4088274957759285E-4</v>
      </c>
      <c r="AO29" s="866">
        <f t="shared" si="36"/>
        <v>0</v>
      </c>
      <c r="AP29" s="867">
        <f t="shared" si="37"/>
        <v>0</v>
      </c>
      <c r="AQ29" s="591">
        <f t="shared" si="23"/>
        <v>0</v>
      </c>
      <c r="AR29" s="868">
        <f>IF(AND($L29=0,$P29=0)=TRUE,VLOOKUP($E29,Plan3!$A$16:$CT$487,$E$7+3,0)/100,0)</f>
        <v>0</v>
      </c>
      <c r="AS29" s="868">
        <f>IF(AND($L29=0,$P29=0)=TRUE,VLOOKUP($E29,Plan3!$A$16:$CT$487,$E$7+6,0)/100,0)</f>
        <v>0</v>
      </c>
      <c r="AT29" s="868">
        <f>IF(AND($L29=0,$P29=0)=TRUE,VLOOKUP($E29,Plan3!$A$16:$CT$487,$E$7+9,0)/100,0)</f>
        <v>0</v>
      </c>
      <c r="AU29" s="868">
        <f>IF(AND($L29=0,$P29=0)=TRUE,VLOOKUP($E29,Plan3!$A$16:$CT$487,$E$7+12,0)/100,0)</f>
        <v>0</v>
      </c>
      <c r="AV29" s="841"/>
      <c r="AW29" s="869">
        <f t="shared" si="38"/>
        <v>0</v>
      </c>
      <c r="AX29" s="870">
        <f t="shared" si="39"/>
        <v>0</v>
      </c>
      <c r="AY29" s="871">
        <f t="shared" si="40"/>
        <v>0</v>
      </c>
      <c r="AZ29" s="237" t="str">
        <f t="shared" si="10"/>
        <v xml:space="preserve">02.000.000.004 </v>
      </c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872">
        <f t="shared" si="11"/>
        <v>0</v>
      </c>
      <c r="BM29" s="873">
        <f t="shared" si="12"/>
        <v>0</v>
      </c>
      <c r="BN29" s="874">
        <f t="shared" si="41"/>
        <v>0</v>
      </c>
      <c r="BO29" s="875">
        <f t="shared" si="13"/>
        <v>0</v>
      </c>
      <c r="BP29" s="875">
        <f t="shared" si="14"/>
        <v>0</v>
      </c>
      <c r="BQ29" s="876">
        <f t="shared" si="42"/>
        <v>0</v>
      </c>
      <c r="BR29" s="877">
        <f t="shared" si="43"/>
        <v>0</v>
      </c>
      <c r="BS29" s="875">
        <f t="shared" si="15"/>
        <v>0</v>
      </c>
      <c r="BT29" s="875">
        <f t="shared" si="16"/>
        <v>0</v>
      </c>
      <c r="BU29" s="878">
        <f t="shared" si="44"/>
        <v>0</v>
      </c>
      <c r="CE29" s="486">
        <v>18</v>
      </c>
    </row>
    <row r="30" spans="1:83" s="177" customFormat="1" ht="21.95" customHeight="1" x14ac:dyDescent="0.2">
      <c r="A30" s="237">
        <f t="shared" si="17"/>
        <v>0</v>
      </c>
      <c r="B30" s="237">
        <f t="shared" si="18"/>
        <v>0</v>
      </c>
      <c r="C30" s="393">
        <f t="shared" si="2"/>
        <v>0</v>
      </c>
      <c r="D30" s="393" t="str">
        <f t="shared" si="3"/>
        <v xml:space="preserve">02 </v>
      </c>
      <c r="E30" s="959" t="s">
        <v>158</v>
      </c>
      <c r="F30" s="959" t="s">
        <v>434</v>
      </c>
      <c r="G30" s="959" t="s">
        <v>7</v>
      </c>
      <c r="H30" s="960">
        <v>1</v>
      </c>
      <c r="I30" s="963">
        <v>4000</v>
      </c>
      <c r="J30" s="964">
        <v>4000</v>
      </c>
      <c r="K30" s="367">
        <v>1</v>
      </c>
      <c r="L30" s="367">
        <f>IF($H30="",0,VLOOKUP($E30,Plan3!$A$16:$CT$384,$E$7,0)%)</f>
        <v>1</v>
      </c>
      <c r="M30" s="368">
        <f t="shared" si="24"/>
        <v>1</v>
      </c>
      <c r="N30" s="368">
        <f t="shared" si="25"/>
        <v>4000</v>
      </c>
      <c r="O30" s="367">
        <v>1</v>
      </c>
      <c r="P30" s="367">
        <f>VLOOKUP($E30,Plan3!$A$492:$P$858,13,0)%</f>
        <v>1</v>
      </c>
      <c r="Q30" s="368">
        <f t="shared" si="26"/>
        <v>1</v>
      </c>
      <c r="R30" s="368">
        <f t="shared" si="27"/>
        <v>4000</v>
      </c>
      <c r="S30" s="880">
        <v>4000</v>
      </c>
      <c r="T30" s="880">
        <f t="shared" si="28"/>
        <v>4000</v>
      </c>
      <c r="U30" s="880">
        <f>IF($I30="",0,($S30-$T30)*(1+('Econômico Macro'!$R$12/100)))</f>
        <v>0</v>
      </c>
      <c r="V30" s="880">
        <f t="shared" si="29"/>
        <v>4000</v>
      </c>
      <c r="W30" s="880">
        <f t="shared" si="30"/>
        <v>4000</v>
      </c>
      <c r="X30" s="367">
        <f t="shared" si="5"/>
        <v>0</v>
      </c>
      <c r="Y30" s="367">
        <f t="shared" si="6"/>
        <v>0</v>
      </c>
      <c r="Z30" s="367">
        <f t="shared" si="7"/>
        <v>0</v>
      </c>
      <c r="AA30" s="367">
        <f t="shared" si="8"/>
        <v>0</v>
      </c>
      <c r="AB30" s="369">
        <f t="shared" si="9"/>
        <v>0</v>
      </c>
      <c r="AC30" s="365"/>
      <c r="AD30" s="368">
        <v>1</v>
      </c>
      <c r="AE30" s="368">
        <f t="shared" si="31"/>
        <v>0</v>
      </c>
      <c r="AF30" s="365"/>
      <c r="AG30" s="863">
        <f t="shared" si="20"/>
        <v>0</v>
      </c>
      <c r="AH30" s="864">
        <f t="shared" si="32"/>
        <v>0</v>
      </c>
      <c r="AI30" s="863">
        <f t="shared" si="21"/>
        <v>0</v>
      </c>
      <c r="AJ30" s="864">
        <f t="shared" si="33"/>
        <v>0</v>
      </c>
      <c r="AK30" s="365"/>
      <c r="AL30" s="865">
        <f t="shared" si="22"/>
        <v>4000</v>
      </c>
      <c r="AM30" s="866">
        <f t="shared" si="34"/>
        <v>0</v>
      </c>
      <c r="AN30" s="866">
        <f t="shared" si="35"/>
        <v>0</v>
      </c>
      <c r="AO30" s="866">
        <f t="shared" si="36"/>
        <v>0</v>
      </c>
      <c r="AP30" s="867">
        <f t="shared" si="37"/>
        <v>0</v>
      </c>
      <c r="AQ30" s="591">
        <f t="shared" si="23"/>
        <v>0</v>
      </c>
      <c r="AR30" s="868">
        <f>IF(AND($L30=0,$P30=0)=TRUE,VLOOKUP($E30,Plan3!$A$16:$CT$487,$E$7+3,0)/100,0)</f>
        <v>0</v>
      </c>
      <c r="AS30" s="868">
        <f>IF(AND($L30=0,$P30=0)=TRUE,VLOOKUP($E30,Plan3!$A$16:$CT$487,$E$7+6,0)/100,0)</f>
        <v>0</v>
      </c>
      <c r="AT30" s="868">
        <f>IF(AND($L30=0,$P30=0)=TRUE,VLOOKUP($E30,Plan3!$A$16:$CT$487,$E$7+9,0)/100,0)</f>
        <v>0</v>
      </c>
      <c r="AU30" s="868">
        <f>IF(AND($L30=0,$P30=0)=TRUE,VLOOKUP($E30,Plan3!$A$16:$CT$487,$E$7+12,0)/100,0)</f>
        <v>0</v>
      </c>
      <c r="AV30" s="841"/>
      <c r="AW30" s="869">
        <f t="shared" si="38"/>
        <v>0</v>
      </c>
      <c r="AX30" s="870">
        <f t="shared" si="39"/>
        <v>0</v>
      </c>
      <c r="AY30" s="871">
        <f t="shared" si="40"/>
        <v>0</v>
      </c>
      <c r="AZ30" s="237" t="str">
        <f t="shared" si="10"/>
        <v xml:space="preserve">02.000.000.005 </v>
      </c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872">
        <f t="shared" si="11"/>
        <v>0</v>
      </c>
      <c r="BM30" s="873">
        <f t="shared" si="12"/>
        <v>0</v>
      </c>
      <c r="BN30" s="874">
        <f t="shared" si="41"/>
        <v>0</v>
      </c>
      <c r="BO30" s="875">
        <f t="shared" si="13"/>
        <v>0</v>
      </c>
      <c r="BP30" s="875">
        <f t="shared" si="14"/>
        <v>0</v>
      </c>
      <c r="BQ30" s="876">
        <f t="shared" si="42"/>
        <v>0</v>
      </c>
      <c r="BR30" s="877">
        <f t="shared" si="43"/>
        <v>0</v>
      </c>
      <c r="BS30" s="875">
        <f t="shared" si="15"/>
        <v>0</v>
      </c>
      <c r="BT30" s="875">
        <f t="shared" si="16"/>
        <v>0</v>
      </c>
      <c r="BU30" s="878">
        <f t="shared" si="44"/>
        <v>0</v>
      </c>
      <c r="CE30" s="486">
        <v>19</v>
      </c>
    </row>
    <row r="31" spans="1:83" s="177" customFormat="1" ht="21.95" customHeight="1" x14ac:dyDescent="0.2">
      <c r="A31" s="237">
        <f t="shared" si="17"/>
        <v>0</v>
      </c>
      <c r="B31" s="237">
        <f t="shared" si="18"/>
        <v>0</v>
      </c>
      <c r="C31" s="393">
        <f t="shared" si="2"/>
        <v>0</v>
      </c>
      <c r="D31" s="393" t="str">
        <f t="shared" si="3"/>
        <v xml:space="preserve">02 </v>
      </c>
      <c r="E31" s="959" t="s">
        <v>518</v>
      </c>
      <c r="F31" s="959" t="s">
        <v>1378</v>
      </c>
      <c r="G31" s="959" t="s">
        <v>7</v>
      </c>
      <c r="H31" s="960">
        <v>1</v>
      </c>
      <c r="I31" s="963">
        <v>3000</v>
      </c>
      <c r="J31" s="964">
        <v>3000</v>
      </c>
      <c r="K31" s="367">
        <v>1</v>
      </c>
      <c r="L31" s="367">
        <f>IF($H31="",0,VLOOKUP($E31,Plan3!$A$16:$CT$384,$E$7,0)%)</f>
        <v>1</v>
      </c>
      <c r="M31" s="368">
        <f t="shared" si="24"/>
        <v>1</v>
      </c>
      <c r="N31" s="368">
        <f t="shared" si="25"/>
        <v>3000</v>
      </c>
      <c r="O31" s="367">
        <v>1</v>
      </c>
      <c r="P31" s="367">
        <f>VLOOKUP($E31,Plan3!$A$492:$P$858,13,0)%</f>
        <v>1</v>
      </c>
      <c r="Q31" s="368">
        <f t="shared" si="26"/>
        <v>1</v>
      </c>
      <c r="R31" s="368">
        <f t="shared" si="27"/>
        <v>3000</v>
      </c>
      <c r="S31" s="880">
        <v>3000</v>
      </c>
      <c r="T31" s="880">
        <f t="shared" si="28"/>
        <v>3000</v>
      </c>
      <c r="U31" s="880">
        <f>IF($I31="",0,($S31-$T31)*(1+('Econômico Macro'!$R$12/100)))</f>
        <v>0</v>
      </c>
      <c r="V31" s="880">
        <f t="shared" si="29"/>
        <v>3000</v>
      </c>
      <c r="W31" s="880">
        <f t="shared" si="30"/>
        <v>3000</v>
      </c>
      <c r="X31" s="367">
        <f t="shared" si="5"/>
        <v>0</v>
      </c>
      <c r="Y31" s="367">
        <f t="shared" si="6"/>
        <v>0</v>
      </c>
      <c r="Z31" s="367">
        <f t="shared" si="7"/>
        <v>0</v>
      </c>
      <c r="AA31" s="367">
        <f t="shared" si="8"/>
        <v>0</v>
      </c>
      <c r="AB31" s="369">
        <f t="shared" si="9"/>
        <v>0</v>
      </c>
      <c r="AC31" s="365"/>
      <c r="AD31" s="368">
        <v>1</v>
      </c>
      <c r="AE31" s="368">
        <f t="shared" si="31"/>
        <v>0</v>
      </c>
      <c r="AF31" s="365"/>
      <c r="AG31" s="863">
        <f t="shared" si="20"/>
        <v>0</v>
      </c>
      <c r="AH31" s="864">
        <f t="shared" si="32"/>
        <v>0</v>
      </c>
      <c r="AI31" s="863">
        <f t="shared" si="21"/>
        <v>0</v>
      </c>
      <c r="AJ31" s="864">
        <f t="shared" si="33"/>
        <v>0</v>
      </c>
      <c r="AK31" s="365"/>
      <c r="AL31" s="865">
        <f t="shared" si="22"/>
        <v>3000</v>
      </c>
      <c r="AM31" s="866">
        <f t="shared" si="34"/>
        <v>0</v>
      </c>
      <c r="AN31" s="866">
        <f t="shared" si="35"/>
        <v>0</v>
      </c>
      <c r="AO31" s="866">
        <f t="shared" si="36"/>
        <v>0</v>
      </c>
      <c r="AP31" s="867">
        <f t="shared" si="37"/>
        <v>0</v>
      </c>
      <c r="AQ31" s="591">
        <f t="shared" si="23"/>
        <v>0</v>
      </c>
      <c r="AR31" s="868">
        <f>IF(AND($L31=0,$P31=0)=TRUE,VLOOKUP($E31,Plan3!$A$16:$CT$487,$E$7+3,0)/100,0)</f>
        <v>0</v>
      </c>
      <c r="AS31" s="868">
        <f>IF(AND($L31=0,$P31=0)=TRUE,VLOOKUP($E31,Plan3!$A$16:$CT$487,$E$7+6,0)/100,0)</f>
        <v>0</v>
      </c>
      <c r="AT31" s="868">
        <f>IF(AND($L31=0,$P31=0)=TRUE,VLOOKUP($E31,Plan3!$A$16:$CT$487,$E$7+9,0)/100,0)</f>
        <v>0</v>
      </c>
      <c r="AU31" s="868">
        <f>IF(AND($L31=0,$P31=0)=TRUE,VLOOKUP($E31,Plan3!$A$16:$CT$487,$E$7+12,0)/100,0)</f>
        <v>0</v>
      </c>
      <c r="AV31" s="841"/>
      <c r="AW31" s="869">
        <f t="shared" si="38"/>
        <v>0</v>
      </c>
      <c r="AX31" s="870">
        <f t="shared" si="39"/>
        <v>0</v>
      </c>
      <c r="AY31" s="871">
        <f t="shared" si="40"/>
        <v>0</v>
      </c>
      <c r="AZ31" s="237" t="str">
        <f t="shared" si="10"/>
        <v xml:space="preserve">02.000.000.006 </v>
      </c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872">
        <f t="shared" si="11"/>
        <v>0</v>
      </c>
      <c r="BM31" s="873">
        <f t="shared" si="12"/>
        <v>0</v>
      </c>
      <c r="BN31" s="874">
        <f t="shared" si="41"/>
        <v>0</v>
      </c>
      <c r="BO31" s="875">
        <f t="shared" si="13"/>
        <v>0</v>
      </c>
      <c r="BP31" s="875">
        <f t="shared" si="14"/>
        <v>0</v>
      </c>
      <c r="BQ31" s="876">
        <f t="shared" si="42"/>
        <v>0</v>
      </c>
      <c r="BR31" s="877">
        <f t="shared" si="43"/>
        <v>0</v>
      </c>
      <c r="BS31" s="875">
        <f t="shared" si="15"/>
        <v>0</v>
      </c>
      <c r="BT31" s="875">
        <f t="shared" si="16"/>
        <v>0</v>
      </c>
      <c r="BU31" s="878">
        <f t="shared" si="44"/>
        <v>0</v>
      </c>
      <c r="CE31" s="486">
        <v>20</v>
      </c>
    </row>
    <row r="32" spans="1:83" s="177" customFormat="1" ht="21.95" customHeight="1" x14ac:dyDescent="0.2">
      <c r="A32" s="237">
        <f t="shared" si="17"/>
        <v>0</v>
      </c>
      <c r="B32" s="237">
        <f t="shared" si="18"/>
        <v>0</v>
      </c>
      <c r="C32" s="393">
        <f t="shared" si="2"/>
        <v>0</v>
      </c>
      <c r="D32" s="393" t="str">
        <f t="shared" si="3"/>
        <v xml:space="preserve">02 </v>
      </c>
      <c r="E32" s="959" t="s">
        <v>519</v>
      </c>
      <c r="F32" s="959" t="s">
        <v>1379</v>
      </c>
      <c r="G32" s="959" t="s">
        <v>7</v>
      </c>
      <c r="H32" s="960">
        <v>1</v>
      </c>
      <c r="I32" s="961">
        <v>10000</v>
      </c>
      <c r="J32" s="962">
        <v>10000</v>
      </c>
      <c r="K32" s="367">
        <v>0</v>
      </c>
      <c r="L32" s="367">
        <f>IF($H32="",0,VLOOKUP($E32,Plan3!$A$16:$CT$384,$E$7,0)%)</f>
        <v>0</v>
      </c>
      <c r="M32" s="368">
        <f t="shared" si="24"/>
        <v>0</v>
      </c>
      <c r="N32" s="368">
        <f t="shared" si="25"/>
        <v>0</v>
      </c>
      <c r="O32" s="367">
        <v>0</v>
      </c>
      <c r="P32" s="367">
        <f>VLOOKUP($E32,Plan3!$A$492:$P$858,13,0)%</f>
        <v>0</v>
      </c>
      <c r="Q32" s="368">
        <f t="shared" si="26"/>
        <v>0</v>
      </c>
      <c r="R32" s="368">
        <f t="shared" si="27"/>
        <v>0</v>
      </c>
      <c r="S32" s="880">
        <v>10116</v>
      </c>
      <c r="T32" s="880">
        <f t="shared" si="28"/>
        <v>0</v>
      </c>
      <c r="U32" s="880">
        <f>IF($I32="",0,($S32-$T32)*(1+('Econômico Macro'!$R$12/100)))</f>
        <v>10291.006800000001</v>
      </c>
      <c r="V32" s="880">
        <f t="shared" si="29"/>
        <v>10291.006800000001</v>
      </c>
      <c r="W32" s="880">
        <f t="shared" si="30"/>
        <v>0</v>
      </c>
      <c r="X32" s="367">
        <f t="shared" si="5"/>
        <v>0</v>
      </c>
      <c r="Y32" s="367">
        <f t="shared" si="6"/>
        <v>0</v>
      </c>
      <c r="Z32" s="367">
        <f t="shared" si="7"/>
        <v>0</v>
      </c>
      <c r="AA32" s="367">
        <f t="shared" si="8"/>
        <v>0</v>
      </c>
      <c r="AB32" s="369" t="str">
        <f t="shared" si="9"/>
        <v>Não Iniciada</v>
      </c>
      <c r="AC32" s="365"/>
      <c r="AD32" s="368">
        <v>1</v>
      </c>
      <c r="AE32" s="368">
        <f t="shared" si="31"/>
        <v>-1</v>
      </c>
      <c r="AF32" s="365"/>
      <c r="AG32" s="863">
        <f t="shared" si="20"/>
        <v>0</v>
      </c>
      <c r="AH32" s="864">
        <f t="shared" si="32"/>
        <v>0</v>
      </c>
      <c r="AI32" s="863">
        <f t="shared" si="21"/>
        <v>0</v>
      </c>
      <c r="AJ32" s="864">
        <f t="shared" si="33"/>
        <v>0</v>
      </c>
      <c r="AK32" s="365"/>
      <c r="AL32" s="865">
        <f t="shared" si="22"/>
        <v>0</v>
      </c>
      <c r="AM32" s="866">
        <f t="shared" si="34"/>
        <v>0</v>
      </c>
      <c r="AN32" s="866">
        <f t="shared" si="35"/>
        <v>0</v>
      </c>
      <c r="AO32" s="866">
        <f t="shared" si="36"/>
        <v>0</v>
      </c>
      <c r="AP32" s="867">
        <f t="shared" si="37"/>
        <v>0</v>
      </c>
      <c r="AQ32" s="591">
        <f t="shared" si="23"/>
        <v>0</v>
      </c>
      <c r="AR32" s="868">
        <f>IF(AND($L32=0,$P32=0)=TRUE,VLOOKUP($E32,Plan3!$A$16:$CT$487,$E$7+3,0)/100,0)</f>
        <v>0</v>
      </c>
      <c r="AS32" s="868">
        <f>IF(AND($L32=0,$P32=0)=TRUE,VLOOKUP($E32,Plan3!$A$16:$CT$487,$E$7+6,0)/100,0)</f>
        <v>0</v>
      </c>
      <c r="AT32" s="868">
        <f>IF(AND($L32=0,$P32=0)=TRUE,VLOOKUP($E32,Plan3!$A$16:$CT$487,$E$7+9,0)/100,0)</f>
        <v>0</v>
      </c>
      <c r="AU32" s="868">
        <f>IF(AND($L32=0,$P32=0)=TRUE,VLOOKUP($E32,Plan3!$A$16:$CT$487,$E$7+12,0)/100,0)</f>
        <v>0</v>
      </c>
      <c r="AV32" s="841"/>
      <c r="AW32" s="869">
        <f t="shared" si="38"/>
        <v>0</v>
      </c>
      <c r="AX32" s="870">
        <f t="shared" si="39"/>
        <v>0</v>
      </c>
      <c r="AY32" s="871">
        <f t="shared" si="40"/>
        <v>0</v>
      </c>
      <c r="AZ32" s="237" t="str">
        <f t="shared" si="10"/>
        <v xml:space="preserve">02.000.000.007 </v>
      </c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872">
        <f t="shared" si="11"/>
        <v>0</v>
      </c>
      <c r="BM32" s="873">
        <f t="shared" si="12"/>
        <v>0</v>
      </c>
      <c r="BN32" s="874">
        <f t="shared" si="41"/>
        <v>0</v>
      </c>
      <c r="BO32" s="875">
        <f t="shared" si="13"/>
        <v>0</v>
      </c>
      <c r="BP32" s="875">
        <f t="shared" si="14"/>
        <v>0</v>
      </c>
      <c r="BQ32" s="876">
        <f t="shared" si="42"/>
        <v>0</v>
      </c>
      <c r="BR32" s="877">
        <f t="shared" si="43"/>
        <v>0</v>
      </c>
      <c r="BS32" s="875">
        <f t="shared" si="15"/>
        <v>0</v>
      </c>
      <c r="BT32" s="875">
        <f t="shared" si="16"/>
        <v>0</v>
      </c>
      <c r="BU32" s="878">
        <f t="shared" si="44"/>
        <v>0</v>
      </c>
      <c r="CE32" s="486">
        <v>21</v>
      </c>
    </row>
    <row r="33" spans="1:83" s="177" customFormat="1" ht="21.95" customHeight="1" x14ac:dyDescent="0.2">
      <c r="A33" s="237">
        <f t="shared" si="17"/>
        <v>0</v>
      </c>
      <c r="B33" s="237">
        <f t="shared" si="18"/>
        <v>0</v>
      </c>
      <c r="C33" s="393" t="str">
        <f t="shared" si="2"/>
        <v xml:space="preserve">03 </v>
      </c>
      <c r="D33" s="393" t="str">
        <f t="shared" si="3"/>
        <v xml:space="preserve">03 </v>
      </c>
      <c r="E33" s="161" t="s">
        <v>86</v>
      </c>
      <c r="F33" s="161" t="s">
        <v>595</v>
      </c>
      <c r="G33" s="162"/>
      <c r="H33" s="162"/>
      <c r="I33" s="162"/>
      <c r="J33" s="163">
        <v>42635.11</v>
      </c>
      <c r="K33" s="164">
        <v>0.51579906795127295</v>
      </c>
      <c r="L33" s="164">
        <f t="array" ref="L33">SUM(IF($D34:$D$379=$E33,$L34:$L$379*$J34:$J$379))/$J33</f>
        <v>0.51579906795127295</v>
      </c>
      <c r="M33" s="163"/>
      <c r="N33" s="163">
        <f>$L33*$J33</f>
        <v>21991.149999999998</v>
      </c>
      <c r="O33" s="164">
        <v>0.65650704313885888</v>
      </c>
      <c r="P33" s="164">
        <f t="array" ref="P33">SUM(IF($D34:$D$379=$E33,$P34:$P$379*$J34:$J$379))/$J33</f>
        <v>0.65650704313885888</v>
      </c>
      <c r="Q33" s="163">
        <f>$P33*$H33</f>
        <v>0</v>
      </c>
      <c r="R33" s="163">
        <f>$P33*$J33</f>
        <v>27990.249999999993</v>
      </c>
      <c r="S33" s="163">
        <v>42804.990376000002</v>
      </c>
      <c r="T33" s="163">
        <f>SUM(T34:T51)</f>
        <v>27996.05</v>
      </c>
      <c r="U33" s="163"/>
      <c r="V33" s="163">
        <f t="shared" ref="V33:W33" si="46">SUM(V34:V51)</f>
        <v>43061.185044504804</v>
      </c>
      <c r="W33" s="163">
        <f t="shared" si="46"/>
        <v>22005.650169999997</v>
      </c>
      <c r="X33" s="164">
        <f t="shared" si="5"/>
        <v>0</v>
      </c>
      <c r="Y33" s="164">
        <f t="shared" si="6"/>
        <v>0</v>
      </c>
      <c r="Z33" s="164">
        <f t="shared" si="7"/>
        <v>0.14070797518758593</v>
      </c>
      <c r="AA33" s="164">
        <f t="shared" si="8"/>
        <v>0</v>
      </c>
      <c r="AB33" s="201" t="str">
        <f t="shared" si="9"/>
        <v>Adiantada</v>
      </c>
      <c r="AC33" s="155" t="s">
        <v>763</v>
      </c>
      <c r="AD33" s="689">
        <v>0</v>
      </c>
      <c r="AE33" s="835">
        <f>Q33-AD33</f>
        <v>0</v>
      </c>
      <c r="AF33" s="155"/>
      <c r="AG33" s="207"/>
      <c r="AH33" s="208"/>
      <c r="AI33" s="207"/>
      <c r="AJ33" s="208"/>
      <c r="AK33" s="155"/>
      <c r="AL33" s="212"/>
      <c r="AM33" s="209"/>
      <c r="AN33" s="209"/>
      <c r="AO33" s="209"/>
      <c r="AP33" s="213"/>
      <c r="AQ33" s="401"/>
      <c r="AR33" s="247"/>
      <c r="AS33" s="247"/>
      <c r="AT33" s="247"/>
      <c r="AU33" s="247"/>
      <c r="AV33" s="155"/>
      <c r="AW33" s="250"/>
      <c r="AX33" s="248"/>
      <c r="AY33" s="402"/>
      <c r="AZ33" s="237" t="str">
        <f t="shared" si="10"/>
        <v xml:space="preserve">03 </v>
      </c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666" t="str">
        <f t="shared" si="11"/>
        <v xml:space="preserve">03 </v>
      </c>
      <c r="BM33" s="667">
        <f t="shared" si="12"/>
        <v>27990.249999999993</v>
      </c>
      <c r="BN33" s="668">
        <f>IF($BQ33=0,0,RANK($BQ33,$BQ$12:$BQ$379))</f>
        <v>0</v>
      </c>
      <c r="BO33" s="669">
        <f t="shared" si="13"/>
        <v>0</v>
      </c>
      <c r="BP33" s="669">
        <f t="shared" si="14"/>
        <v>0</v>
      </c>
      <c r="BQ33" s="670">
        <f>IF($BP33=0,0,$BP33/$BP$380)</f>
        <v>0</v>
      </c>
      <c r="BR33" s="671">
        <f>IF($BU33=0,0,RANK($BU33,$BU$12:$BU$379))</f>
        <v>1</v>
      </c>
      <c r="BS33" s="669" t="str">
        <f t="shared" si="15"/>
        <v xml:space="preserve">03 </v>
      </c>
      <c r="BT33" s="669">
        <f t="shared" si="16"/>
        <v>5999.0999999999949</v>
      </c>
      <c r="BU33" s="672">
        <f>IF($BT33=0,0,$BT33/$BT$380)</f>
        <v>1</v>
      </c>
      <c r="CE33" s="486">
        <v>22</v>
      </c>
    </row>
    <row r="34" spans="1:83" s="177" customFormat="1" ht="21.95" customHeight="1" x14ac:dyDescent="0.2">
      <c r="A34" s="237">
        <f t="shared" si="17"/>
        <v>0</v>
      </c>
      <c r="B34" s="237">
        <f t="shared" si="18"/>
        <v>0</v>
      </c>
      <c r="C34" s="393">
        <f t="shared" si="2"/>
        <v>0</v>
      </c>
      <c r="D34" s="393" t="str">
        <f t="shared" si="3"/>
        <v xml:space="preserve">03 </v>
      </c>
      <c r="E34" s="959" t="s">
        <v>87</v>
      </c>
      <c r="F34" s="959" t="s">
        <v>436</v>
      </c>
      <c r="G34" s="959" t="s">
        <v>7</v>
      </c>
      <c r="H34" s="960">
        <v>1</v>
      </c>
      <c r="I34" s="963">
        <v>2500</v>
      </c>
      <c r="J34" s="964">
        <v>2500</v>
      </c>
      <c r="K34" s="367">
        <v>1</v>
      </c>
      <c r="L34" s="367">
        <f>IF($H34="",0,VLOOKUP($E34,Plan3!$A$16:$CT$384,$E$7,0)%)</f>
        <v>1</v>
      </c>
      <c r="M34" s="368">
        <f t="shared" si="24"/>
        <v>1</v>
      </c>
      <c r="N34" s="368">
        <f t="shared" si="25"/>
        <v>2500</v>
      </c>
      <c r="O34" s="367">
        <v>1</v>
      </c>
      <c r="P34" s="367">
        <f>VLOOKUP($E34,Plan3!$A$492:$P$858,13,0)%</f>
        <v>1</v>
      </c>
      <c r="Q34" s="368">
        <f t="shared" si="26"/>
        <v>1</v>
      </c>
      <c r="R34" s="368">
        <f t="shared" si="27"/>
        <v>2500</v>
      </c>
      <c r="S34" s="880">
        <v>2500</v>
      </c>
      <c r="T34" s="880">
        <f t="shared" si="28"/>
        <v>2500</v>
      </c>
      <c r="U34" s="880">
        <f>IF($I34="",0,($S34-$T34)*(1+('Econômico Macro'!$R$12/100)))</f>
        <v>0</v>
      </c>
      <c r="V34" s="880">
        <f t="shared" si="29"/>
        <v>2500</v>
      </c>
      <c r="W34" s="880">
        <f t="shared" si="30"/>
        <v>2500</v>
      </c>
      <c r="X34" s="367">
        <f t="shared" si="5"/>
        <v>0</v>
      </c>
      <c r="Y34" s="367">
        <f t="shared" si="6"/>
        <v>0</v>
      </c>
      <c r="Z34" s="367">
        <f t="shared" si="7"/>
        <v>0</v>
      </c>
      <c r="AA34" s="367">
        <f t="shared" si="8"/>
        <v>0</v>
      </c>
      <c r="AB34" s="369">
        <f t="shared" si="9"/>
        <v>0</v>
      </c>
      <c r="AC34" s="365"/>
      <c r="AD34" s="368">
        <v>1</v>
      </c>
      <c r="AE34" s="368">
        <f t="shared" si="31"/>
        <v>0</v>
      </c>
      <c r="AF34" s="365"/>
      <c r="AG34" s="863">
        <f t="shared" si="20"/>
        <v>0</v>
      </c>
      <c r="AH34" s="864">
        <f t="shared" si="32"/>
        <v>0</v>
      </c>
      <c r="AI34" s="863">
        <f t="shared" si="21"/>
        <v>0</v>
      </c>
      <c r="AJ34" s="864">
        <f t="shared" si="33"/>
        <v>0</v>
      </c>
      <c r="AK34" s="365"/>
      <c r="AL34" s="865">
        <f t="shared" si="22"/>
        <v>2500</v>
      </c>
      <c r="AM34" s="866">
        <f t="shared" si="34"/>
        <v>0</v>
      </c>
      <c r="AN34" s="866">
        <f t="shared" si="35"/>
        <v>0</v>
      </c>
      <c r="AO34" s="866">
        <f t="shared" si="36"/>
        <v>0</v>
      </c>
      <c r="AP34" s="867">
        <f t="shared" si="37"/>
        <v>0</v>
      </c>
      <c r="AQ34" s="591">
        <f t="shared" si="23"/>
        <v>0</v>
      </c>
      <c r="AR34" s="868">
        <f>IF(AND($L34=0,$P34=0)=TRUE,VLOOKUP($E34,Plan3!$A$16:$CT$487,$E$7+3,0)/100,0)</f>
        <v>0</v>
      </c>
      <c r="AS34" s="868">
        <f>IF(AND($L34=0,$P34=0)=TRUE,VLOOKUP($E34,Plan3!$A$16:$CT$487,$E$7+6,0)/100,0)</f>
        <v>0</v>
      </c>
      <c r="AT34" s="868">
        <f>IF(AND($L34=0,$P34=0)=TRUE,VLOOKUP($E34,Plan3!$A$16:$CT$487,$E$7+9,0)/100,0)</f>
        <v>0</v>
      </c>
      <c r="AU34" s="868">
        <f>IF(AND($L34=0,$P34=0)=TRUE,VLOOKUP($E34,Plan3!$A$16:$CT$487,$E$7+12,0)/100,0)</f>
        <v>0</v>
      </c>
      <c r="AV34" s="841"/>
      <c r="AW34" s="869">
        <f t="shared" si="38"/>
        <v>0</v>
      </c>
      <c r="AX34" s="870">
        <f t="shared" si="39"/>
        <v>0</v>
      </c>
      <c r="AY34" s="871">
        <f t="shared" si="40"/>
        <v>0</v>
      </c>
      <c r="AZ34" s="237" t="str">
        <f t="shared" si="10"/>
        <v xml:space="preserve">03.000.000.001 </v>
      </c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872">
        <f t="shared" si="11"/>
        <v>0</v>
      </c>
      <c r="BM34" s="873">
        <f t="shared" si="12"/>
        <v>0</v>
      </c>
      <c r="BN34" s="874">
        <f t="shared" si="41"/>
        <v>0</v>
      </c>
      <c r="BO34" s="875">
        <f t="shared" si="13"/>
        <v>0</v>
      </c>
      <c r="BP34" s="875">
        <f t="shared" si="14"/>
        <v>0</v>
      </c>
      <c r="BQ34" s="876">
        <f t="shared" si="42"/>
        <v>0</v>
      </c>
      <c r="BR34" s="877">
        <f t="shared" si="43"/>
        <v>0</v>
      </c>
      <c r="BS34" s="875">
        <f t="shared" si="15"/>
        <v>0</v>
      </c>
      <c r="BT34" s="875">
        <f t="shared" si="16"/>
        <v>0</v>
      </c>
      <c r="BU34" s="878">
        <f t="shared" si="44"/>
        <v>0</v>
      </c>
      <c r="CE34" s="486">
        <v>23</v>
      </c>
    </row>
    <row r="35" spans="1:83" s="177" customFormat="1" ht="21.95" customHeight="1" x14ac:dyDescent="0.2">
      <c r="A35" s="237">
        <f t="shared" si="17"/>
        <v>3</v>
      </c>
      <c r="B35" s="237">
        <f t="shared" si="18"/>
        <v>0</v>
      </c>
      <c r="C35" s="393">
        <f t="shared" si="2"/>
        <v>0</v>
      </c>
      <c r="D35" s="393" t="str">
        <f t="shared" si="3"/>
        <v xml:space="preserve">03 </v>
      </c>
      <c r="E35" s="959" t="s">
        <v>88</v>
      </c>
      <c r="F35" s="959" t="s">
        <v>426</v>
      </c>
      <c r="G35" s="959" t="s">
        <v>7</v>
      </c>
      <c r="H35" s="960">
        <v>1</v>
      </c>
      <c r="I35" s="963">
        <v>4000</v>
      </c>
      <c r="J35" s="964">
        <v>4000</v>
      </c>
      <c r="K35" s="367">
        <v>0.5</v>
      </c>
      <c r="L35" s="367">
        <f>IF($H35="",0,VLOOKUP($E35,Plan3!$A$16:$CT$384,$E$7,0)%)</f>
        <v>0.5</v>
      </c>
      <c r="M35" s="368">
        <f t="shared" si="24"/>
        <v>0.5</v>
      </c>
      <c r="N35" s="368">
        <f t="shared" si="25"/>
        <v>2000</v>
      </c>
      <c r="O35" s="367">
        <v>1</v>
      </c>
      <c r="P35" s="367">
        <f>VLOOKUP($E35,Plan3!$A$492:$P$858,13,0)%</f>
        <v>1</v>
      </c>
      <c r="Q35" s="368">
        <f t="shared" si="26"/>
        <v>1</v>
      </c>
      <c r="R35" s="368">
        <f t="shared" si="27"/>
        <v>4000</v>
      </c>
      <c r="S35" s="880">
        <v>4000</v>
      </c>
      <c r="T35" s="880">
        <f t="shared" si="28"/>
        <v>4000</v>
      </c>
      <c r="U35" s="880">
        <f>IF($I35="",0,($S35-$T35)*(1+('Econômico Macro'!$R$12/100)))</f>
        <v>0</v>
      </c>
      <c r="V35" s="880">
        <f t="shared" si="29"/>
        <v>4000</v>
      </c>
      <c r="W35" s="880">
        <f t="shared" si="30"/>
        <v>2000</v>
      </c>
      <c r="X35" s="367">
        <f t="shared" si="5"/>
        <v>0</v>
      </c>
      <c r="Y35" s="367">
        <f t="shared" si="6"/>
        <v>0</v>
      </c>
      <c r="Z35" s="367">
        <f t="shared" si="7"/>
        <v>0.5</v>
      </c>
      <c r="AA35" s="367">
        <f t="shared" si="8"/>
        <v>0</v>
      </c>
      <c r="AB35" s="369" t="str">
        <f t="shared" si="9"/>
        <v>Adiantada</v>
      </c>
      <c r="AC35" s="365"/>
      <c r="AD35" s="368">
        <v>1</v>
      </c>
      <c r="AE35" s="368">
        <f t="shared" si="31"/>
        <v>0</v>
      </c>
      <c r="AF35" s="365"/>
      <c r="AG35" s="863">
        <f t="shared" si="20"/>
        <v>0</v>
      </c>
      <c r="AH35" s="864">
        <f t="shared" si="32"/>
        <v>0</v>
      </c>
      <c r="AI35" s="863">
        <f t="shared" si="21"/>
        <v>2000</v>
      </c>
      <c r="AJ35" s="864">
        <f t="shared" si="33"/>
        <v>3</v>
      </c>
      <c r="AK35" s="365"/>
      <c r="AL35" s="865">
        <f t="shared" si="22"/>
        <v>4000</v>
      </c>
      <c r="AM35" s="866">
        <f t="shared" si="34"/>
        <v>0</v>
      </c>
      <c r="AN35" s="866">
        <f t="shared" si="35"/>
        <v>0</v>
      </c>
      <c r="AO35" s="866">
        <f t="shared" si="36"/>
        <v>2000</v>
      </c>
      <c r="AP35" s="867">
        <f t="shared" si="37"/>
        <v>0.16170789409426597</v>
      </c>
      <c r="AQ35" s="591">
        <f t="shared" si="23"/>
        <v>0</v>
      </c>
      <c r="AR35" s="868">
        <f>IF(AND($L35=0,$P35=0)=TRUE,VLOOKUP($E35,Plan3!$A$16:$CT$487,$E$7+3,0)/100,0)</f>
        <v>0</v>
      </c>
      <c r="AS35" s="868">
        <f>IF(AND($L35=0,$P35=0)=TRUE,VLOOKUP($E35,Plan3!$A$16:$CT$487,$E$7+6,0)/100,0)</f>
        <v>0</v>
      </c>
      <c r="AT35" s="868">
        <f>IF(AND($L35=0,$P35=0)=TRUE,VLOOKUP($E35,Plan3!$A$16:$CT$487,$E$7+9,0)/100,0)</f>
        <v>0</v>
      </c>
      <c r="AU35" s="868">
        <f>IF(AND($L35=0,$P35=0)=TRUE,VLOOKUP($E35,Plan3!$A$16:$CT$487,$E$7+12,0)/100,0)</f>
        <v>0</v>
      </c>
      <c r="AV35" s="841"/>
      <c r="AW35" s="869">
        <f t="shared" si="38"/>
        <v>0</v>
      </c>
      <c r="AX35" s="870">
        <f t="shared" si="39"/>
        <v>0</v>
      </c>
      <c r="AY35" s="871">
        <f t="shared" si="40"/>
        <v>0</v>
      </c>
      <c r="AZ35" s="237" t="str">
        <f t="shared" si="10"/>
        <v xml:space="preserve">03.000.000.002 </v>
      </c>
      <c r="BA35" s="365"/>
      <c r="BB35" s="365"/>
      <c r="BC35" s="365"/>
      <c r="BD35" s="365"/>
      <c r="BE35" s="365"/>
      <c r="BF35" s="365"/>
      <c r="BG35" s="365"/>
      <c r="BH35" s="365"/>
      <c r="BI35" s="365"/>
      <c r="BJ35" s="365"/>
      <c r="BK35" s="365"/>
      <c r="BL35" s="872">
        <f t="shared" si="11"/>
        <v>0</v>
      </c>
      <c r="BM35" s="873">
        <f t="shared" si="12"/>
        <v>0</v>
      </c>
      <c r="BN35" s="874">
        <f t="shared" si="41"/>
        <v>0</v>
      </c>
      <c r="BO35" s="875">
        <f t="shared" si="13"/>
        <v>0</v>
      </c>
      <c r="BP35" s="875">
        <f t="shared" si="14"/>
        <v>0</v>
      </c>
      <c r="BQ35" s="876">
        <f t="shared" si="42"/>
        <v>0</v>
      </c>
      <c r="BR35" s="877">
        <f t="shared" si="43"/>
        <v>0</v>
      </c>
      <c r="BS35" s="875">
        <f t="shared" si="15"/>
        <v>0</v>
      </c>
      <c r="BT35" s="875">
        <f t="shared" si="16"/>
        <v>0</v>
      </c>
      <c r="BU35" s="878">
        <f t="shared" si="44"/>
        <v>0</v>
      </c>
      <c r="CE35" s="486">
        <v>24</v>
      </c>
    </row>
    <row r="36" spans="1:83" s="177" customFormat="1" ht="21.95" customHeight="1" x14ac:dyDescent="0.2">
      <c r="A36" s="237">
        <f t="shared" si="17"/>
        <v>4</v>
      </c>
      <c r="B36" s="237">
        <f t="shared" si="18"/>
        <v>0</v>
      </c>
      <c r="C36" s="393">
        <f t="shared" si="2"/>
        <v>0</v>
      </c>
      <c r="D36" s="393" t="str">
        <f t="shared" si="3"/>
        <v xml:space="preserve">03 </v>
      </c>
      <c r="E36" s="959" t="s">
        <v>89</v>
      </c>
      <c r="F36" s="959" t="s">
        <v>442</v>
      </c>
      <c r="G36" s="959" t="s">
        <v>7</v>
      </c>
      <c r="H36" s="960">
        <v>1</v>
      </c>
      <c r="I36" s="965">
        <v>960</v>
      </c>
      <c r="J36" s="966">
        <v>960</v>
      </c>
      <c r="K36" s="367">
        <v>0</v>
      </c>
      <c r="L36" s="367">
        <f>IF($H36="",0,VLOOKUP($E36,Plan3!$A$16:$CT$384,$E$7,0)%)</f>
        <v>0</v>
      </c>
      <c r="M36" s="368">
        <f t="shared" si="24"/>
        <v>0</v>
      </c>
      <c r="N36" s="368">
        <f t="shared" si="25"/>
        <v>0</v>
      </c>
      <c r="O36" s="367">
        <v>1</v>
      </c>
      <c r="P36" s="367">
        <f>VLOOKUP($E36,Plan3!$A$492:$P$858,13,0)%</f>
        <v>1</v>
      </c>
      <c r="Q36" s="368">
        <f t="shared" si="26"/>
        <v>1</v>
      </c>
      <c r="R36" s="368">
        <f t="shared" si="27"/>
        <v>960</v>
      </c>
      <c r="S36" s="880">
        <v>960</v>
      </c>
      <c r="T36" s="880">
        <f t="shared" si="28"/>
        <v>960</v>
      </c>
      <c r="U36" s="880">
        <f>IF($I36="",0,($S36-$T36)*(1+('Econômico Macro'!$R$12/100)))</f>
        <v>0</v>
      </c>
      <c r="V36" s="880">
        <f t="shared" si="29"/>
        <v>960</v>
      </c>
      <c r="W36" s="880">
        <f t="shared" si="30"/>
        <v>0</v>
      </c>
      <c r="X36" s="367">
        <f t="shared" si="5"/>
        <v>0</v>
      </c>
      <c r="Y36" s="367">
        <f t="shared" si="6"/>
        <v>0</v>
      </c>
      <c r="Z36" s="367">
        <f t="shared" si="7"/>
        <v>1</v>
      </c>
      <c r="AA36" s="367">
        <f t="shared" si="8"/>
        <v>0</v>
      </c>
      <c r="AB36" s="369" t="str">
        <f t="shared" si="9"/>
        <v>Adiantada</v>
      </c>
      <c r="AC36" s="365"/>
      <c r="AD36" s="368">
        <v>1</v>
      </c>
      <c r="AE36" s="368">
        <f t="shared" si="31"/>
        <v>0</v>
      </c>
      <c r="AF36" s="365"/>
      <c r="AG36" s="863">
        <f t="shared" si="20"/>
        <v>0</v>
      </c>
      <c r="AH36" s="864">
        <f t="shared" si="32"/>
        <v>0</v>
      </c>
      <c r="AI36" s="863">
        <f t="shared" si="21"/>
        <v>960</v>
      </c>
      <c r="AJ36" s="864">
        <f t="shared" si="33"/>
        <v>4</v>
      </c>
      <c r="AK36" s="365"/>
      <c r="AL36" s="865">
        <f t="shared" si="22"/>
        <v>960</v>
      </c>
      <c r="AM36" s="866">
        <f t="shared" si="34"/>
        <v>0</v>
      </c>
      <c r="AN36" s="866">
        <f t="shared" si="35"/>
        <v>0</v>
      </c>
      <c r="AO36" s="866">
        <f t="shared" si="36"/>
        <v>960</v>
      </c>
      <c r="AP36" s="867">
        <f t="shared" si="37"/>
        <v>7.7619789165247671E-2</v>
      </c>
      <c r="AQ36" s="591">
        <f t="shared" si="23"/>
        <v>0</v>
      </c>
      <c r="AR36" s="868">
        <f>IF(AND($L36=0,$P36=0)=TRUE,VLOOKUP($E36,Plan3!$A$16:$CT$487,$E$7+3,0)/100,0)</f>
        <v>0</v>
      </c>
      <c r="AS36" s="868">
        <f>IF(AND($L36=0,$P36=0)=TRUE,VLOOKUP($E36,Plan3!$A$16:$CT$487,$E$7+6,0)/100,0)</f>
        <v>0</v>
      </c>
      <c r="AT36" s="868">
        <f>IF(AND($L36=0,$P36=0)=TRUE,VLOOKUP($E36,Plan3!$A$16:$CT$487,$E$7+9,0)/100,0)</f>
        <v>0</v>
      </c>
      <c r="AU36" s="868">
        <f>IF(AND($L36=0,$P36=0)=TRUE,VLOOKUP($E36,Plan3!$A$16:$CT$487,$E$7+12,0)/100,0)</f>
        <v>0</v>
      </c>
      <c r="AV36" s="841"/>
      <c r="AW36" s="869">
        <f t="shared" si="38"/>
        <v>0</v>
      </c>
      <c r="AX36" s="870">
        <f t="shared" si="39"/>
        <v>0</v>
      </c>
      <c r="AY36" s="871">
        <f t="shared" si="40"/>
        <v>0</v>
      </c>
      <c r="AZ36" s="237" t="str">
        <f t="shared" si="10"/>
        <v xml:space="preserve">03.000.000.003 </v>
      </c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872">
        <f t="shared" si="11"/>
        <v>0</v>
      </c>
      <c r="BM36" s="873">
        <f t="shared" si="12"/>
        <v>0</v>
      </c>
      <c r="BN36" s="874">
        <f t="shared" si="41"/>
        <v>0</v>
      </c>
      <c r="BO36" s="875">
        <f t="shared" si="13"/>
        <v>0</v>
      </c>
      <c r="BP36" s="875">
        <f t="shared" si="14"/>
        <v>0</v>
      </c>
      <c r="BQ36" s="876">
        <f t="shared" si="42"/>
        <v>0</v>
      </c>
      <c r="BR36" s="877">
        <f t="shared" si="43"/>
        <v>0</v>
      </c>
      <c r="BS36" s="875">
        <f t="shared" si="15"/>
        <v>0</v>
      </c>
      <c r="BT36" s="875">
        <f t="shared" si="16"/>
        <v>0</v>
      </c>
      <c r="BU36" s="878">
        <f t="shared" si="44"/>
        <v>0</v>
      </c>
      <c r="CE36" s="486">
        <v>25</v>
      </c>
    </row>
    <row r="37" spans="1:83" s="177" customFormat="1" ht="21.95" customHeight="1" x14ac:dyDescent="0.2">
      <c r="A37" s="237">
        <f t="shared" si="17"/>
        <v>0</v>
      </c>
      <c r="B37" s="237">
        <f t="shared" si="18"/>
        <v>0</v>
      </c>
      <c r="C37" s="393">
        <f t="shared" si="2"/>
        <v>0</v>
      </c>
      <c r="D37" s="393" t="str">
        <f t="shared" si="3"/>
        <v xml:space="preserve">03 </v>
      </c>
      <c r="E37" s="959" t="s">
        <v>1380</v>
      </c>
      <c r="F37" s="959" t="s">
        <v>768</v>
      </c>
      <c r="G37" s="959" t="s">
        <v>10</v>
      </c>
      <c r="H37" s="960">
        <v>7</v>
      </c>
      <c r="I37" s="963">
        <v>1200</v>
      </c>
      <c r="J37" s="964">
        <v>8400</v>
      </c>
      <c r="K37" s="367">
        <v>1</v>
      </c>
      <c r="L37" s="367">
        <f>IF($H37="",0,VLOOKUP($E37,Plan3!$A$16:$CT$384,$E$7,0)%)</f>
        <v>1</v>
      </c>
      <c r="M37" s="368">
        <f t="shared" si="24"/>
        <v>7</v>
      </c>
      <c r="N37" s="368">
        <f t="shared" si="25"/>
        <v>8400</v>
      </c>
      <c r="O37" s="367">
        <v>1</v>
      </c>
      <c r="P37" s="367">
        <f>VLOOKUP($E37,Plan3!$A$492:$P$858,13,0)%</f>
        <v>1</v>
      </c>
      <c r="Q37" s="368">
        <f t="shared" si="26"/>
        <v>7</v>
      </c>
      <c r="R37" s="368">
        <f t="shared" si="27"/>
        <v>8400</v>
      </c>
      <c r="S37" s="880">
        <v>8400</v>
      </c>
      <c r="T37" s="880">
        <f t="shared" si="28"/>
        <v>8400</v>
      </c>
      <c r="U37" s="880">
        <f>IF($I37="",0,($S37-$T37)*(1+('Econômico Macro'!$R$12/100)))</f>
        <v>0</v>
      </c>
      <c r="V37" s="880">
        <f t="shared" si="29"/>
        <v>8400</v>
      </c>
      <c r="W37" s="880">
        <f t="shared" si="30"/>
        <v>8400</v>
      </c>
      <c r="X37" s="367">
        <f t="shared" si="5"/>
        <v>0</v>
      </c>
      <c r="Y37" s="367">
        <f t="shared" si="6"/>
        <v>0</v>
      </c>
      <c r="Z37" s="367">
        <f t="shared" si="7"/>
        <v>0</v>
      </c>
      <c r="AA37" s="367">
        <f t="shared" si="8"/>
        <v>0</v>
      </c>
      <c r="AB37" s="369">
        <f t="shared" si="9"/>
        <v>0</v>
      </c>
      <c r="AC37" s="365"/>
      <c r="AD37" s="368">
        <v>1</v>
      </c>
      <c r="AE37" s="368">
        <f t="shared" si="31"/>
        <v>6</v>
      </c>
      <c r="AF37" s="365"/>
      <c r="AG37" s="863">
        <f t="shared" si="20"/>
        <v>0</v>
      </c>
      <c r="AH37" s="864">
        <f t="shared" si="32"/>
        <v>0</v>
      </c>
      <c r="AI37" s="863">
        <f t="shared" si="21"/>
        <v>0</v>
      </c>
      <c r="AJ37" s="864">
        <f t="shared" si="33"/>
        <v>0</v>
      </c>
      <c r="AK37" s="365"/>
      <c r="AL37" s="865">
        <f t="shared" si="22"/>
        <v>8400</v>
      </c>
      <c r="AM37" s="866">
        <f t="shared" si="34"/>
        <v>0</v>
      </c>
      <c r="AN37" s="866">
        <f t="shared" si="35"/>
        <v>0</v>
      </c>
      <c r="AO37" s="866">
        <f t="shared" si="36"/>
        <v>0</v>
      </c>
      <c r="AP37" s="867">
        <f t="shared" si="37"/>
        <v>0</v>
      </c>
      <c r="AQ37" s="591">
        <f t="shared" si="23"/>
        <v>0</v>
      </c>
      <c r="AR37" s="868">
        <f>IF(AND($L37=0,$P37=0)=TRUE,VLOOKUP($E37,Plan3!$A$16:$CT$487,$E$7+3,0)/100,0)</f>
        <v>0</v>
      </c>
      <c r="AS37" s="868">
        <f>IF(AND($L37=0,$P37=0)=TRUE,VLOOKUP($E37,Plan3!$A$16:$CT$487,$E$7+6,0)/100,0)</f>
        <v>0</v>
      </c>
      <c r="AT37" s="868">
        <f>IF(AND($L37=0,$P37=0)=TRUE,VLOOKUP($E37,Plan3!$A$16:$CT$487,$E$7+9,0)/100,0)</f>
        <v>0</v>
      </c>
      <c r="AU37" s="868">
        <f>IF(AND($L37=0,$P37=0)=TRUE,VLOOKUP($E37,Plan3!$A$16:$CT$487,$E$7+12,0)/100,0)</f>
        <v>0</v>
      </c>
      <c r="AV37" s="841"/>
      <c r="AW37" s="869">
        <f t="shared" si="38"/>
        <v>0</v>
      </c>
      <c r="AX37" s="870">
        <f t="shared" si="39"/>
        <v>0</v>
      </c>
      <c r="AY37" s="871">
        <f t="shared" si="40"/>
        <v>0</v>
      </c>
      <c r="AZ37" s="237" t="str">
        <f t="shared" si="10"/>
        <v xml:space="preserve">03.000.000.004 </v>
      </c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872">
        <f t="shared" si="11"/>
        <v>0</v>
      </c>
      <c r="BM37" s="873">
        <f t="shared" si="12"/>
        <v>0</v>
      </c>
      <c r="BN37" s="874">
        <f t="shared" si="41"/>
        <v>0</v>
      </c>
      <c r="BO37" s="875">
        <f t="shared" si="13"/>
        <v>0</v>
      </c>
      <c r="BP37" s="875">
        <f t="shared" si="14"/>
        <v>0</v>
      </c>
      <c r="BQ37" s="876">
        <f t="shared" si="42"/>
        <v>0</v>
      </c>
      <c r="BR37" s="877">
        <f t="shared" si="43"/>
        <v>0</v>
      </c>
      <c r="BS37" s="875">
        <f t="shared" si="15"/>
        <v>0</v>
      </c>
      <c r="BT37" s="875">
        <f t="shared" si="16"/>
        <v>0</v>
      </c>
      <c r="BU37" s="878">
        <f t="shared" si="44"/>
        <v>0</v>
      </c>
      <c r="CE37" s="486">
        <v>26</v>
      </c>
    </row>
    <row r="38" spans="1:83" s="177" customFormat="1" ht="21.95" customHeight="1" x14ac:dyDescent="0.2">
      <c r="A38" s="237">
        <f t="shared" si="17"/>
        <v>0</v>
      </c>
      <c r="B38" s="237">
        <f t="shared" si="18"/>
        <v>0</v>
      </c>
      <c r="C38" s="393">
        <f t="shared" si="2"/>
        <v>0</v>
      </c>
      <c r="D38" s="393" t="str">
        <f t="shared" si="3"/>
        <v xml:space="preserve">03 </v>
      </c>
      <c r="E38" s="959" t="s">
        <v>1381</v>
      </c>
      <c r="F38" s="959" t="s">
        <v>1382</v>
      </c>
      <c r="G38" s="959" t="s">
        <v>7</v>
      </c>
      <c r="H38" s="960">
        <v>1</v>
      </c>
      <c r="I38" s="963">
        <v>2000</v>
      </c>
      <c r="J38" s="964">
        <v>2000</v>
      </c>
      <c r="K38" s="367">
        <v>0.5</v>
      </c>
      <c r="L38" s="367">
        <f>IF($H38="",0,VLOOKUP($E38,Plan3!$A$16:$CT$384,$E$7,0)%)</f>
        <v>0.5</v>
      </c>
      <c r="M38" s="368">
        <f t="shared" si="24"/>
        <v>0.5</v>
      </c>
      <c r="N38" s="368">
        <f t="shared" si="25"/>
        <v>1000</v>
      </c>
      <c r="O38" s="367">
        <v>0.5</v>
      </c>
      <c r="P38" s="367">
        <f>VLOOKUP($E38,Plan3!$A$492:$P$858,13,0)%</f>
        <v>0.5</v>
      </c>
      <c r="Q38" s="368">
        <f t="shared" si="26"/>
        <v>0.5</v>
      </c>
      <c r="R38" s="368">
        <f t="shared" si="27"/>
        <v>1000</v>
      </c>
      <c r="S38" s="880">
        <v>2011.6</v>
      </c>
      <c r="T38" s="880">
        <f t="shared" si="28"/>
        <v>1005.8</v>
      </c>
      <c r="U38" s="880">
        <f>IF($I38="",0,($S38-$T38)*(1+('Econômico Macro'!$R$12/100)))</f>
        <v>1023.2003400000001</v>
      </c>
      <c r="V38" s="880">
        <f t="shared" si="29"/>
        <v>2029.0003400000001</v>
      </c>
      <c r="W38" s="880">
        <f t="shared" si="30"/>
        <v>1014.50017</v>
      </c>
      <c r="X38" s="367">
        <f t="shared" si="5"/>
        <v>0</v>
      </c>
      <c r="Y38" s="367">
        <f t="shared" si="6"/>
        <v>0</v>
      </c>
      <c r="Z38" s="367">
        <f t="shared" si="7"/>
        <v>0</v>
      </c>
      <c r="AA38" s="367">
        <f t="shared" si="8"/>
        <v>0</v>
      </c>
      <c r="AB38" s="369">
        <f t="shared" si="9"/>
        <v>0</v>
      </c>
      <c r="AC38" s="365"/>
      <c r="AD38" s="368">
        <v>1</v>
      </c>
      <c r="AE38" s="368">
        <f t="shared" si="31"/>
        <v>-0.5</v>
      </c>
      <c r="AF38" s="365"/>
      <c r="AG38" s="863">
        <f t="shared" si="20"/>
        <v>0</v>
      </c>
      <c r="AH38" s="864">
        <f t="shared" si="32"/>
        <v>0</v>
      </c>
      <c r="AI38" s="863">
        <f t="shared" si="21"/>
        <v>0</v>
      </c>
      <c r="AJ38" s="864">
        <f t="shared" si="33"/>
        <v>0</v>
      </c>
      <c r="AK38" s="365"/>
      <c r="AL38" s="865">
        <f t="shared" si="22"/>
        <v>1000</v>
      </c>
      <c r="AM38" s="866">
        <f t="shared" si="34"/>
        <v>0</v>
      </c>
      <c r="AN38" s="866">
        <f t="shared" si="35"/>
        <v>0</v>
      </c>
      <c r="AO38" s="866">
        <f t="shared" si="36"/>
        <v>0</v>
      </c>
      <c r="AP38" s="867">
        <f t="shared" si="37"/>
        <v>0</v>
      </c>
      <c r="AQ38" s="591">
        <f t="shared" si="23"/>
        <v>0</v>
      </c>
      <c r="AR38" s="868">
        <f>IF(AND($L38=0,$P38=0)=TRUE,VLOOKUP($E38,Plan3!$A$16:$CT$487,$E$7+3,0)/100,0)</f>
        <v>0</v>
      </c>
      <c r="AS38" s="868">
        <f>IF(AND($L38=0,$P38=0)=TRUE,VLOOKUP($E38,Plan3!$A$16:$CT$487,$E$7+6,0)/100,0)</f>
        <v>0</v>
      </c>
      <c r="AT38" s="868">
        <f>IF(AND($L38=0,$P38=0)=TRUE,VLOOKUP($E38,Plan3!$A$16:$CT$487,$E$7+9,0)/100,0)</f>
        <v>0</v>
      </c>
      <c r="AU38" s="868">
        <f>IF(AND($L38=0,$P38=0)=TRUE,VLOOKUP($E38,Plan3!$A$16:$CT$487,$E$7+12,0)/100,0)</f>
        <v>0</v>
      </c>
      <c r="AV38" s="841"/>
      <c r="AW38" s="869">
        <f t="shared" si="38"/>
        <v>0</v>
      </c>
      <c r="AX38" s="870">
        <f t="shared" si="39"/>
        <v>0</v>
      </c>
      <c r="AY38" s="871">
        <f t="shared" si="40"/>
        <v>0</v>
      </c>
      <c r="AZ38" s="237" t="str">
        <f t="shared" si="10"/>
        <v xml:space="preserve">03.000.000.005 </v>
      </c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872">
        <f t="shared" si="11"/>
        <v>0</v>
      </c>
      <c r="BM38" s="873">
        <f t="shared" si="12"/>
        <v>0</v>
      </c>
      <c r="BN38" s="874">
        <f t="shared" si="41"/>
        <v>0</v>
      </c>
      <c r="BO38" s="875">
        <f t="shared" si="13"/>
        <v>0</v>
      </c>
      <c r="BP38" s="875">
        <f t="shared" si="14"/>
        <v>0</v>
      </c>
      <c r="BQ38" s="876">
        <f t="shared" si="42"/>
        <v>0</v>
      </c>
      <c r="BR38" s="877">
        <f t="shared" si="43"/>
        <v>0</v>
      </c>
      <c r="BS38" s="875">
        <f t="shared" si="15"/>
        <v>0</v>
      </c>
      <c r="BT38" s="875">
        <f t="shared" si="16"/>
        <v>0</v>
      </c>
      <c r="BU38" s="878">
        <f t="shared" si="44"/>
        <v>0</v>
      </c>
      <c r="CE38" s="486">
        <v>27</v>
      </c>
    </row>
    <row r="39" spans="1:83" s="177" customFormat="1" ht="21.95" customHeight="1" x14ac:dyDescent="0.2">
      <c r="A39" s="237">
        <f t="shared" si="17"/>
        <v>0</v>
      </c>
      <c r="B39" s="237">
        <f t="shared" si="18"/>
        <v>0</v>
      </c>
      <c r="C39" s="393">
        <f t="shared" si="2"/>
        <v>0</v>
      </c>
      <c r="D39" s="393" t="str">
        <f t="shared" si="3"/>
        <v xml:space="preserve">03 </v>
      </c>
      <c r="E39" s="967" t="s">
        <v>596</v>
      </c>
      <c r="F39" s="967" t="s">
        <v>599</v>
      </c>
      <c r="G39" s="967"/>
      <c r="H39" s="968"/>
      <c r="I39" s="968"/>
      <c r="J39" s="969">
        <v>13644.86</v>
      </c>
      <c r="K39" s="367">
        <v>0</v>
      </c>
      <c r="L39" s="367">
        <f>IF($H39="",0,VLOOKUP($E39,Plan3!$A$16:$CT$384,$E$7,0)%)</f>
        <v>0</v>
      </c>
      <c r="M39" s="368">
        <f t="shared" si="24"/>
        <v>0</v>
      </c>
      <c r="N39" s="368">
        <f t="shared" si="25"/>
        <v>0</v>
      </c>
      <c r="O39" s="367">
        <v>0</v>
      </c>
      <c r="P39" s="367">
        <f>VLOOKUP($E39,Plan3!$A$492:$P$858,13,0)%</f>
        <v>0</v>
      </c>
      <c r="Q39" s="368">
        <f t="shared" si="26"/>
        <v>0</v>
      </c>
      <c r="R39" s="368">
        <f t="shared" si="27"/>
        <v>0</v>
      </c>
      <c r="S39" s="880">
        <v>0</v>
      </c>
      <c r="T39" s="880">
        <f t="shared" si="28"/>
        <v>0</v>
      </c>
      <c r="U39" s="880">
        <f>IF($I39="",0,($S39-$T39)*(1+('Econômico Macro'!$R$12/100)))</f>
        <v>0</v>
      </c>
      <c r="V39" s="880">
        <f t="shared" si="29"/>
        <v>0</v>
      </c>
      <c r="W39" s="880">
        <f t="shared" si="30"/>
        <v>0</v>
      </c>
      <c r="X39" s="367">
        <f t="shared" si="5"/>
        <v>0</v>
      </c>
      <c r="Y39" s="367">
        <f t="shared" si="6"/>
        <v>0</v>
      </c>
      <c r="Z39" s="367">
        <f t="shared" si="7"/>
        <v>0</v>
      </c>
      <c r="AA39" s="367">
        <f t="shared" si="8"/>
        <v>0</v>
      </c>
      <c r="AB39" s="369" t="str">
        <f t="shared" si="9"/>
        <v>Não Iniciada</v>
      </c>
      <c r="AC39" s="365"/>
      <c r="AD39" s="368">
        <v>1</v>
      </c>
      <c r="AE39" s="368">
        <f t="shared" si="31"/>
        <v>-1</v>
      </c>
      <c r="AF39" s="365"/>
      <c r="AG39" s="863">
        <f t="shared" si="20"/>
        <v>0</v>
      </c>
      <c r="AH39" s="864">
        <f t="shared" si="32"/>
        <v>0</v>
      </c>
      <c r="AI39" s="863">
        <f t="shared" si="21"/>
        <v>0</v>
      </c>
      <c r="AJ39" s="864">
        <f t="shared" si="33"/>
        <v>0</v>
      </c>
      <c r="AK39" s="365"/>
      <c r="AL39" s="865">
        <f t="shared" si="22"/>
        <v>0</v>
      </c>
      <c r="AM39" s="866">
        <f t="shared" si="34"/>
        <v>0</v>
      </c>
      <c r="AN39" s="866">
        <f t="shared" si="35"/>
        <v>0</v>
      </c>
      <c r="AO39" s="866">
        <f t="shared" si="36"/>
        <v>0</v>
      </c>
      <c r="AP39" s="867">
        <f t="shared" si="37"/>
        <v>0</v>
      </c>
      <c r="AQ39" s="591"/>
      <c r="AR39" s="868"/>
      <c r="AS39" s="868"/>
      <c r="AT39" s="868"/>
      <c r="AU39" s="868"/>
      <c r="AV39" s="841"/>
      <c r="AW39" s="869"/>
      <c r="AX39" s="870"/>
      <c r="AY39" s="871"/>
      <c r="AZ39" s="237" t="str">
        <f t="shared" si="10"/>
        <v xml:space="preserve">03.001 </v>
      </c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872">
        <f t="shared" si="11"/>
        <v>0</v>
      </c>
      <c r="BM39" s="873">
        <f t="shared" si="12"/>
        <v>0</v>
      </c>
      <c r="BN39" s="874">
        <f t="shared" si="41"/>
        <v>0</v>
      </c>
      <c r="BO39" s="875">
        <f t="shared" si="13"/>
        <v>0</v>
      </c>
      <c r="BP39" s="875">
        <f t="shared" si="14"/>
        <v>0</v>
      </c>
      <c r="BQ39" s="876">
        <f t="shared" si="42"/>
        <v>0</v>
      </c>
      <c r="BR39" s="877">
        <f t="shared" si="43"/>
        <v>0</v>
      </c>
      <c r="BS39" s="875">
        <f t="shared" si="15"/>
        <v>0</v>
      </c>
      <c r="BT39" s="875">
        <f t="shared" si="16"/>
        <v>0</v>
      </c>
      <c r="BU39" s="878">
        <f t="shared" si="44"/>
        <v>0</v>
      </c>
      <c r="CE39" s="486">
        <v>28</v>
      </c>
    </row>
    <row r="40" spans="1:83" s="177" customFormat="1" ht="21.95" customHeight="1" x14ac:dyDescent="0.2">
      <c r="A40" s="237">
        <f t="shared" si="17"/>
        <v>0</v>
      </c>
      <c r="B40" s="237">
        <f t="shared" si="18"/>
        <v>0</v>
      </c>
      <c r="C40" s="393">
        <f t="shared" si="2"/>
        <v>0</v>
      </c>
      <c r="D40" s="393" t="str">
        <f t="shared" si="3"/>
        <v xml:space="preserve">03 </v>
      </c>
      <c r="E40" s="959" t="s">
        <v>597</v>
      </c>
      <c r="F40" s="959" t="s">
        <v>2202</v>
      </c>
      <c r="G40" s="959" t="s">
        <v>90</v>
      </c>
      <c r="H40" s="970">
        <v>30</v>
      </c>
      <c r="I40" s="965">
        <v>136.4667</v>
      </c>
      <c r="J40" s="964">
        <v>4094</v>
      </c>
      <c r="K40" s="367">
        <v>0</v>
      </c>
      <c r="L40" s="367">
        <f>IF($H40="",0,VLOOKUP($E40,Plan3!$A$16:$CT$384,$E$7,0)%)</f>
        <v>0</v>
      </c>
      <c r="M40" s="368">
        <f t="shared" si="24"/>
        <v>0</v>
      </c>
      <c r="N40" s="368">
        <f t="shared" si="25"/>
        <v>0</v>
      </c>
      <c r="O40" s="367">
        <v>0</v>
      </c>
      <c r="P40" s="367">
        <f>VLOOKUP($E40,Plan3!$A$492:$P$858,13,0)%</f>
        <v>0</v>
      </c>
      <c r="Q40" s="368">
        <f t="shared" si="26"/>
        <v>0</v>
      </c>
      <c r="R40" s="368">
        <f t="shared" si="27"/>
        <v>0</v>
      </c>
      <c r="S40" s="880">
        <v>4141.4904000000006</v>
      </c>
      <c r="T40" s="880">
        <f t="shared" si="28"/>
        <v>0</v>
      </c>
      <c r="U40" s="880">
        <f>IF($I40="",0,($S40-$T40)*(1+('Econômico Macro'!$R$12/100)))</f>
        <v>4213.1381839200012</v>
      </c>
      <c r="V40" s="880">
        <f t="shared" si="29"/>
        <v>4213.1381839200012</v>
      </c>
      <c r="W40" s="880">
        <f t="shared" si="30"/>
        <v>0</v>
      </c>
      <c r="X40" s="367">
        <f t="shared" si="5"/>
        <v>0</v>
      </c>
      <c r="Y40" s="367">
        <f t="shared" si="6"/>
        <v>0</v>
      </c>
      <c r="Z40" s="367">
        <f t="shared" si="7"/>
        <v>0</v>
      </c>
      <c r="AA40" s="367">
        <f t="shared" si="8"/>
        <v>0</v>
      </c>
      <c r="AB40" s="369" t="str">
        <f t="shared" si="9"/>
        <v>Não Iniciada</v>
      </c>
      <c r="AC40" s="365"/>
      <c r="AD40" s="368">
        <v>1</v>
      </c>
      <c r="AE40" s="368">
        <f t="shared" si="31"/>
        <v>-1</v>
      </c>
      <c r="AF40" s="365"/>
      <c r="AG40" s="863">
        <f t="shared" si="20"/>
        <v>0</v>
      </c>
      <c r="AH40" s="864">
        <f t="shared" si="32"/>
        <v>0</v>
      </c>
      <c r="AI40" s="863">
        <f t="shared" si="21"/>
        <v>0</v>
      </c>
      <c r="AJ40" s="864">
        <f t="shared" si="33"/>
        <v>0</v>
      </c>
      <c r="AK40" s="365"/>
      <c r="AL40" s="865">
        <f t="shared" si="22"/>
        <v>0</v>
      </c>
      <c r="AM40" s="866">
        <f t="shared" si="34"/>
        <v>0</v>
      </c>
      <c r="AN40" s="866">
        <f t="shared" si="35"/>
        <v>0</v>
      </c>
      <c r="AO40" s="866">
        <f t="shared" si="36"/>
        <v>0</v>
      </c>
      <c r="AP40" s="867">
        <f t="shared" si="37"/>
        <v>0</v>
      </c>
      <c r="AQ40" s="591">
        <f t="shared" si="23"/>
        <v>0</v>
      </c>
      <c r="AR40" s="868">
        <f>IF(AND($L40=0,$P40=0)=TRUE,VLOOKUP($E40,Plan3!$A$16:$CT$487,$E$7+3,0)/100,0)</f>
        <v>0</v>
      </c>
      <c r="AS40" s="868">
        <f>IF(AND($L40=0,$P40=0)=TRUE,VLOOKUP($E40,Plan3!$A$16:$CT$487,$E$7+6,0)/100,0)</f>
        <v>0</v>
      </c>
      <c r="AT40" s="868">
        <f>IF(AND($L40=0,$P40=0)=TRUE,VLOOKUP($E40,Plan3!$A$16:$CT$487,$E$7+9,0)/100,0)</f>
        <v>0</v>
      </c>
      <c r="AU40" s="868">
        <f>IF(AND($L40=0,$P40=0)=TRUE,VLOOKUP($E40,Plan3!$A$16:$CT$487,$E$7+12,0)/100,0)</f>
        <v>0</v>
      </c>
      <c r="AV40" s="841"/>
      <c r="AW40" s="869">
        <f t="shared" si="38"/>
        <v>0</v>
      </c>
      <c r="AX40" s="870">
        <f t="shared" si="39"/>
        <v>0</v>
      </c>
      <c r="AY40" s="871">
        <f t="shared" si="40"/>
        <v>0</v>
      </c>
      <c r="AZ40" s="237" t="str">
        <f t="shared" si="10"/>
        <v xml:space="preserve">03.001.000.001 </v>
      </c>
      <c r="BA40" s="365"/>
      <c r="BB40" s="365"/>
      <c r="BC40" s="365"/>
      <c r="BD40" s="365"/>
      <c r="BE40" s="365"/>
      <c r="BF40" s="365"/>
      <c r="BG40" s="365"/>
      <c r="BH40" s="365"/>
      <c r="BI40" s="365"/>
      <c r="BJ40" s="365"/>
      <c r="BK40" s="365"/>
      <c r="BL40" s="872">
        <f t="shared" si="11"/>
        <v>0</v>
      </c>
      <c r="BM40" s="873">
        <f t="shared" si="12"/>
        <v>0</v>
      </c>
      <c r="BN40" s="874">
        <f t="shared" si="41"/>
        <v>0</v>
      </c>
      <c r="BO40" s="875">
        <f t="shared" si="13"/>
        <v>0</v>
      </c>
      <c r="BP40" s="875">
        <f t="shared" si="14"/>
        <v>0</v>
      </c>
      <c r="BQ40" s="876">
        <f t="shared" si="42"/>
        <v>0</v>
      </c>
      <c r="BR40" s="877">
        <f t="shared" si="43"/>
        <v>0</v>
      </c>
      <c r="BS40" s="875">
        <f t="shared" si="15"/>
        <v>0</v>
      </c>
      <c r="BT40" s="875">
        <f t="shared" si="16"/>
        <v>0</v>
      </c>
      <c r="BU40" s="878">
        <f t="shared" si="44"/>
        <v>0</v>
      </c>
      <c r="CE40" s="486">
        <v>29</v>
      </c>
    </row>
    <row r="41" spans="1:83" s="177" customFormat="1" ht="21.95" customHeight="1" x14ac:dyDescent="0.2">
      <c r="A41" s="237">
        <f t="shared" si="17"/>
        <v>0</v>
      </c>
      <c r="B41" s="237">
        <f t="shared" si="18"/>
        <v>0</v>
      </c>
      <c r="C41" s="393">
        <f t="shared" si="2"/>
        <v>0</v>
      </c>
      <c r="D41" s="393" t="str">
        <f t="shared" si="3"/>
        <v xml:space="preserve">03 </v>
      </c>
      <c r="E41" s="959" t="s">
        <v>769</v>
      </c>
      <c r="F41" s="959" t="s">
        <v>2203</v>
      </c>
      <c r="G41" s="959" t="s">
        <v>90</v>
      </c>
      <c r="H41" s="960">
        <v>9</v>
      </c>
      <c r="I41" s="965">
        <v>206.74549999999999</v>
      </c>
      <c r="J41" s="964">
        <v>1860.71</v>
      </c>
      <c r="K41" s="367">
        <v>0</v>
      </c>
      <c r="L41" s="367">
        <f>IF($H41="",0,VLOOKUP($E41,Plan3!$A$16:$CT$384,$E$7,0)%)</f>
        <v>0</v>
      </c>
      <c r="M41" s="368">
        <f t="shared" si="24"/>
        <v>0</v>
      </c>
      <c r="N41" s="368">
        <f t="shared" si="25"/>
        <v>0</v>
      </c>
      <c r="O41" s="367">
        <v>0</v>
      </c>
      <c r="P41" s="367">
        <f>VLOOKUP($E41,Plan3!$A$492:$P$858,13,0)%</f>
        <v>0</v>
      </c>
      <c r="Q41" s="368">
        <f t="shared" si="26"/>
        <v>0</v>
      </c>
      <c r="R41" s="368">
        <f t="shared" si="27"/>
        <v>0</v>
      </c>
      <c r="S41" s="880">
        <v>1882.2942360000002</v>
      </c>
      <c r="T41" s="880">
        <f t="shared" si="28"/>
        <v>0</v>
      </c>
      <c r="U41" s="880">
        <f>IF($I41="",0,($S41-$T41)*(1+('Econômico Macro'!$R$12/100)))</f>
        <v>1914.8579262828005</v>
      </c>
      <c r="V41" s="880">
        <f t="shared" si="29"/>
        <v>1914.8579262828005</v>
      </c>
      <c r="W41" s="880">
        <f t="shared" si="30"/>
        <v>0</v>
      </c>
      <c r="X41" s="367">
        <f t="shared" si="5"/>
        <v>0</v>
      </c>
      <c r="Y41" s="367">
        <f t="shared" si="6"/>
        <v>0</v>
      </c>
      <c r="Z41" s="367">
        <f t="shared" si="7"/>
        <v>0</v>
      </c>
      <c r="AA41" s="367">
        <f t="shared" si="8"/>
        <v>0</v>
      </c>
      <c r="AB41" s="369" t="str">
        <f t="shared" si="9"/>
        <v>Não Iniciada</v>
      </c>
      <c r="AC41" s="365"/>
      <c r="AD41" s="368">
        <v>1</v>
      </c>
      <c r="AE41" s="368">
        <f t="shared" si="31"/>
        <v>-1</v>
      </c>
      <c r="AF41" s="365"/>
      <c r="AG41" s="863">
        <f t="shared" si="20"/>
        <v>0</v>
      </c>
      <c r="AH41" s="864">
        <f t="shared" si="32"/>
        <v>0</v>
      </c>
      <c r="AI41" s="863">
        <f t="shared" si="21"/>
        <v>0</v>
      </c>
      <c r="AJ41" s="864">
        <f t="shared" si="33"/>
        <v>0</v>
      </c>
      <c r="AK41" s="365"/>
      <c r="AL41" s="865">
        <f t="shared" si="22"/>
        <v>0</v>
      </c>
      <c r="AM41" s="866">
        <f t="shared" si="34"/>
        <v>0</v>
      </c>
      <c r="AN41" s="866">
        <f t="shared" si="35"/>
        <v>0</v>
      </c>
      <c r="AO41" s="866">
        <f t="shared" si="36"/>
        <v>0</v>
      </c>
      <c r="AP41" s="867">
        <f t="shared" si="37"/>
        <v>0</v>
      </c>
      <c r="AQ41" s="591">
        <f t="shared" si="23"/>
        <v>0</v>
      </c>
      <c r="AR41" s="868">
        <f>IF(AND($L41=0,$P41=0)=TRUE,VLOOKUP($E41,Plan3!$A$16:$CT$487,$E$7+3,0)/100,0)</f>
        <v>0</v>
      </c>
      <c r="AS41" s="868">
        <f>IF(AND($L41=0,$P41=0)=TRUE,VLOOKUP($E41,Plan3!$A$16:$CT$487,$E$7+6,0)/100,0)</f>
        <v>0</v>
      </c>
      <c r="AT41" s="868">
        <f>IF(AND($L41=0,$P41=0)=TRUE,VLOOKUP($E41,Plan3!$A$16:$CT$487,$E$7+9,0)/100,0)</f>
        <v>0</v>
      </c>
      <c r="AU41" s="868">
        <f>IF(AND($L41=0,$P41=0)=TRUE,VLOOKUP($E41,Plan3!$A$16:$CT$487,$E$7+12,0)/100,0)</f>
        <v>0</v>
      </c>
      <c r="AV41" s="841"/>
      <c r="AW41" s="869">
        <f t="shared" si="38"/>
        <v>0</v>
      </c>
      <c r="AX41" s="870">
        <f t="shared" si="39"/>
        <v>0</v>
      </c>
      <c r="AY41" s="871">
        <f t="shared" si="40"/>
        <v>0</v>
      </c>
      <c r="AZ41" s="237" t="str">
        <f t="shared" si="10"/>
        <v xml:space="preserve">03.001.000.002 </v>
      </c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872">
        <f t="shared" si="11"/>
        <v>0</v>
      </c>
      <c r="BM41" s="873">
        <f t="shared" si="12"/>
        <v>0</v>
      </c>
      <c r="BN41" s="874">
        <f t="shared" si="41"/>
        <v>0</v>
      </c>
      <c r="BO41" s="875">
        <f t="shared" si="13"/>
        <v>0</v>
      </c>
      <c r="BP41" s="875">
        <f t="shared" si="14"/>
        <v>0</v>
      </c>
      <c r="BQ41" s="876">
        <f t="shared" si="42"/>
        <v>0</v>
      </c>
      <c r="BR41" s="877">
        <f t="shared" si="43"/>
        <v>0</v>
      </c>
      <c r="BS41" s="875">
        <f t="shared" si="15"/>
        <v>0</v>
      </c>
      <c r="BT41" s="875">
        <f t="shared" si="16"/>
        <v>0</v>
      </c>
      <c r="BU41" s="878">
        <f t="shared" si="44"/>
        <v>0</v>
      </c>
      <c r="CE41" s="486">
        <v>30</v>
      </c>
    </row>
    <row r="42" spans="1:83" s="177" customFormat="1" ht="21.95" customHeight="1" x14ac:dyDescent="0.2">
      <c r="A42" s="237">
        <f t="shared" si="17"/>
        <v>0</v>
      </c>
      <c r="B42" s="237">
        <f t="shared" si="18"/>
        <v>0</v>
      </c>
      <c r="C42" s="393">
        <f t="shared" si="2"/>
        <v>0</v>
      </c>
      <c r="D42" s="393" t="str">
        <f t="shared" si="3"/>
        <v xml:space="preserve">03 </v>
      </c>
      <c r="E42" s="959" t="s">
        <v>770</v>
      </c>
      <c r="F42" s="959" t="s">
        <v>2204</v>
      </c>
      <c r="G42" s="959" t="s">
        <v>90</v>
      </c>
      <c r="H42" s="960">
        <v>9</v>
      </c>
      <c r="I42" s="965">
        <v>155.6473</v>
      </c>
      <c r="J42" s="964">
        <v>1400.83</v>
      </c>
      <c r="K42" s="367">
        <v>0</v>
      </c>
      <c r="L42" s="367">
        <f>IF($H42="",0,VLOOKUP($E42,Plan3!$A$16:$CT$384,$E$7,0)%)</f>
        <v>0</v>
      </c>
      <c r="M42" s="368">
        <f t="shared" si="24"/>
        <v>0</v>
      </c>
      <c r="N42" s="368">
        <f t="shared" si="25"/>
        <v>0</v>
      </c>
      <c r="O42" s="367">
        <v>0</v>
      </c>
      <c r="P42" s="367">
        <f>VLOOKUP($E42,Plan3!$A$492:$P$858,13,0)%</f>
        <v>0</v>
      </c>
      <c r="Q42" s="368">
        <f t="shared" si="26"/>
        <v>0</v>
      </c>
      <c r="R42" s="368">
        <f t="shared" si="27"/>
        <v>0</v>
      </c>
      <c r="S42" s="880">
        <v>1417.079628</v>
      </c>
      <c r="T42" s="880">
        <f t="shared" si="28"/>
        <v>0</v>
      </c>
      <c r="U42" s="880">
        <f>IF($I42="",0,($S42-$T42)*(1+('Econômico Macro'!$R$12/100)))</f>
        <v>1441.5951055644</v>
      </c>
      <c r="V42" s="880">
        <f t="shared" si="29"/>
        <v>1441.5951055644</v>
      </c>
      <c r="W42" s="880">
        <f t="shared" si="30"/>
        <v>0</v>
      </c>
      <c r="X42" s="367">
        <f t="shared" si="5"/>
        <v>0</v>
      </c>
      <c r="Y42" s="367">
        <f t="shared" si="6"/>
        <v>0</v>
      </c>
      <c r="Z42" s="367">
        <f t="shared" si="7"/>
        <v>0</v>
      </c>
      <c r="AA42" s="367">
        <f t="shared" si="8"/>
        <v>0</v>
      </c>
      <c r="AB42" s="369" t="str">
        <f t="shared" si="9"/>
        <v>Não Iniciada</v>
      </c>
      <c r="AC42" s="365"/>
      <c r="AD42" s="368">
        <v>1</v>
      </c>
      <c r="AE42" s="368">
        <f t="shared" si="31"/>
        <v>-1</v>
      </c>
      <c r="AF42" s="365"/>
      <c r="AG42" s="863">
        <f t="shared" si="20"/>
        <v>0</v>
      </c>
      <c r="AH42" s="864">
        <f t="shared" si="32"/>
        <v>0</v>
      </c>
      <c r="AI42" s="863">
        <f t="shared" si="21"/>
        <v>0</v>
      </c>
      <c r="AJ42" s="864">
        <f t="shared" si="33"/>
        <v>0</v>
      </c>
      <c r="AK42" s="365"/>
      <c r="AL42" s="865">
        <f t="shared" si="22"/>
        <v>0</v>
      </c>
      <c r="AM42" s="866">
        <f t="shared" si="34"/>
        <v>0</v>
      </c>
      <c r="AN42" s="866">
        <f t="shared" si="35"/>
        <v>0</v>
      </c>
      <c r="AO42" s="866">
        <f t="shared" si="36"/>
        <v>0</v>
      </c>
      <c r="AP42" s="867">
        <f t="shared" si="37"/>
        <v>0</v>
      </c>
      <c r="AQ42" s="591">
        <f t="shared" si="23"/>
        <v>0</v>
      </c>
      <c r="AR42" s="868">
        <f>IF(AND($L42=0,$P42=0)=TRUE,VLOOKUP($E42,Plan3!$A$16:$CT$487,$E$7+3,0)/100,0)</f>
        <v>0</v>
      </c>
      <c r="AS42" s="868">
        <f>IF(AND($L42=0,$P42=0)=TRUE,VLOOKUP($E42,Plan3!$A$16:$CT$487,$E$7+6,0)/100,0)</f>
        <v>0</v>
      </c>
      <c r="AT42" s="868">
        <f>IF(AND($L42=0,$P42=0)=TRUE,VLOOKUP($E42,Plan3!$A$16:$CT$487,$E$7+9,0)/100,0)</f>
        <v>0</v>
      </c>
      <c r="AU42" s="868">
        <f>IF(AND($L42=0,$P42=0)=TRUE,VLOOKUP($E42,Plan3!$A$16:$CT$487,$E$7+12,0)/100,0)</f>
        <v>0</v>
      </c>
      <c r="AV42" s="841"/>
      <c r="AW42" s="869">
        <f t="shared" si="38"/>
        <v>0</v>
      </c>
      <c r="AX42" s="870">
        <f t="shared" si="39"/>
        <v>0</v>
      </c>
      <c r="AY42" s="871">
        <f t="shared" si="40"/>
        <v>0</v>
      </c>
      <c r="AZ42" s="237" t="str">
        <f t="shared" si="10"/>
        <v xml:space="preserve">03.001.000.003 </v>
      </c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872">
        <f t="shared" si="11"/>
        <v>0</v>
      </c>
      <c r="BM42" s="873">
        <f t="shared" si="12"/>
        <v>0</v>
      </c>
      <c r="BN42" s="874">
        <f t="shared" si="41"/>
        <v>0</v>
      </c>
      <c r="BO42" s="875">
        <f t="shared" si="13"/>
        <v>0</v>
      </c>
      <c r="BP42" s="875">
        <f t="shared" si="14"/>
        <v>0</v>
      </c>
      <c r="BQ42" s="876">
        <f t="shared" si="42"/>
        <v>0</v>
      </c>
      <c r="BR42" s="877">
        <f t="shared" si="43"/>
        <v>0</v>
      </c>
      <c r="BS42" s="875">
        <f t="shared" si="15"/>
        <v>0</v>
      </c>
      <c r="BT42" s="875">
        <f t="shared" si="16"/>
        <v>0</v>
      </c>
      <c r="BU42" s="878">
        <f t="shared" si="44"/>
        <v>0</v>
      </c>
      <c r="CE42" s="486">
        <v>31</v>
      </c>
    </row>
    <row r="43" spans="1:83" s="177" customFormat="1" ht="21.95" customHeight="1" x14ac:dyDescent="0.2">
      <c r="A43" s="237">
        <f t="shared" si="17"/>
        <v>0</v>
      </c>
      <c r="B43" s="237">
        <f t="shared" si="18"/>
        <v>0</v>
      </c>
      <c r="C43" s="393">
        <f t="shared" si="2"/>
        <v>0</v>
      </c>
      <c r="D43" s="393" t="str">
        <f t="shared" si="3"/>
        <v xml:space="preserve">03 </v>
      </c>
      <c r="E43" s="959" t="s">
        <v>1384</v>
      </c>
      <c r="F43" s="959" t="s">
        <v>2205</v>
      </c>
      <c r="G43" s="959" t="s">
        <v>90</v>
      </c>
      <c r="H43" s="970">
        <v>18</v>
      </c>
      <c r="I43" s="970">
        <v>70.384399999999999</v>
      </c>
      <c r="J43" s="964">
        <v>1266.92</v>
      </c>
      <c r="K43" s="367">
        <v>0</v>
      </c>
      <c r="L43" s="367">
        <f>IF($H43="",0,VLOOKUP($E43,Plan3!$A$16:$CT$384,$E$7,0)%)</f>
        <v>0</v>
      </c>
      <c r="M43" s="368">
        <f t="shared" si="24"/>
        <v>0</v>
      </c>
      <c r="N43" s="368">
        <f t="shared" si="25"/>
        <v>0</v>
      </c>
      <c r="O43" s="367">
        <v>0</v>
      </c>
      <c r="P43" s="367">
        <f>VLOOKUP($E43,Plan3!$A$492:$P$858,13,0)%</f>
        <v>0</v>
      </c>
      <c r="Q43" s="368">
        <f t="shared" si="26"/>
        <v>0</v>
      </c>
      <c r="R43" s="368">
        <f t="shared" si="27"/>
        <v>0</v>
      </c>
      <c r="S43" s="880">
        <v>1281.6162720000002</v>
      </c>
      <c r="T43" s="880">
        <f t="shared" si="28"/>
        <v>0</v>
      </c>
      <c r="U43" s="880">
        <f>IF($I43="",0,($S43-$T43)*(1+('Econômico Macro'!$R$12/100)))</f>
        <v>1303.7882335056004</v>
      </c>
      <c r="V43" s="880">
        <f t="shared" si="29"/>
        <v>1303.7882335056004</v>
      </c>
      <c r="W43" s="880">
        <f t="shared" si="30"/>
        <v>0</v>
      </c>
      <c r="X43" s="367">
        <f t="shared" si="5"/>
        <v>0</v>
      </c>
      <c r="Y43" s="367">
        <f t="shared" si="6"/>
        <v>0</v>
      </c>
      <c r="Z43" s="367">
        <f t="shared" si="7"/>
        <v>0</v>
      </c>
      <c r="AA43" s="367">
        <f t="shared" si="8"/>
        <v>0</v>
      </c>
      <c r="AB43" s="369" t="str">
        <f t="shared" si="9"/>
        <v>Não Iniciada</v>
      </c>
      <c r="AC43" s="365"/>
      <c r="AD43" s="368">
        <v>1</v>
      </c>
      <c r="AE43" s="368">
        <f t="shared" si="31"/>
        <v>-1</v>
      </c>
      <c r="AF43" s="365"/>
      <c r="AG43" s="863">
        <f t="shared" si="20"/>
        <v>0</v>
      </c>
      <c r="AH43" s="864">
        <f t="shared" si="32"/>
        <v>0</v>
      </c>
      <c r="AI43" s="863">
        <f t="shared" si="21"/>
        <v>0</v>
      </c>
      <c r="AJ43" s="864">
        <f t="shared" si="33"/>
        <v>0</v>
      </c>
      <c r="AK43" s="365"/>
      <c r="AL43" s="865">
        <f t="shared" si="22"/>
        <v>0</v>
      </c>
      <c r="AM43" s="866">
        <f t="shared" si="34"/>
        <v>0</v>
      </c>
      <c r="AN43" s="866">
        <f t="shared" si="35"/>
        <v>0</v>
      </c>
      <c r="AO43" s="866">
        <f t="shared" si="36"/>
        <v>0</v>
      </c>
      <c r="AP43" s="867">
        <f t="shared" si="37"/>
        <v>0</v>
      </c>
      <c r="AQ43" s="591">
        <f t="shared" si="23"/>
        <v>0</v>
      </c>
      <c r="AR43" s="868">
        <f>IF(AND($L43=0,$P43=0)=TRUE,VLOOKUP($E43,Plan3!$A$16:$CT$487,$E$7+3,0)/100,0)</f>
        <v>0</v>
      </c>
      <c r="AS43" s="868">
        <f>IF(AND($L43=0,$P43=0)=TRUE,VLOOKUP($E43,Plan3!$A$16:$CT$487,$E$7+6,0)/100,0)</f>
        <v>0</v>
      </c>
      <c r="AT43" s="868">
        <f>IF(AND($L43=0,$P43=0)=TRUE,VLOOKUP($E43,Plan3!$A$16:$CT$487,$E$7+9,0)/100,0)</f>
        <v>0</v>
      </c>
      <c r="AU43" s="868">
        <f>IF(AND($L43=0,$P43=0)=TRUE,VLOOKUP($E43,Plan3!$A$16:$CT$487,$E$7+12,0)/100,0)</f>
        <v>0</v>
      </c>
      <c r="AV43" s="841"/>
      <c r="AW43" s="869">
        <f t="shared" si="38"/>
        <v>0</v>
      </c>
      <c r="AX43" s="870">
        <f t="shared" si="39"/>
        <v>0</v>
      </c>
      <c r="AY43" s="871">
        <f t="shared" si="40"/>
        <v>0</v>
      </c>
      <c r="AZ43" s="237" t="str">
        <f t="shared" si="10"/>
        <v xml:space="preserve">03.001.000.004 </v>
      </c>
      <c r="BA43" s="365"/>
      <c r="BB43" s="365"/>
      <c r="BC43" s="365"/>
      <c r="BD43" s="365"/>
      <c r="BE43" s="365"/>
      <c r="BF43" s="365"/>
      <c r="BG43" s="365"/>
      <c r="BH43" s="365"/>
      <c r="BI43" s="365"/>
      <c r="BJ43" s="365"/>
      <c r="BK43" s="365"/>
      <c r="BL43" s="872">
        <f t="shared" si="11"/>
        <v>0</v>
      </c>
      <c r="BM43" s="873">
        <f t="shared" si="12"/>
        <v>0</v>
      </c>
      <c r="BN43" s="874">
        <f t="shared" si="41"/>
        <v>0</v>
      </c>
      <c r="BO43" s="875">
        <f t="shared" si="13"/>
        <v>0</v>
      </c>
      <c r="BP43" s="875">
        <f t="shared" si="14"/>
        <v>0</v>
      </c>
      <c r="BQ43" s="876">
        <f t="shared" si="42"/>
        <v>0</v>
      </c>
      <c r="BR43" s="877">
        <f t="shared" si="43"/>
        <v>0</v>
      </c>
      <c r="BS43" s="875">
        <f t="shared" si="15"/>
        <v>0</v>
      </c>
      <c r="BT43" s="875">
        <f t="shared" si="16"/>
        <v>0</v>
      </c>
      <c r="BU43" s="878">
        <f t="shared" si="44"/>
        <v>0</v>
      </c>
      <c r="CE43" s="486">
        <v>32</v>
      </c>
    </row>
    <row r="44" spans="1:83" s="177" customFormat="1" ht="21.95" customHeight="1" x14ac:dyDescent="0.2">
      <c r="A44" s="237">
        <f t="shared" si="17"/>
        <v>0</v>
      </c>
      <c r="B44" s="237">
        <f t="shared" si="18"/>
        <v>0</v>
      </c>
      <c r="C44" s="393">
        <f t="shared" si="2"/>
        <v>0</v>
      </c>
      <c r="D44" s="393" t="str">
        <f t="shared" si="3"/>
        <v xml:space="preserve">03 </v>
      </c>
      <c r="E44" s="959" t="s">
        <v>1386</v>
      </c>
      <c r="F44" s="959" t="s">
        <v>2206</v>
      </c>
      <c r="G44" s="959" t="s">
        <v>90</v>
      </c>
      <c r="H44" s="970">
        <v>15</v>
      </c>
      <c r="I44" s="965">
        <v>157.62729999999999</v>
      </c>
      <c r="J44" s="964">
        <v>2364.41</v>
      </c>
      <c r="K44" s="367">
        <v>0</v>
      </c>
      <c r="L44" s="367">
        <f>IF($H44="",0,VLOOKUP($E44,Plan3!$A$16:$CT$384,$E$7,0)%)</f>
        <v>0</v>
      </c>
      <c r="M44" s="368">
        <f t="shared" si="24"/>
        <v>0</v>
      </c>
      <c r="N44" s="368">
        <f t="shared" si="25"/>
        <v>0</v>
      </c>
      <c r="O44" s="367">
        <v>0</v>
      </c>
      <c r="P44" s="367">
        <f>VLOOKUP($E44,Plan3!$A$492:$P$858,13,0)%</f>
        <v>0</v>
      </c>
      <c r="Q44" s="368">
        <f t="shared" si="26"/>
        <v>0</v>
      </c>
      <c r="R44" s="368">
        <f t="shared" si="27"/>
        <v>0</v>
      </c>
      <c r="S44" s="880">
        <v>2391.837156</v>
      </c>
      <c r="T44" s="880">
        <f t="shared" si="28"/>
        <v>0</v>
      </c>
      <c r="U44" s="880">
        <f>IF($I44="",0,($S44-$T44)*(1+('Econômico Macro'!$R$12/100)))</f>
        <v>2433.2159387988004</v>
      </c>
      <c r="V44" s="880">
        <f t="shared" si="29"/>
        <v>2433.2159387988004</v>
      </c>
      <c r="W44" s="880">
        <f t="shared" si="30"/>
        <v>0</v>
      </c>
      <c r="X44" s="367">
        <f t="shared" si="5"/>
        <v>0</v>
      </c>
      <c r="Y44" s="367">
        <f t="shared" si="6"/>
        <v>0</v>
      </c>
      <c r="Z44" s="367">
        <f t="shared" si="7"/>
        <v>0</v>
      </c>
      <c r="AA44" s="367">
        <f t="shared" si="8"/>
        <v>0</v>
      </c>
      <c r="AB44" s="369" t="str">
        <f t="shared" si="9"/>
        <v>Não Iniciada</v>
      </c>
      <c r="AC44" s="365"/>
      <c r="AD44" s="368">
        <v>1</v>
      </c>
      <c r="AE44" s="368">
        <f t="shared" si="31"/>
        <v>-1</v>
      </c>
      <c r="AF44" s="365"/>
      <c r="AG44" s="863">
        <f t="shared" si="20"/>
        <v>0</v>
      </c>
      <c r="AH44" s="864">
        <f t="shared" si="32"/>
        <v>0</v>
      </c>
      <c r="AI44" s="863">
        <f t="shared" si="21"/>
        <v>0</v>
      </c>
      <c r="AJ44" s="864">
        <f t="shared" si="33"/>
        <v>0</v>
      </c>
      <c r="AK44" s="365"/>
      <c r="AL44" s="865">
        <f t="shared" si="22"/>
        <v>0</v>
      </c>
      <c r="AM44" s="866">
        <f t="shared" si="34"/>
        <v>0</v>
      </c>
      <c r="AN44" s="866">
        <f t="shared" si="35"/>
        <v>0</v>
      </c>
      <c r="AO44" s="866">
        <f t="shared" si="36"/>
        <v>0</v>
      </c>
      <c r="AP44" s="867">
        <f t="shared" si="37"/>
        <v>0</v>
      </c>
      <c r="AQ44" s="591">
        <f t="shared" si="23"/>
        <v>0</v>
      </c>
      <c r="AR44" s="868">
        <f>IF(AND($L44=0,$P44=0)=TRUE,VLOOKUP($E44,Plan3!$A$16:$CT$487,$E$7+3,0)/100,0)</f>
        <v>0</v>
      </c>
      <c r="AS44" s="868">
        <f>IF(AND($L44=0,$P44=0)=TRUE,VLOOKUP($E44,Plan3!$A$16:$CT$487,$E$7+6,0)/100,0)</f>
        <v>0</v>
      </c>
      <c r="AT44" s="868">
        <f>IF(AND($L44=0,$P44=0)=TRUE,VLOOKUP($E44,Plan3!$A$16:$CT$487,$E$7+9,0)/100,0)</f>
        <v>0</v>
      </c>
      <c r="AU44" s="868">
        <f>IF(AND($L44=0,$P44=0)=TRUE,VLOOKUP($E44,Plan3!$A$16:$CT$487,$E$7+12,0)/100,0)</f>
        <v>0</v>
      </c>
      <c r="AV44" s="841"/>
      <c r="AW44" s="869">
        <f t="shared" si="38"/>
        <v>0</v>
      </c>
      <c r="AX44" s="870">
        <f t="shared" si="39"/>
        <v>0</v>
      </c>
      <c r="AY44" s="871">
        <f t="shared" si="40"/>
        <v>0</v>
      </c>
      <c r="AZ44" s="237" t="str">
        <f t="shared" si="10"/>
        <v xml:space="preserve">03.001.000.005 </v>
      </c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  <c r="BL44" s="872">
        <f t="shared" si="11"/>
        <v>0</v>
      </c>
      <c r="BM44" s="873">
        <f t="shared" si="12"/>
        <v>0</v>
      </c>
      <c r="BN44" s="874">
        <f t="shared" si="41"/>
        <v>0</v>
      </c>
      <c r="BO44" s="875">
        <f t="shared" si="13"/>
        <v>0</v>
      </c>
      <c r="BP44" s="875">
        <f t="shared" si="14"/>
        <v>0</v>
      </c>
      <c r="BQ44" s="876">
        <f t="shared" si="42"/>
        <v>0</v>
      </c>
      <c r="BR44" s="877">
        <f t="shared" si="43"/>
        <v>0</v>
      </c>
      <c r="BS44" s="875">
        <f t="shared" si="15"/>
        <v>0</v>
      </c>
      <c r="BT44" s="875">
        <f t="shared" si="16"/>
        <v>0</v>
      </c>
      <c r="BU44" s="878">
        <f t="shared" si="44"/>
        <v>0</v>
      </c>
      <c r="CE44" s="486">
        <v>33</v>
      </c>
    </row>
    <row r="45" spans="1:83" s="177" customFormat="1" ht="21.95" customHeight="1" x14ac:dyDescent="0.2">
      <c r="A45" s="237">
        <f t="shared" si="17"/>
        <v>0</v>
      </c>
      <c r="B45" s="237">
        <f t="shared" si="18"/>
        <v>0</v>
      </c>
      <c r="C45" s="393">
        <f t="shared" si="2"/>
        <v>0</v>
      </c>
      <c r="D45" s="393" t="str">
        <f t="shared" si="3"/>
        <v xml:space="preserve">03 </v>
      </c>
      <c r="E45" s="959" t="s">
        <v>1387</v>
      </c>
      <c r="F45" s="959" t="s">
        <v>2207</v>
      </c>
      <c r="G45" s="959" t="s">
        <v>90</v>
      </c>
      <c r="H45" s="960">
        <v>6</v>
      </c>
      <c r="I45" s="970">
        <v>83.174700000000001</v>
      </c>
      <c r="J45" s="966">
        <v>499.05</v>
      </c>
      <c r="K45" s="367">
        <v>0</v>
      </c>
      <c r="L45" s="367">
        <f>IF($H45="",0,VLOOKUP($E45,Plan3!$A$16:$CT$384,$E$7,0)%)</f>
        <v>0</v>
      </c>
      <c r="M45" s="368">
        <f t="shared" si="24"/>
        <v>0</v>
      </c>
      <c r="N45" s="368">
        <f t="shared" si="25"/>
        <v>0</v>
      </c>
      <c r="O45" s="367">
        <v>0</v>
      </c>
      <c r="P45" s="367">
        <f>VLOOKUP($E45,Plan3!$A$492:$P$858,13,0)%</f>
        <v>0</v>
      </c>
      <c r="Q45" s="368">
        <f t="shared" si="26"/>
        <v>0</v>
      </c>
      <c r="R45" s="368">
        <f t="shared" si="27"/>
        <v>0</v>
      </c>
      <c r="S45" s="880">
        <v>504.83898000000005</v>
      </c>
      <c r="T45" s="880">
        <f t="shared" si="28"/>
        <v>0</v>
      </c>
      <c r="U45" s="880">
        <f>IF($I45="",0,($S45-$T45)*(1+('Econômico Macro'!$R$12/100)))</f>
        <v>513.57269435400008</v>
      </c>
      <c r="V45" s="880">
        <f t="shared" si="29"/>
        <v>513.57269435400008</v>
      </c>
      <c r="W45" s="880">
        <f t="shared" si="30"/>
        <v>0</v>
      </c>
      <c r="X45" s="367">
        <f t="shared" si="5"/>
        <v>0</v>
      </c>
      <c r="Y45" s="367">
        <f t="shared" si="6"/>
        <v>0</v>
      </c>
      <c r="Z45" s="367">
        <f t="shared" si="7"/>
        <v>0</v>
      </c>
      <c r="AA45" s="367">
        <f t="shared" si="8"/>
        <v>0</v>
      </c>
      <c r="AB45" s="369" t="str">
        <f t="shared" si="9"/>
        <v>Não Iniciada</v>
      </c>
      <c r="AC45" s="365"/>
      <c r="AD45" s="368">
        <v>1</v>
      </c>
      <c r="AE45" s="368">
        <f t="shared" si="31"/>
        <v>-1</v>
      </c>
      <c r="AF45" s="365"/>
      <c r="AG45" s="863">
        <f t="shared" si="20"/>
        <v>0</v>
      </c>
      <c r="AH45" s="864">
        <f t="shared" si="32"/>
        <v>0</v>
      </c>
      <c r="AI45" s="863">
        <f t="shared" si="21"/>
        <v>0</v>
      </c>
      <c r="AJ45" s="864">
        <f t="shared" si="33"/>
        <v>0</v>
      </c>
      <c r="AK45" s="365"/>
      <c r="AL45" s="865">
        <f t="shared" si="22"/>
        <v>0</v>
      </c>
      <c r="AM45" s="866">
        <f t="shared" si="34"/>
        <v>0</v>
      </c>
      <c r="AN45" s="866">
        <f t="shared" si="35"/>
        <v>0</v>
      </c>
      <c r="AO45" s="866">
        <f t="shared" si="36"/>
        <v>0</v>
      </c>
      <c r="AP45" s="867">
        <f t="shared" si="37"/>
        <v>0</v>
      </c>
      <c r="AQ45" s="591">
        <f t="shared" si="23"/>
        <v>0</v>
      </c>
      <c r="AR45" s="868">
        <f>IF(AND($L45=0,$P45=0)=TRUE,VLOOKUP($E45,Plan3!$A$16:$CT$487,$E$7+3,0)/100,0)</f>
        <v>0</v>
      </c>
      <c r="AS45" s="868">
        <f>IF(AND($L45=0,$P45=0)=TRUE,VLOOKUP($E45,Plan3!$A$16:$CT$487,$E$7+6,0)/100,0)</f>
        <v>0</v>
      </c>
      <c r="AT45" s="868">
        <f>IF(AND($L45=0,$P45=0)=TRUE,VLOOKUP($E45,Plan3!$A$16:$CT$487,$E$7+9,0)/100,0)</f>
        <v>0</v>
      </c>
      <c r="AU45" s="868">
        <f>IF(AND($L45=0,$P45=0)=TRUE,VLOOKUP($E45,Plan3!$A$16:$CT$487,$E$7+12,0)/100,0)</f>
        <v>0</v>
      </c>
      <c r="AV45" s="841"/>
      <c r="AW45" s="869">
        <f t="shared" si="38"/>
        <v>0</v>
      </c>
      <c r="AX45" s="870">
        <f t="shared" si="39"/>
        <v>0</v>
      </c>
      <c r="AY45" s="871">
        <f t="shared" si="40"/>
        <v>0</v>
      </c>
      <c r="AZ45" s="237" t="str">
        <f t="shared" si="10"/>
        <v xml:space="preserve">03.001.000.006 </v>
      </c>
      <c r="BA45" s="365"/>
      <c r="BB45" s="365"/>
      <c r="BC45" s="365"/>
      <c r="BD45" s="365"/>
      <c r="BE45" s="365"/>
      <c r="BF45" s="365"/>
      <c r="BG45" s="365"/>
      <c r="BH45" s="365"/>
      <c r="BI45" s="365"/>
      <c r="BJ45" s="365"/>
      <c r="BK45" s="365"/>
      <c r="BL45" s="872">
        <f t="shared" si="11"/>
        <v>0</v>
      </c>
      <c r="BM45" s="873">
        <f t="shared" si="12"/>
        <v>0</v>
      </c>
      <c r="BN45" s="874">
        <f t="shared" si="41"/>
        <v>0</v>
      </c>
      <c r="BO45" s="875">
        <f t="shared" si="13"/>
        <v>0</v>
      </c>
      <c r="BP45" s="875">
        <f t="shared" si="14"/>
        <v>0</v>
      </c>
      <c r="BQ45" s="876">
        <f t="shared" si="42"/>
        <v>0</v>
      </c>
      <c r="BR45" s="877">
        <f t="shared" si="43"/>
        <v>0</v>
      </c>
      <c r="BS45" s="875">
        <f t="shared" si="15"/>
        <v>0</v>
      </c>
      <c r="BT45" s="875">
        <f t="shared" si="16"/>
        <v>0</v>
      </c>
      <c r="BU45" s="878">
        <f t="shared" si="44"/>
        <v>0</v>
      </c>
      <c r="CE45" s="486">
        <v>34</v>
      </c>
    </row>
    <row r="46" spans="1:83" s="177" customFormat="1" ht="21.95" customHeight="1" x14ac:dyDescent="0.2">
      <c r="A46" s="237">
        <f t="shared" si="17"/>
        <v>0</v>
      </c>
      <c r="B46" s="237">
        <f t="shared" si="18"/>
        <v>0</v>
      </c>
      <c r="C46" s="393">
        <f t="shared" si="2"/>
        <v>0</v>
      </c>
      <c r="D46" s="393" t="str">
        <f t="shared" si="3"/>
        <v xml:space="preserve">03 </v>
      </c>
      <c r="E46" s="959" t="s">
        <v>1388</v>
      </c>
      <c r="F46" s="959" t="s">
        <v>424</v>
      </c>
      <c r="G46" s="959" t="s">
        <v>7</v>
      </c>
      <c r="H46" s="960">
        <v>1</v>
      </c>
      <c r="I46" s="963">
        <v>2158.94</v>
      </c>
      <c r="J46" s="964">
        <v>2158.94</v>
      </c>
      <c r="K46" s="367">
        <v>0</v>
      </c>
      <c r="L46" s="367">
        <f>IF($H46="",0,VLOOKUP($E46,Plan3!$A$16:$CT$384,$E$7,0)%)</f>
        <v>0</v>
      </c>
      <c r="M46" s="368">
        <f t="shared" si="24"/>
        <v>0</v>
      </c>
      <c r="N46" s="368">
        <f t="shared" si="25"/>
        <v>0</v>
      </c>
      <c r="O46" s="367">
        <v>0</v>
      </c>
      <c r="P46" s="367">
        <f>VLOOKUP($E46,Plan3!$A$492:$P$858,13,0)%</f>
        <v>0</v>
      </c>
      <c r="Q46" s="368">
        <f t="shared" si="26"/>
        <v>0</v>
      </c>
      <c r="R46" s="368">
        <f t="shared" si="27"/>
        <v>0</v>
      </c>
      <c r="S46" s="880">
        <v>2183.9837040000002</v>
      </c>
      <c r="T46" s="880">
        <f t="shared" si="28"/>
        <v>0</v>
      </c>
      <c r="U46" s="880">
        <f>IF($I46="",0,($S46-$T46)*(1+('Econômico Macro'!$R$12/100)))</f>
        <v>2221.7666220792003</v>
      </c>
      <c r="V46" s="880">
        <f t="shared" si="29"/>
        <v>2221.7666220792003</v>
      </c>
      <c r="W46" s="880">
        <f t="shared" si="30"/>
        <v>0</v>
      </c>
      <c r="X46" s="367">
        <f t="shared" si="5"/>
        <v>0</v>
      </c>
      <c r="Y46" s="367">
        <f t="shared" si="6"/>
        <v>0</v>
      </c>
      <c r="Z46" s="367">
        <f t="shared" si="7"/>
        <v>0</v>
      </c>
      <c r="AA46" s="367">
        <f t="shared" si="8"/>
        <v>0</v>
      </c>
      <c r="AB46" s="369" t="str">
        <f t="shared" si="9"/>
        <v>Não Iniciada</v>
      </c>
      <c r="AC46" s="365"/>
      <c r="AD46" s="368">
        <v>1</v>
      </c>
      <c r="AE46" s="368">
        <f t="shared" si="31"/>
        <v>-1</v>
      </c>
      <c r="AF46" s="365"/>
      <c r="AG46" s="863">
        <f t="shared" si="20"/>
        <v>0</v>
      </c>
      <c r="AH46" s="864">
        <f t="shared" si="32"/>
        <v>0</v>
      </c>
      <c r="AI46" s="863">
        <f t="shared" si="21"/>
        <v>0</v>
      </c>
      <c r="AJ46" s="864">
        <f t="shared" si="33"/>
        <v>0</v>
      </c>
      <c r="AK46" s="365"/>
      <c r="AL46" s="865">
        <f t="shared" si="22"/>
        <v>0</v>
      </c>
      <c r="AM46" s="866">
        <f t="shared" si="34"/>
        <v>0</v>
      </c>
      <c r="AN46" s="866">
        <f t="shared" si="35"/>
        <v>0</v>
      </c>
      <c r="AO46" s="866">
        <f t="shared" si="36"/>
        <v>0</v>
      </c>
      <c r="AP46" s="867">
        <f t="shared" si="37"/>
        <v>0</v>
      </c>
      <c r="AQ46" s="591">
        <f t="shared" si="23"/>
        <v>0</v>
      </c>
      <c r="AR46" s="868">
        <f>IF(AND($L46=0,$P46=0)=TRUE,VLOOKUP($E46,Plan3!$A$16:$CT$487,$E$7+3,0)/100,0)</f>
        <v>0</v>
      </c>
      <c r="AS46" s="868">
        <f>IF(AND($L46=0,$P46=0)=TRUE,VLOOKUP($E46,Plan3!$A$16:$CT$487,$E$7+6,0)/100,0)</f>
        <v>0</v>
      </c>
      <c r="AT46" s="868">
        <f>IF(AND($L46=0,$P46=0)=TRUE,VLOOKUP($E46,Plan3!$A$16:$CT$487,$E$7+9,0)/100,0)</f>
        <v>0</v>
      </c>
      <c r="AU46" s="868">
        <f>IF(AND($L46=0,$P46=0)=TRUE,VLOOKUP($E46,Plan3!$A$16:$CT$487,$E$7+12,0)/100,0)</f>
        <v>0</v>
      </c>
      <c r="AV46" s="841"/>
      <c r="AW46" s="869">
        <f t="shared" si="38"/>
        <v>0</v>
      </c>
      <c r="AX46" s="870">
        <f t="shared" si="39"/>
        <v>0</v>
      </c>
      <c r="AY46" s="871">
        <f t="shared" si="40"/>
        <v>0</v>
      </c>
      <c r="AZ46" s="237" t="str">
        <f t="shared" si="10"/>
        <v xml:space="preserve">03.001.000.007 </v>
      </c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872">
        <f t="shared" si="11"/>
        <v>0</v>
      </c>
      <c r="BM46" s="873">
        <f t="shared" si="12"/>
        <v>0</v>
      </c>
      <c r="BN46" s="874">
        <f t="shared" si="41"/>
        <v>0</v>
      </c>
      <c r="BO46" s="875">
        <f t="shared" si="13"/>
        <v>0</v>
      </c>
      <c r="BP46" s="875">
        <f t="shared" si="14"/>
        <v>0</v>
      </c>
      <c r="BQ46" s="876">
        <f t="shared" si="42"/>
        <v>0</v>
      </c>
      <c r="BR46" s="877">
        <f t="shared" si="43"/>
        <v>0</v>
      </c>
      <c r="BS46" s="875">
        <f t="shared" si="15"/>
        <v>0</v>
      </c>
      <c r="BT46" s="875">
        <f t="shared" si="16"/>
        <v>0</v>
      </c>
      <c r="BU46" s="878">
        <f t="shared" si="44"/>
        <v>0</v>
      </c>
      <c r="CE46" s="486">
        <v>35</v>
      </c>
    </row>
    <row r="47" spans="1:83" s="177" customFormat="1" ht="21.95" customHeight="1" x14ac:dyDescent="0.2">
      <c r="A47" s="237">
        <f t="shared" si="17"/>
        <v>0</v>
      </c>
      <c r="B47" s="237">
        <f t="shared" si="18"/>
        <v>0</v>
      </c>
      <c r="C47" s="393">
        <f t="shared" si="2"/>
        <v>0</v>
      </c>
      <c r="D47" s="393" t="str">
        <f t="shared" si="3"/>
        <v xml:space="preserve">03 </v>
      </c>
      <c r="E47" s="967" t="s">
        <v>598</v>
      </c>
      <c r="F47" s="967" t="s">
        <v>117</v>
      </c>
      <c r="G47" s="967"/>
      <c r="H47" s="968"/>
      <c r="I47" s="968"/>
      <c r="J47" s="969">
        <v>11130.25</v>
      </c>
      <c r="K47" s="367">
        <v>0</v>
      </c>
      <c r="L47" s="367">
        <f>IF($H47="",0,VLOOKUP($E47,Plan3!$A$16:$CT$384,$E$7,0)%)</f>
        <v>0</v>
      </c>
      <c r="M47" s="368">
        <f t="shared" si="24"/>
        <v>0</v>
      </c>
      <c r="N47" s="368">
        <f t="shared" si="25"/>
        <v>0</v>
      </c>
      <c r="O47" s="367">
        <v>0</v>
      </c>
      <c r="P47" s="367">
        <f>VLOOKUP($E47,Plan3!$A$492:$P$858,13,0)%</f>
        <v>0</v>
      </c>
      <c r="Q47" s="368">
        <f t="shared" si="26"/>
        <v>0</v>
      </c>
      <c r="R47" s="368">
        <f t="shared" si="27"/>
        <v>0</v>
      </c>
      <c r="S47" s="880">
        <v>0</v>
      </c>
      <c r="T47" s="880">
        <f t="shared" si="28"/>
        <v>0</v>
      </c>
      <c r="U47" s="880">
        <f>IF($I47="",0,($S47-$T47)*(1+('Econômico Macro'!$R$12/100)))</f>
        <v>0</v>
      </c>
      <c r="V47" s="880">
        <f t="shared" si="29"/>
        <v>0</v>
      </c>
      <c r="W47" s="880">
        <f t="shared" si="30"/>
        <v>0</v>
      </c>
      <c r="X47" s="367">
        <f t="shared" si="5"/>
        <v>0</v>
      </c>
      <c r="Y47" s="367">
        <f t="shared" si="6"/>
        <v>0</v>
      </c>
      <c r="Z47" s="367">
        <f t="shared" si="7"/>
        <v>0</v>
      </c>
      <c r="AA47" s="367">
        <f t="shared" si="8"/>
        <v>0</v>
      </c>
      <c r="AB47" s="369" t="str">
        <f t="shared" si="9"/>
        <v>Não Iniciada</v>
      </c>
      <c r="AC47" s="365"/>
      <c r="AD47" s="368">
        <v>1</v>
      </c>
      <c r="AE47" s="368">
        <f t="shared" si="31"/>
        <v>-1</v>
      </c>
      <c r="AF47" s="365"/>
      <c r="AG47" s="863">
        <f t="shared" si="20"/>
        <v>0</v>
      </c>
      <c r="AH47" s="864">
        <f t="shared" si="32"/>
        <v>0</v>
      </c>
      <c r="AI47" s="863">
        <f t="shared" si="21"/>
        <v>0</v>
      </c>
      <c r="AJ47" s="864">
        <f t="shared" si="33"/>
        <v>0</v>
      </c>
      <c r="AK47" s="365"/>
      <c r="AL47" s="865">
        <f t="shared" si="22"/>
        <v>0</v>
      </c>
      <c r="AM47" s="866">
        <f t="shared" si="34"/>
        <v>0</v>
      </c>
      <c r="AN47" s="866">
        <f t="shared" si="35"/>
        <v>0</v>
      </c>
      <c r="AO47" s="866">
        <f t="shared" si="36"/>
        <v>0</v>
      </c>
      <c r="AP47" s="867">
        <f t="shared" si="37"/>
        <v>0</v>
      </c>
      <c r="AQ47" s="591"/>
      <c r="AR47" s="868"/>
      <c r="AS47" s="868"/>
      <c r="AT47" s="868"/>
      <c r="AU47" s="868"/>
      <c r="AV47" s="841"/>
      <c r="AW47" s="869"/>
      <c r="AX47" s="870"/>
      <c r="AY47" s="871"/>
      <c r="AZ47" s="237" t="str">
        <f t="shared" si="10"/>
        <v xml:space="preserve">03.002 </v>
      </c>
      <c r="BA47" s="365"/>
      <c r="BB47" s="365"/>
      <c r="BC47" s="365"/>
      <c r="BD47" s="365"/>
      <c r="BE47" s="365"/>
      <c r="BF47" s="365"/>
      <c r="BG47" s="365"/>
      <c r="BH47" s="365"/>
      <c r="BI47" s="365"/>
      <c r="BJ47" s="365"/>
      <c r="BK47" s="365"/>
      <c r="BL47" s="872">
        <f t="shared" si="11"/>
        <v>0</v>
      </c>
      <c r="BM47" s="873">
        <f t="shared" si="12"/>
        <v>0</v>
      </c>
      <c r="BN47" s="874">
        <f t="shared" si="41"/>
        <v>0</v>
      </c>
      <c r="BO47" s="875">
        <f t="shared" si="13"/>
        <v>0</v>
      </c>
      <c r="BP47" s="875">
        <f t="shared" si="14"/>
        <v>0</v>
      </c>
      <c r="BQ47" s="876">
        <f t="shared" si="42"/>
        <v>0</v>
      </c>
      <c r="BR47" s="877">
        <f t="shared" si="43"/>
        <v>0</v>
      </c>
      <c r="BS47" s="875">
        <f t="shared" si="15"/>
        <v>0</v>
      </c>
      <c r="BT47" s="875">
        <f t="shared" si="16"/>
        <v>0</v>
      </c>
      <c r="BU47" s="878">
        <f t="shared" si="44"/>
        <v>0</v>
      </c>
      <c r="CE47" s="486">
        <v>36</v>
      </c>
    </row>
    <row r="48" spans="1:83" s="177" customFormat="1" ht="21.95" customHeight="1" x14ac:dyDescent="0.2">
      <c r="A48" s="237">
        <f t="shared" si="17"/>
        <v>0</v>
      </c>
      <c r="B48" s="237">
        <f t="shared" si="18"/>
        <v>0</v>
      </c>
      <c r="C48" s="393">
        <f t="shared" si="2"/>
        <v>0</v>
      </c>
      <c r="D48" s="393" t="str">
        <f t="shared" si="3"/>
        <v xml:space="preserve">03 </v>
      </c>
      <c r="E48" s="959" t="s">
        <v>600</v>
      </c>
      <c r="F48" s="959" t="s">
        <v>430</v>
      </c>
      <c r="G48" s="959" t="s">
        <v>7</v>
      </c>
      <c r="H48" s="960">
        <v>1</v>
      </c>
      <c r="I48" s="965">
        <v>800</v>
      </c>
      <c r="J48" s="966">
        <v>800</v>
      </c>
      <c r="K48" s="367">
        <v>1</v>
      </c>
      <c r="L48" s="367">
        <f>IF($H48="",0,VLOOKUP($E48,Plan3!$A$16:$CT$384,$E$7,0)%)</f>
        <v>1</v>
      </c>
      <c r="M48" s="368">
        <f t="shared" si="24"/>
        <v>1</v>
      </c>
      <c r="N48" s="368">
        <f t="shared" si="25"/>
        <v>800</v>
      </c>
      <c r="O48" s="367">
        <v>1</v>
      </c>
      <c r="P48" s="367">
        <f>VLOOKUP($E48,Plan3!$A$492:$P$858,13,0)%</f>
        <v>1</v>
      </c>
      <c r="Q48" s="368">
        <f t="shared" si="26"/>
        <v>1</v>
      </c>
      <c r="R48" s="368">
        <f t="shared" si="27"/>
        <v>800</v>
      </c>
      <c r="S48" s="880">
        <v>800</v>
      </c>
      <c r="T48" s="880">
        <f t="shared" si="28"/>
        <v>800</v>
      </c>
      <c r="U48" s="880">
        <f>IF($I48="",0,($S48-$T48)*(1+('Econômico Macro'!$R$12/100)))</f>
        <v>0</v>
      </c>
      <c r="V48" s="880">
        <f t="shared" si="29"/>
        <v>800</v>
      </c>
      <c r="W48" s="880">
        <f t="shared" si="30"/>
        <v>800</v>
      </c>
      <c r="X48" s="367">
        <f t="shared" si="5"/>
        <v>0</v>
      </c>
      <c r="Y48" s="367">
        <f t="shared" si="6"/>
        <v>0</v>
      </c>
      <c r="Z48" s="367">
        <f t="shared" si="7"/>
        <v>0</v>
      </c>
      <c r="AA48" s="367">
        <f t="shared" si="8"/>
        <v>0</v>
      </c>
      <c r="AB48" s="369">
        <f t="shared" si="9"/>
        <v>0</v>
      </c>
      <c r="AC48" s="365"/>
      <c r="AD48" s="368">
        <v>1</v>
      </c>
      <c r="AE48" s="368">
        <f t="shared" si="31"/>
        <v>0</v>
      </c>
      <c r="AF48" s="365"/>
      <c r="AG48" s="863">
        <f t="shared" si="20"/>
        <v>0</v>
      </c>
      <c r="AH48" s="864">
        <f t="shared" si="32"/>
        <v>0</v>
      </c>
      <c r="AI48" s="863">
        <f t="shared" si="21"/>
        <v>0</v>
      </c>
      <c r="AJ48" s="864">
        <f t="shared" si="33"/>
        <v>0</v>
      </c>
      <c r="AK48" s="365"/>
      <c r="AL48" s="865">
        <f t="shared" si="22"/>
        <v>800</v>
      </c>
      <c r="AM48" s="866">
        <f t="shared" si="34"/>
        <v>0</v>
      </c>
      <c r="AN48" s="866">
        <f t="shared" si="35"/>
        <v>0</v>
      </c>
      <c r="AO48" s="866">
        <f t="shared" si="36"/>
        <v>0</v>
      </c>
      <c r="AP48" s="867">
        <f t="shared" si="37"/>
        <v>0</v>
      </c>
      <c r="AQ48" s="591">
        <f t="shared" si="23"/>
        <v>0</v>
      </c>
      <c r="AR48" s="868">
        <f>IF(AND($L48=0,$P48=0)=TRUE,VLOOKUP($E48,Plan3!$A$16:$CT$487,$E$7+3,0)/100,0)</f>
        <v>0</v>
      </c>
      <c r="AS48" s="868">
        <f>IF(AND($L48=0,$P48=0)=TRUE,VLOOKUP($E48,Plan3!$A$16:$CT$487,$E$7+6,0)/100,0)</f>
        <v>0</v>
      </c>
      <c r="AT48" s="868">
        <f>IF(AND($L48=0,$P48=0)=TRUE,VLOOKUP($E48,Plan3!$A$16:$CT$487,$E$7+9,0)/100,0)</f>
        <v>0</v>
      </c>
      <c r="AU48" s="868">
        <f>IF(AND($L48=0,$P48=0)=TRUE,VLOOKUP($E48,Plan3!$A$16:$CT$487,$E$7+12,0)/100,0)</f>
        <v>0</v>
      </c>
      <c r="AV48" s="841"/>
      <c r="AW48" s="869">
        <f t="shared" si="38"/>
        <v>0</v>
      </c>
      <c r="AX48" s="870">
        <f t="shared" si="39"/>
        <v>0</v>
      </c>
      <c r="AY48" s="871">
        <f t="shared" si="40"/>
        <v>0</v>
      </c>
      <c r="AZ48" s="237" t="str">
        <f t="shared" si="10"/>
        <v xml:space="preserve">03.002.000.001 </v>
      </c>
      <c r="BA48" s="365"/>
      <c r="BB48" s="365"/>
      <c r="BC48" s="365"/>
      <c r="BD48" s="365"/>
      <c r="BE48" s="365"/>
      <c r="BF48" s="365"/>
      <c r="BG48" s="365"/>
      <c r="BH48" s="365"/>
      <c r="BI48" s="365"/>
      <c r="BJ48" s="365"/>
      <c r="BK48" s="365"/>
      <c r="BL48" s="872">
        <f t="shared" si="11"/>
        <v>0</v>
      </c>
      <c r="BM48" s="873">
        <f t="shared" si="12"/>
        <v>0</v>
      </c>
      <c r="BN48" s="874">
        <f t="shared" si="41"/>
        <v>0</v>
      </c>
      <c r="BO48" s="875">
        <f t="shared" si="13"/>
        <v>0</v>
      </c>
      <c r="BP48" s="875">
        <f t="shared" si="14"/>
        <v>0</v>
      </c>
      <c r="BQ48" s="876">
        <f t="shared" si="42"/>
        <v>0</v>
      </c>
      <c r="BR48" s="877">
        <f t="shared" si="43"/>
        <v>0</v>
      </c>
      <c r="BS48" s="875">
        <f t="shared" si="15"/>
        <v>0</v>
      </c>
      <c r="BT48" s="875">
        <f t="shared" si="16"/>
        <v>0</v>
      </c>
      <c r="BU48" s="878">
        <f t="shared" si="44"/>
        <v>0</v>
      </c>
      <c r="CE48" s="486">
        <v>37</v>
      </c>
    </row>
    <row r="49" spans="1:83" s="177" customFormat="1" ht="21.95" customHeight="1" x14ac:dyDescent="0.2">
      <c r="A49" s="237">
        <f t="shared" si="17"/>
        <v>2</v>
      </c>
      <c r="B49" s="237">
        <f t="shared" si="18"/>
        <v>0</v>
      </c>
      <c r="C49" s="393">
        <f t="shared" si="2"/>
        <v>0</v>
      </c>
      <c r="D49" s="393" t="str">
        <f t="shared" si="3"/>
        <v xml:space="preserve">03 </v>
      </c>
      <c r="E49" s="959" t="s">
        <v>601</v>
      </c>
      <c r="F49" s="959" t="s">
        <v>449</v>
      </c>
      <c r="G49" s="959" t="s">
        <v>7</v>
      </c>
      <c r="H49" s="960">
        <v>1</v>
      </c>
      <c r="I49" s="963">
        <v>3039.1</v>
      </c>
      <c r="J49" s="964">
        <v>3039.1</v>
      </c>
      <c r="K49" s="367">
        <v>0</v>
      </c>
      <c r="L49" s="367">
        <f>IF($H49="",0,VLOOKUP($E49,Plan3!$A$16:$CT$384,$E$7,0)%)</f>
        <v>0</v>
      </c>
      <c r="M49" s="368">
        <f t="shared" si="24"/>
        <v>0</v>
      </c>
      <c r="N49" s="368">
        <f t="shared" si="25"/>
        <v>0</v>
      </c>
      <c r="O49" s="367">
        <v>1</v>
      </c>
      <c r="P49" s="367">
        <f>VLOOKUP($E49,Plan3!$A$492:$P$858,13,0)%</f>
        <v>1</v>
      </c>
      <c r="Q49" s="368">
        <f t="shared" si="26"/>
        <v>1</v>
      </c>
      <c r="R49" s="368">
        <f t="shared" si="27"/>
        <v>3039.1</v>
      </c>
      <c r="S49" s="880">
        <v>3039.1</v>
      </c>
      <c r="T49" s="880">
        <f t="shared" si="28"/>
        <v>3039.1</v>
      </c>
      <c r="U49" s="880">
        <f>IF($I49="",0,($S49-$T49)*(1+('Econômico Macro'!$R$12/100)))</f>
        <v>0</v>
      </c>
      <c r="V49" s="880">
        <f t="shared" si="29"/>
        <v>3039.1</v>
      </c>
      <c r="W49" s="880">
        <f t="shared" si="30"/>
        <v>0</v>
      </c>
      <c r="X49" s="367">
        <f t="shared" si="5"/>
        <v>0</v>
      </c>
      <c r="Y49" s="367">
        <f t="shared" si="6"/>
        <v>0</v>
      </c>
      <c r="Z49" s="367">
        <f t="shared" si="7"/>
        <v>1</v>
      </c>
      <c r="AA49" s="367">
        <f t="shared" si="8"/>
        <v>0</v>
      </c>
      <c r="AB49" s="369" t="str">
        <f t="shared" si="9"/>
        <v>Adiantada</v>
      </c>
      <c r="AC49" s="365"/>
      <c r="AD49" s="368">
        <v>1</v>
      </c>
      <c r="AE49" s="368">
        <f t="shared" si="31"/>
        <v>0</v>
      </c>
      <c r="AF49" s="365"/>
      <c r="AG49" s="863">
        <f t="shared" si="20"/>
        <v>0</v>
      </c>
      <c r="AH49" s="864">
        <f t="shared" si="32"/>
        <v>0</v>
      </c>
      <c r="AI49" s="863">
        <f t="shared" si="21"/>
        <v>3039.1</v>
      </c>
      <c r="AJ49" s="864">
        <f t="shared" si="33"/>
        <v>2</v>
      </c>
      <c r="AK49" s="365"/>
      <c r="AL49" s="865">
        <f t="shared" si="22"/>
        <v>3039.1</v>
      </c>
      <c r="AM49" s="866">
        <f t="shared" si="34"/>
        <v>0</v>
      </c>
      <c r="AN49" s="866">
        <f t="shared" si="35"/>
        <v>0</v>
      </c>
      <c r="AO49" s="866">
        <f t="shared" si="36"/>
        <v>3039.1</v>
      </c>
      <c r="AP49" s="867">
        <f t="shared" si="37"/>
        <v>0.24572323047094186</v>
      </c>
      <c r="AQ49" s="591">
        <f t="shared" si="23"/>
        <v>0</v>
      </c>
      <c r="AR49" s="868">
        <f>IF(AND($L49=0,$P49=0)=TRUE,VLOOKUP($E49,Plan3!$A$16:$CT$487,$E$7+3,0)/100,0)</f>
        <v>0</v>
      </c>
      <c r="AS49" s="868">
        <f>IF(AND($L49=0,$P49=0)=TRUE,VLOOKUP($E49,Plan3!$A$16:$CT$487,$E$7+6,0)/100,0)</f>
        <v>0</v>
      </c>
      <c r="AT49" s="868">
        <f>IF(AND($L49=0,$P49=0)=TRUE,VLOOKUP($E49,Plan3!$A$16:$CT$487,$E$7+9,0)/100,0)</f>
        <v>0</v>
      </c>
      <c r="AU49" s="868">
        <f>IF(AND($L49=0,$P49=0)=TRUE,VLOOKUP($E49,Plan3!$A$16:$CT$487,$E$7+12,0)/100,0)</f>
        <v>0</v>
      </c>
      <c r="AV49" s="841"/>
      <c r="AW49" s="869">
        <f t="shared" si="38"/>
        <v>0</v>
      </c>
      <c r="AX49" s="870">
        <f t="shared" si="39"/>
        <v>0</v>
      </c>
      <c r="AY49" s="871">
        <f t="shared" si="40"/>
        <v>0</v>
      </c>
      <c r="AZ49" s="237" t="str">
        <f t="shared" si="10"/>
        <v xml:space="preserve">03.002.000.002 </v>
      </c>
      <c r="BA49" s="365"/>
      <c r="BB49" s="365"/>
      <c r="BC49" s="365"/>
      <c r="BD49" s="365"/>
      <c r="BE49" s="365"/>
      <c r="BF49" s="365"/>
      <c r="BG49" s="365"/>
      <c r="BH49" s="365"/>
      <c r="BI49" s="365"/>
      <c r="BJ49" s="365"/>
      <c r="BK49" s="365"/>
      <c r="BL49" s="872">
        <f t="shared" si="11"/>
        <v>0</v>
      </c>
      <c r="BM49" s="873">
        <f t="shared" si="12"/>
        <v>0</v>
      </c>
      <c r="BN49" s="874">
        <f t="shared" si="41"/>
        <v>0</v>
      </c>
      <c r="BO49" s="875">
        <f t="shared" si="13"/>
        <v>0</v>
      </c>
      <c r="BP49" s="875">
        <f t="shared" si="14"/>
        <v>0</v>
      </c>
      <c r="BQ49" s="876">
        <f t="shared" si="42"/>
        <v>0</v>
      </c>
      <c r="BR49" s="877">
        <f t="shared" si="43"/>
        <v>0</v>
      </c>
      <c r="BS49" s="875">
        <f t="shared" si="15"/>
        <v>0</v>
      </c>
      <c r="BT49" s="875">
        <f t="shared" si="16"/>
        <v>0</v>
      </c>
      <c r="BU49" s="878">
        <f t="shared" si="44"/>
        <v>0</v>
      </c>
      <c r="CE49" s="486">
        <v>38</v>
      </c>
    </row>
    <row r="50" spans="1:83" s="177" customFormat="1" ht="21.95" customHeight="1" x14ac:dyDescent="0.2">
      <c r="A50" s="237">
        <f t="shared" si="17"/>
        <v>0</v>
      </c>
      <c r="B50" s="237">
        <f t="shared" si="18"/>
        <v>0</v>
      </c>
      <c r="C50" s="393">
        <f t="shared" si="2"/>
        <v>0</v>
      </c>
      <c r="D50" s="393" t="str">
        <f t="shared" si="3"/>
        <v xml:space="preserve">03 </v>
      </c>
      <c r="E50" s="959" t="s">
        <v>602</v>
      </c>
      <c r="F50" s="959" t="s">
        <v>2040</v>
      </c>
      <c r="G50" s="959" t="s">
        <v>90</v>
      </c>
      <c r="H50" s="970">
        <v>60</v>
      </c>
      <c r="I50" s="970">
        <v>75.224699999999999</v>
      </c>
      <c r="J50" s="964">
        <v>4513.49</v>
      </c>
      <c r="K50" s="367">
        <v>1</v>
      </c>
      <c r="L50" s="367">
        <f>IF($H50="",0,VLOOKUP($E50,Plan3!$A$16:$CT$384,$E$7,0)%)</f>
        <v>1</v>
      </c>
      <c r="M50" s="368">
        <f t="shared" si="24"/>
        <v>60</v>
      </c>
      <c r="N50" s="368">
        <f t="shared" si="25"/>
        <v>4513.49</v>
      </c>
      <c r="O50" s="367">
        <v>1</v>
      </c>
      <c r="P50" s="367">
        <f>VLOOKUP($E50,Plan3!$A$492:$P$858,13,0)%</f>
        <v>1</v>
      </c>
      <c r="Q50" s="368">
        <f t="shared" si="26"/>
        <v>60</v>
      </c>
      <c r="R50" s="368">
        <f t="shared" si="27"/>
        <v>4513.49</v>
      </c>
      <c r="S50" s="880">
        <v>4513.49</v>
      </c>
      <c r="T50" s="880">
        <f t="shared" si="28"/>
        <v>4513.49</v>
      </c>
      <c r="U50" s="880">
        <f>IF($I50="",0,($S50-$T50)*(1+('Econômico Macro'!$R$12/100)))</f>
        <v>0</v>
      </c>
      <c r="V50" s="880">
        <f t="shared" si="29"/>
        <v>4513.49</v>
      </c>
      <c r="W50" s="880">
        <f t="shared" si="30"/>
        <v>4513.49</v>
      </c>
      <c r="X50" s="367">
        <f t="shared" si="5"/>
        <v>0</v>
      </c>
      <c r="Y50" s="367">
        <f t="shared" si="6"/>
        <v>0</v>
      </c>
      <c r="Z50" s="367">
        <f t="shared" si="7"/>
        <v>0</v>
      </c>
      <c r="AA50" s="367">
        <f t="shared" si="8"/>
        <v>0</v>
      </c>
      <c r="AB50" s="369">
        <f t="shared" si="9"/>
        <v>0</v>
      </c>
      <c r="AC50" s="365"/>
      <c r="AD50" s="368">
        <v>1</v>
      </c>
      <c r="AE50" s="368">
        <f t="shared" si="31"/>
        <v>59</v>
      </c>
      <c r="AF50" s="365"/>
      <c r="AG50" s="863">
        <f t="shared" si="20"/>
        <v>0</v>
      </c>
      <c r="AH50" s="864">
        <f t="shared" si="32"/>
        <v>0</v>
      </c>
      <c r="AI50" s="863">
        <f t="shared" si="21"/>
        <v>0</v>
      </c>
      <c r="AJ50" s="864">
        <f t="shared" si="33"/>
        <v>0</v>
      </c>
      <c r="AK50" s="365"/>
      <c r="AL50" s="865">
        <f t="shared" si="22"/>
        <v>4513.49</v>
      </c>
      <c r="AM50" s="866">
        <f t="shared" si="34"/>
        <v>0</v>
      </c>
      <c r="AN50" s="866">
        <f t="shared" si="35"/>
        <v>0</v>
      </c>
      <c r="AO50" s="866">
        <f t="shared" si="36"/>
        <v>0</v>
      </c>
      <c r="AP50" s="867">
        <f t="shared" si="37"/>
        <v>0</v>
      </c>
      <c r="AQ50" s="591">
        <f t="shared" si="23"/>
        <v>0</v>
      </c>
      <c r="AR50" s="868">
        <f>IF(AND($L50=0,$P50=0)=TRUE,VLOOKUP($E50,Plan3!$A$16:$CT$487,$E$7+3,0)/100,0)</f>
        <v>0</v>
      </c>
      <c r="AS50" s="868">
        <f>IF(AND($L50=0,$P50=0)=TRUE,VLOOKUP($E50,Plan3!$A$16:$CT$487,$E$7+6,0)/100,0)</f>
        <v>0</v>
      </c>
      <c r="AT50" s="868">
        <f>IF(AND($L50=0,$P50=0)=TRUE,VLOOKUP($E50,Plan3!$A$16:$CT$487,$E$7+9,0)/100,0)</f>
        <v>0</v>
      </c>
      <c r="AU50" s="868">
        <f>IF(AND($L50=0,$P50=0)=TRUE,VLOOKUP($E50,Plan3!$A$16:$CT$487,$E$7+12,0)/100,0)</f>
        <v>0</v>
      </c>
      <c r="AV50" s="841"/>
      <c r="AW50" s="869">
        <f t="shared" si="38"/>
        <v>0</v>
      </c>
      <c r="AX50" s="870">
        <f t="shared" si="39"/>
        <v>0</v>
      </c>
      <c r="AY50" s="871">
        <f t="shared" si="40"/>
        <v>0</v>
      </c>
      <c r="AZ50" s="237" t="str">
        <f t="shared" si="10"/>
        <v xml:space="preserve">03.002.000.003 </v>
      </c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872">
        <f t="shared" si="11"/>
        <v>0</v>
      </c>
      <c r="BM50" s="873">
        <f t="shared" si="12"/>
        <v>0</v>
      </c>
      <c r="BN50" s="874">
        <f t="shared" si="41"/>
        <v>0</v>
      </c>
      <c r="BO50" s="875">
        <f t="shared" si="13"/>
        <v>0</v>
      </c>
      <c r="BP50" s="875">
        <f t="shared" si="14"/>
        <v>0</v>
      </c>
      <c r="BQ50" s="876">
        <f t="shared" si="42"/>
        <v>0</v>
      </c>
      <c r="BR50" s="877">
        <f t="shared" si="43"/>
        <v>0</v>
      </c>
      <c r="BS50" s="875">
        <f t="shared" si="15"/>
        <v>0</v>
      </c>
      <c r="BT50" s="875">
        <f t="shared" si="16"/>
        <v>0</v>
      </c>
      <c r="BU50" s="878">
        <f t="shared" si="44"/>
        <v>0</v>
      </c>
      <c r="CE50" s="486">
        <v>39</v>
      </c>
    </row>
    <row r="51" spans="1:83" s="177" customFormat="1" ht="21.95" customHeight="1" x14ac:dyDescent="0.2">
      <c r="A51" s="237">
        <f t="shared" si="17"/>
        <v>0</v>
      </c>
      <c r="B51" s="237">
        <f t="shared" si="18"/>
        <v>0</v>
      </c>
      <c r="C51" s="393">
        <f t="shared" si="2"/>
        <v>0</v>
      </c>
      <c r="D51" s="393" t="str">
        <f t="shared" si="3"/>
        <v xml:space="preserve">03 </v>
      </c>
      <c r="E51" s="959" t="s">
        <v>603</v>
      </c>
      <c r="F51" s="959" t="s">
        <v>451</v>
      </c>
      <c r="G51" s="959" t="s">
        <v>90</v>
      </c>
      <c r="H51" s="965">
        <v>816</v>
      </c>
      <c r="I51" s="960">
        <v>3.4039999999999999</v>
      </c>
      <c r="J51" s="964">
        <v>2777.66</v>
      </c>
      <c r="K51" s="367">
        <v>1</v>
      </c>
      <c r="L51" s="367">
        <f>IF($H51="",0,VLOOKUP($E51,Plan3!$A$16:$CT$384,$E$7,0)%)</f>
        <v>1</v>
      </c>
      <c r="M51" s="368">
        <f t="shared" si="24"/>
        <v>816</v>
      </c>
      <c r="N51" s="368">
        <f t="shared" si="25"/>
        <v>2777.66</v>
      </c>
      <c r="O51" s="367">
        <v>1</v>
      </c>
      <c r="P51" s="367">
        <f>VLOOKUP($E51,Plan3!$A$492:$P$858,13,0)%</f>
        <v>1</v>
      </c>
      <c r="Q51" s="368">
        <f t="shared" si="26"/>
        <v>816</v>
      </c>
      <c r="R51" s="368">
        <f t="shared" si="27"/>
        <v>2777.66</v>
      </c>
      <c r="S51" s="880">
        <v>2777.66</v>
      </c>
      <c r="T51" s="880">
        <f t="shared" si="28"/>
        <v>2777.66</v>
      </c>
      <c r="U51" s="880">
        <f>IF($I51="",0,($S51-$T51)*(1+('Econômico Macro'!$R$12/100)))</f>
        <v>0</v>
      </c>
      <c r="V51" s="880">
        <f t="shared" si="29"/>
        <v>2777.66</v>
      </c>
      <c r="W51" s="880">
        <f t="shared" si="30"/>
        <v>2777.66</v>
      </c>
      <c r="X51" s="367">
        <f t="shared" si="5"/>
        <v>0</v>
      </c>
      <c r="Y51" s="367">
        <f t="shared" si="6"/>
        <v>0</v>
      </c>
      <c r="Z51" s="367">
        <f t="shared" si="7"/>
        <v>0</v>
      </c>
      <c r="AA51" s="367">
        <f t="shared" si="8"/>
        <v>0</v>
      </c>
      <c r="AB51" s="369">
        <f t="shared" si="9"/>
        <v>0</v>
      </c>
      <c r="AC51" s="365"/>
      <c r="AD51" s="368">
        <v>1</v>
      </c>
      <c r="AE51" s="368">
        <f t="shared" si="31"/>
        <v>815</v>
      </c>
      <c r="AF51" s="365"/>
      <c r="AG51" s="863">
        <f t="shared" si="20"/>
        <v>0</v>
      </c>
      <c r="AH51" s="864">
        <f t="shared" si="32"/>
        <v>0</v>
      </c>
      <c r="AI51" s="863">
        <f t="shared" si="21"/>
        <v>0</v>
      </c>
      <c r="AJ51" s="864">
        <f t="shared" si="33"/>
        <v>0</v>
      </c>
      <c r="AK51" s="365"/>
      <c r="AL51" s="865">
        <f t="shared" si="22"/>
        <v>2777.66</v>
      </c>
      <c r="AM51" s="866">
        <f t="shared" si="34"/>
        <v>0</v>
      </c>
      <c r="AN51" s="866">
        <f t="shared" si="35"/>
        <v>0</v>
      </c>
      <c r="AO51" s="866">
        <f t="shared" si="36"/>
        <v>0</v>
      </c>
      <c r="AP51" s="867">
        <f t="shared" si="37"/>
        <v>0</v>
      </c>
      <c r="AQ51" s="591">
        <f t="shared" si="23"/>
        <v>0</v>
      </c>
      <c r="AR51" s="868">
        <f>IF(AND($L51=0,$P51=0)=TRUE,VLOOKUP($E51,Plan3!$A$16:$CT$487,$E$7+3,0)/100,0)</f>
        <v>0</v>
      </c>
      <c r="AS51" s="868">
        <f>IF(AND($L51=0,$P51=0)=TRUE,VLOOKUP($E51,Plan3!$A$16:$CT$487,$E$7+6,0)/100,0)</f>
        <v>0</v>
      </c>
      <c r="AT51" s="868">
        <f>IF(AND($L51=0,$P51=0)=TRUE,VLOOKUP($E51,Plan3!$A$16:$CT$487,$E$7+9,0)/100,0)</f>
        <v>0</v>
      </c>
      <c r="AU51" s="868">
        <f>IF(AND($L51=0,$P51=0)=TRUE,VLOOKUP($E51,Plan3!$A$16:$CT$487,$E$7+12,0)/100,0)</f>
        <v>0</v>
      </c>
      <c r="AV51" s="841"/>
      <c r="AW51" s="869">
        <f t="shared" si="38"/>
        <v>0</v>
      </c>
      <c r="AX51" s="870">
        <f t="shared" si="39"/>
        <v>0</v>
      </c>
      <c r="AY51" s="871">
        <f t="shared" si="40"/>
        <v>0</v>
      </c>
      <c r="AZ51" s="237" t="str">
        <f t="shared" si="10"/>
        <v xml:space="preserve">03.002.000.004 </v>
      </c>
      <c r="BA51" s="365"/>
      <c r="BB51" s="365"/>
      <c r="BC51" s="365"/>
      <c r="BD51" s="365"/>
      <c r="BE51" s="365"/>
      <c r="BF51" s="365"/>
      <c r="BG51" s="365"/>
      <c r="BH51" s="365"/>
      <c r="BI51" s="365"/>
      <c r="BJ51" s="365"/>
      <c r="BK51" s="365"/>
      <c r="BL51" s="872">
        <f t="shared" si="11"/>
        <v>0</v>
      </c>
      <c r="BM51" s="873">
        <f t="shared" si="12"/>
        <v>0</v>
      </c>
      <c r="BN51" s="874">
        <f t="shared" si="41"/>
        <v>0</v>
      </c>
      <c r="BO51" s="875">
        <f t="shared" si="13"/>
        <v>0</v>
      </c>
      <c r="BP51" s="875">
        <f t="shared" si="14"/>
        <v>0</v>
      </c>
      <c r="BQ51" s="876">
        <f t="shared" si="42"/>
        <v>0</v>
      </c>
      <c r="BR51" s="877">
        <f t="shared" si="43"/>
        <v>0</v>
      </c>
      <c r="BS51" s="875">
        <f t="shared" si="15"/>
        <v>0</v>
      </c>
      <c r="BT51" s="875">
        <f t="shared" si="16"/>
        <v>0</v>
      </c>
      <c r="BU51" s="878">
        <f t="shared" si="44"/>
        <v>0</v>
      </c>
      <c r="CE51" s="486">
        <v>40</v>
      </c>
    </row>
    <row r="52" spans="1:83" s="177" customFormat="1" ht="21.95" customHeight="1" x14ac:dyDescent="0.2">
      <c r="A52" s="237">
        <f t="shared" si="17"/>
        <v>0</v>
      </c>
      <c r="B52" s="237">
        <f t="shared" si="18"/>
        <v>0</v>
      </c>
      <c r="C52" s="393" t="str">
        <f t="shared" si="2"/>
        <v xml:space="preserve">04 </v>
      </c>
      <c r="D52" s="393" t="str">
        <f t="shared" si="3"/>
        <v xml:space="preserve">04 </v>
      </c>
      <c r="E52" s="161" t="s">
        <v>91</v>
      </c>
      <c r="F52" s="161" t="s">
        <v>604</v>
      </c>
      <c r="G52" s="162"/>
      <c r="H52" s="162"/>
      <c r="I52" s="162"/>
      <c r="J52" s="163">
        <v>39800</v>
      </c>
      <c r="K52" s="164">
        <v>1</v>
      </c>
      <c r="L52" s="164">
        <f t="array" ref="L52">SUM(IF($D53:$D$379=$E52,$L53:$L$379*$J53:$J$379))/$J52</f>
        <v>1</v>
      </c>
      <c r="M52" s="163"/>
      <c r="N52" s="163">
        <f>$L52*$J52</f>
        <v>39800</v>
      </c>
      <c r="O52" s="164">
        <v>1</v>
      </c>
      <c r="P52" s="164">
        <f t="array" ref="P52">SUM(IF($D53:$D$379=$E52,$P53:$P$379*$J53:$J$379))/$J52</f>
        <v>1</v>
      </c>
      <c r="Q52" s="163">
        <f>$P52*$H52</f>
        <v>0</v>
      </c>
      <c r="R52" s="163">
        <f>$P52*$J52</f>
        <v>39800</v>
      </c>
      <c r="S52" s="163">
        <v>39800</v>
      </c>
      <c r="T52" s="163">
        <f>SUM(T53:T54)</f>
        <v>39800</v>
      </c>
      <c r="U52" s="163"/>
      <c r="V52" s="163">
        <f t="shared" ref="V52:W52" si="47">SUM(V53:V54)</f>
        <v>39800</v>
      </c>
      <c r="W52" s="163">
        <f t="shared" si="47"/>
        <v>39800</v>
      </c>
      <c r="X52" s="164">
        <f t="shared" si="5"/>
        <v>0</v>
      </c>
      <c r="Y52" s="164">
        <f t="shared" si="6"/>
        <v>0</v>
      </c>
      <c r="Z52" s="164">
        <f t="shared" si="7"/>
        <v>0</v>
      </c>
      <c r="AA52" s="164">
        <f t="shared" si="8"/>
        <v>0</v>
      </c>
      <c r="AB52" s="201">
        <f t="shared" si="9"/>
        <v>0</v>
      </c>
      <c r="AC52" s="155" t="s">
        <v>763</v>
      </c>
      <c r="AD52" s="689">
        <v>0</v>
      </c>
      <c r="AE52" s="835">
        <f>Q52-AD52</f>
        <v>0</v>
      </c>
      <c r="AF52" s="155"/>
      <c r="AG52" s="207"/>
      <c r="AH52" s="208"/>
      <c r="AI52" s="207"/>
      <c r="AJ52" s="208"/>
      <c r="AK52" s="155"/>
      <c r="AL52" s="212"/>
      <c r="AM52" s="209"/>
      <c r="AN52" s="209"/>
      <c r="AO52" s="209"/>
      <c r="AP52" s="213"/>
      <c r="AQ52" s="401"/>
      <c r="AR52" s="247"/>
      <c r="AS52" s="247"/>
      <c r="AT52" s="247"/>
      <c r="AU52" s="247"/>
      <c r="AV52" s="155"/>
      <c r="AW52" s="250"/>
      <c r="AX52" s="248"/>
      <c r="AY52" s="402"/>
      <c r="AZ52" s="237" t="str">
        <f t="shared" si="10"/>
        <v xml:space="preserve">04 </v>
      </c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666" t="str">
        <f t="shared" si="11"/>
        <v xml:space="preserve">04 </v>
      </c>
      <c r="BM52" s="667">
        <f t="shared" si="12"/>
        <v>39800</v>
      </c>
      <c r="BN52" s="668">
        <f>IF($BQ52=0,0,RANK($BQ52,$BQ$12:$BQ$379))</f>
        <v>0</v>
      </c>
      <c r="BO52" s="669">
        <f t="shared" si="13"/>
        <v>0</v>
      </c>
      <c r="BP52" s="669">
        <f t="shared" si="14"/>
        <v>0</v>
      </c>
      <c r="BQ52" s="670">
        <f>IF($BP52=0,0,$BP52/$BP$380)</f>
        <v>0</v>
      </c>
      <c r="BR52" s="671">
        <f>IF($BU52=0,0,RANK($BU52,$BU$12:$BU$379))</f>
        <v>0</v>
      </c>
      <c r="BS52" s="669">
        <f t="shared" si="15"/>
        <v>0</v>
      </c>
      <c r="BT52" s="669">
        <f t="shared" si="16"/>
        <v>0</v>
      </c>
      <c r="BU52" s="672">
        <f>IF($BT52=0,0,$BT52/$BT$380)</f>
        <v>0</v>
      </c>
      <c r="CE52" s="486">
        <v>41</v>
      </c>
    </row>
    <row r="53" spans="1:83" s="177" customFormat="1" ht="21.95" customHeight="1" x14ac:dyDescent="0.2">
      <c r="A53" s="237">
        <f t="shared" si="17"/>
        <v>0</v>
      </c>
      <c r="B53" s="237">
        <f t="shared" si="18"/>
        <v>0</v>
      </c>
      <c r="C53" s="393">
        <f t="shared" si="2"/>
        <v>0</v>
      </c>
      <c r="D53" s="393" t="str">
        <f t="shared" si="3"/>
        <v xml:space="preserve">04 </v>
      </c>
      <c r="E53" s="959" t="s">
        <v>92</v>
      </c>
      <c r="F53" s="959" t="s">
        <v>2041</v>
      </c>
      <c r="G53" s="959" t="s">
        <v>7</v>
      </c>
      <c r="H53" s="960">
        <v>1</v>
      </c>
      <c r="I53" s="961">
        <v>24000</v>
      </c>
      <c r="J53" s="962">
        <v>24000</v>
      </c>
      <c r="K53" s="367">
        <v>1</v>
      </c>
      <c r="L53" s="367">
        <f>IF($H53="",0,VLOOKUP($E53,Plan3!$A$16:$CT$384,$E$7,0)%)</f>
        <v>1</v>
      </c>
      <c r="M53" s="368">
        <f t="shared" si="24"/>
        <v>1</v>
      </c>
      <c r="N53" s="368">
        <f t="shared" si="25"/>
        <v>24000</v>
      </c>
      <c r="O53" s="367">
        <v>1</v>
      </c>
      <c r="P53" s="367">
        <f>VLOOKUP($E53,Plan3!$A$492:$P$858,13,0)%</f>
        <v>1</v>
      </c>
      <c r="Q53" s="368">
        <f t="shared" si="26"/>
        <v>1</v>
      </c>
      <c r="R53" s="368">
        <f t="shared" si="27"/>
        <v>24000</v>
      </c>
      <c r="S53" s="880">
        <v>24000</v>
      </c>
      <c r="T53" s="880">
        <f t="shared" si="28"/>
        <v>24000</v>
      </c>
      <c r="U53" s="880">
        <f>IF($I53="",0,($S53-$T53)*(1+('Econômico Macro'!$R$12/100)))</f>
        <v>0</v>
      </c>
      <c r="V53" s="880">
        <f t="shared" si="29"/>
        <v>24000</v>
      </c>
      <c r="W53" s="880">
        <f t="shared" si="30"/>
        <v>24000</v>
      </c>
      <c r="X53" s="367">
        <f t="shared" si="5"/>
        <v>0</v>
      </c>
      <c r="Y53" s="367">
        <f t="shared" si="6"/>
        <v>0</v>
      </c>
      <c r="Z53" s="367">
        <f t="shared" si="7"/>
        <v>0</v>
      </c>
      <c r="AA53" s="367">
        <f t="shared" si="8"/>
        <v>0</v>
      </c>
      <c r="AB53" s="369">
        <f t="shared" si="9"/>
        <v>0</v>
      </c>
      <c r="AC53" s="365"/>
      <c r="AD53" s="368">
        <v>1</v>
      </c>
      <c r="AE53" s="368">
        <f t="shared" si="31"/>
        <v>0</v>
      </c>
      <c r="AF53" s="365"/>
      <c r="AG53" s="863">
        <f t="shared" si="20"/>
        <v>0</v>
      </c>
      <c r="AH53" s="864">
        <f t="shared" si="32"/>
        <v>0</v>
      </c>
      <c r="AI53" s="863">
        <f t="shared" si="21"/>
        <v>0</v>
      </c>
      <c r="AJ53" s="864">
        <f t="shared" si="33"/>
        <v>0</v>
      </c>
      <c r="AK53" s="365"/>
      <c r="AL53" s="865">
        <f t="shared" si="22"/>
        <v>24000</v>
      </c>
      <c r="AM53" s="866">
        <f t="shared" si="34"/>
        <v>0</v>
      </c>
      <c r="AN53" s="866">
        <f t="shared" si="35"/>
        <v>0</v>
      </c>
      <c r="AO53" s="866">
        <f t="shared" si="36"/>
        <v>0</v>
      </c>
      <c r="AP53" s="867">
        <f t="shared" si="37"/>
        <v>0</v>
      </c>
      <c r="AQ53" s="591">
        <f t="shared" si="23"/>
        <v>0</v>
      </c>
      <c r="AR53" s="868">
        <f>IF(AND($L53=0,$P53=0)=TRUE,VLOOKUP($E53,Plan3!$A$16:$CT$487,$E$7+3,0)/100,0)</f>
        <v>0</v>
      </c>
      <c r="AS53" s="868">
        <f>IF(AND($L53=0,$P53=0)=TRUE,VLOOKUP($E53,Plan3!$A$16:$CT$487,$E$7+6,0)/100,0)</f>
        <v>0</v>
      </c>
      <c r="AT53" s="868">
        <f>IF(AND($L53=0,$P53=0)=TRUE,VLOOKUP($E53,Plan3!$A$16:$CT$487,$E$7+9,0)/100,0)</f>
        <v>0</v>
      </c>
      <c r="AU53" s="868">
        <f>IF(AND($L53=0,$P53=0)=TRUE,VLOOKUP($E53,Plan3!$A$16:$CT$487,$E$7+12,0)/100,0)</f>
        <v>0</v>
      </c>
      <c r="AV53" s="841"/>
      <c r="AW53" s="869">
        <f t="shared" si="38"/>
        <v>0</v>
      </c>
      <c r="AX53" s="870">
        <f t="shared" si="39"/>
        <v>0</v>
      </c>
      <c r="AY53" s="871">
        <f t="shared" si="40"/>
        <v>0</v>
      </c>
      <c r="AZ53" s="237" t="str">
        <f t="shared" si="10"/>
        <v xml:space="preserve">04.000.000.001 </v>
      </c>
      <c r="BA53" s="365"/>
      <c r="BB53" s="365"/>
      <c r="BC53" s="365"/>
      <c r="BD53" s="365"/>
      <c r="BE53" s="365"/>
      <c r="BF53" s="365"/>
      <c r="BG53" s="365"/>
      <c r="BH53" s="365"/>
      <c r="BI53" s="365"/>
      <c r="BJ53" s="365"/>
      <c r="BK53" s="365"/>
      <c r="BL53" s="872">
        <f t="shared" si="11"/>
        <v>0</v>
      </c>
      <c r="BM53" s="873">
        <f t="shared" si="12"/>
        <v>0</v>
      </c>
      <c r="BN53" s="874">
        <f t="shared" si="41"/>
        <v>0</v>
      </c>
      <c r="BO53" s="875">
        <f t="shared" si="13"/>
        <v>0</v>
      </c>
      <c r="BP53" s="875">
        <f t="shared" si="14"/>
        <v>0</v>
      </c>
      <c r="BQ53" s="876">
        <f t="shared" si="42"/>
        <v>0</v>
      </c>
      <c r="BR53" s="877">
        <f t="shared" si="43"/>
        <v>0</v>
      </c>
      <c r="BS53" s="875">
        <f t="shared" si="15"/>
        <v>0</v>
      </c>
      <c r="BT53" s="875">
        <f t="shared" si="16"/>
        <v>0</v>
      </c>
      <c r="BU53" s="878">
        <f t="shared" si="44"/>
        <v>0</v>
      </c>
      <c r="CE53" s="486">
        <v>42</v>
      </c>
    </row>
    <row r="54" spans="1:83" s="177" customFormat="1" ht="21.95" customHeight="1" x14ac:dyDescent="0.2">
      <c r="A54" s="237">
        <f t="shared" si="17"/>
        <v>0</v>
      </c>
      <c r="B54" s="237">
        <f t="shared" si="18"/>
        <v>0</v>
      </c>
      <c r="C54" s="393">
        <f t="shared" si="2"/>
        <v>0</v>
      </c>
      <c r="D54" s="393" t="str">
        <f t="shared" si="3"/>
        <v xml:space="preserve">04 </v>
      </c>
      <c r="E54" s="959" t="s">
        <v>93</v>
      </c>
      <c r="F54" s="959" t="s">
        <v>1601</v>
      </c>
      <c r="G54" s="959" t="s">
        <v>7</v>
      </c>
      <c r="H54" s="960">
        <v>1</v>
      </c>
      <c r="I54" s="961">
        <v>15800</v>
      </c>
      <c r="J54" s="962">
        <v>15800</v>
      </c>
      <c r="K54" s="367">
        <v>1</v>
      </c>
      <c r="L54" s="367">
        <f>IF($H54="",0,VLOOKUP($E54,Plan3!$A$16:$CT$384,$E$7,0)%)</f>
        <v>1</v>
      </c>
      <c r="M54" s="368">
        <f t="shared" si="24"/>
        <v>1</v>
      </c>
      <c r="N54" s="368">
        <f t="shared" si="25"/>
        <v>15800</v>
      </c>
      <c r="O54" s="367">
        <v>1</v>
      </c>
      <c r="P54" s="367">
        <f>VLOOKUP($E54,Plan3!$A$492:$P$858,13,0)%</f>
        <v>1</v>
      </c>
      <c r="Q54" s="368">
        <f t="shared" si="26"/>
        <v>1</v>
      </c>
      <c r="R54" s="368">
        <f t="shared" si="27"/>
        <v>15800</v>
      </c>
      <c r="S54" s="880">
        <v>15800</v>
      </c>
      <c r="T54" s="880">
        <f t="shared" si="28"/>
        <v>15800</v>
      </c>
      <c r="U54" s="880">
        <f>IF($I54="",0,($S54-$T54)*(1+('Econômico Macro'!$R$12/100)))</f>
        <v>0</v>
      </c>
      <c r="V54" s="880">
        <f t="shared" si="29"/>
        <v>15800</v>
      </c>
      <c r="W54" s="880">
        <f t="shared" si="30"/>
        <v>15800</v>
      </c>
      <c r="X54" s="367">
        <f t="shared" si="5"/>
        <v>0</v>
      </c>
      <c r="Y54" s="367">
        <f t="shared" si="6"/>
        <v>0</v>
      </c>
      <c r="Z54" s="367">
        <f t="shared" si="7"/>
        <v>0</v>
      </c>
      <c r="AA54" s="367">
        <f t="shared" si="8"/>
        <v>0</v>
      </c>
      <c r="AB54" s="369">
        <f t="shared" si="9"/>
        <v>0</v>
      </c>
      <c r="AC54" s="365"/>
      <c r="AD54" s="368">
        <v>1</v>
      </c>
      <c r="AE54" s="368">
        <f t="shared" si="31"/>
        <v>0</v>
      </c>
      <c r="AF54" s="365"/>
      <c r="AG54" s="863">
        <f t="shared" si="20"/>
        <v>0</v>
      </c>
      <c r="AH54" s="864">
        <f t="shared" si="32"/>
        <v>0</v>
      </c>
      <c r="AI54" s="863">
        <f t="shared" si="21"/>
        <v>0</v>
      </c>
      <c r="AJ54" s="864">
        <f t="shared" si="33"/>
        <v>0</v>
      </c>
      <c r="AK54" s="365"/>
      <c r="AL54" s="865">
        <f t="shared" si="22"/>
        <v>15800</v>
      </c>
      <c r="AM54" s="866">
        <f t="shared" si="34"/>
        <v>0</v>
      </c>
      <c r="AN54" s="866">
        <f t="shared" si="35"/>
        <v>0</v>
      </c>
      <c r="AO54" s="866">
        <f t="shared" si="36"/>
        <v>0</v>
      </c>
      <c r="AP54" s="867">
        <f t="shared" si="37"/>
        <v>0</v>
      </c>
      <c r="AQ54" s="591">
        <f t="shared" si="23"/>
        <v>0</v>
      </c>
      <c r="AR54" s="868">
        <f>IF(AND($L54=0,$P54=0)=TRUE,VLOOKUP($E54,Plan3!$A$16:$CT$487,$E$7+3,0)/100,0)</f>
        <v>0</v>
      </c>
      <c r="AS54" s="868">
        <f>IF(AND($L54=0,$P54=0)=TRUE,VLOOKUP($E54,Plan3!$A$16:$CT$487,$E$7+6,0)/100,0)</f>
        <v>0</v>
      </c>
      <c r="AT54" s="868">
        <f>IF(AND($L54=0,$P54=0)=TRUE,VLOOKUP($E54,Plan3!$A$16:$CT$487,$E$7+9,0)/100,0)</f>
        <v>0</v>
      </c>
      <c r="AU54" s="868">
        <f>IF(AND($L54=0,$P54=0)=TRUE,VLOOKUP($E54,Plan3!$A$16:$CT$487,$E$7+12,0)/100,0)</f>
        <v>0</v>
      </c>
      <c r="AV54" s="841"/>
      <c r="AW54" s="869">
        <f t="shared" si="38"/>
        <v>0</v>
      </c>
      <c r="AX54" s="870">
        <f t="shared" si="39"/>
        <v>0</v>
      </c>
      <c r="AY54" s="871">
        <f t="shared" si="40"/>
        <v>0</v>
      </c>
      <c r="AZ54" s="237" t="str">
        <f t="shared" si="10"/>
        <v xml:space="preserve">04.000.000.002 </v>
      </c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872">
        <f t="shared" si="11"/>
        <v>0</v>
      </c>
      <c r="BM54" s="873">
        <f t="shared" si="12"/>
        <v>0</v>
      </c>
      <c r="BN54" s="874">
        <f t="shared" si="41"/>
        <v>0</v>
      </c>
      <c r="BO54" s="875">
        <f t="shared" si="13"/>
        <v>0</v>
      </c>
      <c r="BP54" s="875">
        <f t="shared" si="14"/>
        <v>0</v>
      </c>
      <c r="BQ54" s="876">
        <f t="shared" si="42"/>
        <v>0</v>
      </c>
      <c r="BR54" s="877">
        <f t="shared" si="43"/>
        <v>0</v>
      </c>
      <c r="BS54" s="875">
        <f t="shared" si="15"/>
        <v>0</v>
      </c>
      <c r="BT54" s="875">
        <f t="shared" si="16"/>
        <v>0</v>
      </c>
      <c r="BU54" s="878">
        <f t="shared" si="44"/>
        <v>0</v>
      </c>
      <c r="CE54" s="486">
        <v>43</v>
      </c>
    </row>
    <row r="55" spans="1:83" s="177" customFormat="1" ht="21.95" customHeight="1" x14ac:dyDescent="0.2">
      <c r="A55" s="237">
        <f t="shared" si="17"/>
        <v>0</v>
      </c>
      <c r="B55" s="237">
        <f t="shared" si="18"/>
        <v>0</v>
      </c>
      <c r="C55" s="393" t="str">
        <f t="shared" si="2"/>
        <v xml:space="preserve">05 </v>
      </c>
      <c r="D55" s="393" t="str">
        <f t="shared" si="3"/>
        <v xml:space="preserve">05 </v>
      </c>
      <c r="E55" s="161" t="s">
        <v>95</v>
      </c>
      <c r="F55" s="161" t="s">
        <v>605</v>
      </c>
      <c r="G55" s="162"/>
      <c r="H55" s="162"/>
      <c r="I55" s="162"/>
      <c r="J55" s="163">
        <v>570487.78</v>
      </c>
      <c r="K55" s="164">
        <v>0.32197544552137469</v>
      </c>
      <c r="L55" s="164">
        <f t="array" ref="L55">SUM(IF($D56:$D$379=$E55,$L56:$L$379*$J56:$J$379))/$J55</f>
        <v>0.6620332139875108</v>
      </c>
      <c r="M55" s="163"/>
      <c r="N55" s="163">
        <f>$L55*$J55</f>
        <v>377681.858534</v>
      </c>
      <c r="O55" s="164">
        <v>0.17166598493310409</v>
      </c>
      <c r="P55" s="164">
        <f t="array" ref="P55">SUM(IF($D56:$D$379=$E55,$P56:$P$379*$J56:$J$379))/$J55</f>
        <v>0.54206031687479794</v>
      </c>
      <c r="Q55" s="163">
        <f>$P55*$H55</f>
        <v>0</v>
      </c>
      <c r="R55" s="163">
        <f>$P55*$J55</f>
        <v>309238.78680000006</v>
      </c>
      <c r="S55" s="163">
        <v>575969.41142690659</v>
      </c>
      <c r="T55" s="163">
        <f>SUM(T56:T78)</f>
        <v>311965.13655857445</v>
      </c>
      <c r="U55" s="163"/>
      <c r="V55" s="163">
        <f t="shared" ref="V55:W55" si="48">SUM(V56:V78)</f>
        <v>580536.68538212858</v>
      </c>
      <c r="W55" s="163">
        <f t="shared" si="48"/>
        <v>383403.09763600177</v>
      </c>
      <c r="X55" s="164">
        <f t="shared" si="5"/>
        <v>0.34005776846613611</v>
      </c>
      <c r="Y55" s="164">
        <f t="shared" si="6"/>
        <v>0.37039433194169386</v>
      </c>
      <c r="Z55" s="164">
        <f t="shared" si="7"/>
        <v>-0.11997289711271286</v>
      </c>
      <c r="AA55" s="164">
        <f t="shared" si="8"/>
        <v>3.0336563475557743E-2</v>
      </c>
      <c r="AB55" s="201" t="str">
        <f t="shared" si="9"/>
        <v>Atrasada</v>
      </c>
      <c r="AC55" s="155" t="s">
        <v>763</v>
      </c>
      <c r="AD55" s="689">
        <v>0</v>
      </c>
      <c r="AE55" s="835">
        <f>Q55-AD55</f>
        <v>0</v>
      </c>
      <c r="AF55" s="155"/>
      <c r="AG55" s="207"/>
      <c r="AH55" s="208"/>
      <c r="AI55" s="207"/>
      <c r="AJ55" s="208"/>
      <c r="AK55" s="155"/>
      <c r="AL55" s="212"/>
      <c r="AM55" s="209"/>
      <c r="AN55" s="209"/>
      <c r="AO55" s="209"/>
      <c r="AP55" s="213"/>
      <c r="AQ55" s="401"/>
      <c r="AR55" s="247"/>
      <c r="AS55" s="247"/>
      <c r="AT55" s="247"/>
      <c r="AU55" s="247"/>
      <c r="AV55" s="155"/>
      <c r="AW55" s="250"/>
      <c r="AX55" s="248"/>
      <c r="AY55" s="402"/>
      <c r="AZ55" s="237" t="str">
        <f t="shared" si="10"/>
        <v xml:space="preserve">05 </v>
      </c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666" t="str">
        <f t="shared" si="11"/>
        <v xml:space="preserve">05 </v>
      </c>
      <c r="BM55" s="667">
        <f t="shared" si="12"/>
        <v>309238.78680000006</v>
      </c>
      <c r="BN55" s="668">
        <f>IF($BQ55=0,0,RANK($BQ55,$BQ$12:$BQ$379))</f>
        <v>1</v>
      </c>
      <c r="BO55" s="669" t="str">
        <f t="shared" si="13"/>
        <v xml:space="preserve">05 </v>
      </c>
      <c r="BP55" s="669">
        <f t="shared" si="14"/>
        <v>-68443.071733999939</v>
      </c>
      <c r="BQ55" s="670">
        <f>IF($BP55=0,0,$BP55/$BP$380)</f>
        <v>0.99962740867335287</v>
      </c>
      <c r="BR55" s="671">
        <f>IF($BU55=0,0,RANK($BU55,$BU$12:$BU$379))</f>
        <v>0</v>
      </c>
      <c r="BS55" s="669">
        <f t="shared" si="15"/>
        <v>0</v>
      </c>
      <c r="BT55" s="669">
        <f t="shared" si="16"/>
        <v>0</v>
      </c>
      <c r="BU55" s="672">
        <f>IF($BT55=0,0,$BT55/$BT$380)</f>
        <v>0</v>
      </c>
      <c r="CE55" s="486">
        <v>44</v>
      </c>
    </row>
    <row r="56" spans="1:83" s="177" customFormat="1" ht="21.95" customHeight="1" x14ac:dyDescent="0.2">
      <c r="A56" s="237">
        <f t="shared" si="17"/>
        <v>0</v>
      </c>
      <c r="B56" s="237">
        <f t="shared" si="18"/>
        <v>0</v>
      </c>
      <c r="C56" s="393">
        <f t="shared" si="2"/>
        <v>0</v>
      </c>
      <c r="D56" s="393" t="str">
        <f t="shared" si="3"/>
        <v xml:space="preserve">05 </v>
      </c>
      <c r="E56" s="967" t="s">
        <v>96</v>
      </c>
      <c r="F56" s="967" t="s">
        <v>606</v>
      </c>
      <c r="G56" s="967"/>
      <c r="H56" s="968"/>
      <c r="I56" s="968"/>
      <c r="J56" s="971">
        <v>121331.5</v>
      </c>
      <c r="K56" s="367">
        <v>0</v>
      </c>
      <c r="L56" s="367">
        <f>IF($H56="",0,VLOOKUP($E56,Plan3!$A$16:$CT$384,$E$7,0)%)</f>
        <v>0</v>
      </c>
      <c r="M56" s="368">
        <f t="shared" si="24"/>
        <v>0</v>
      </c>
      <c r="N56" s="368">
        <f t="shared" si="25"/>
        <v>0</v>
      </c>
      <c r="O56" s="367">
        <v>0</v>
      </c>
      <c r="P56" s="367">
        <f>VLOOKUP($E56,Plan3!$A$492:$P$858,13,0)%</f>
        <v>0</v>
      </c>
      <c r="Q56" s="368">
        <f t="shared" si="26"/>
        <v>0</v>
      </c>
      <c r="R56" s="368">
        <f t="shared" si="27"/>
        <v>0</v>
      </c>
      <c r="S56" s="880">
        <v>0</v>
      </c>
      <c r="T56" s="880">
        <f t="shared" si="28"/>
        <v>0</v>
      </c>
      <c r="U56" s="880">
        <f>IF($I56="",0,($S56-$T56)*(1+('Econômico Macro'!$R$12/100)))</f>
        <v>0</v>
      </c>
      <c r="V56" s="880">
        <f t="shared" si="29"/>
        <v>0</v>
      </c>
      <c r="W56" s="880">
        <f t="shared" si="30"/>
        <v>0</v>
      </c>
      <c r="X56" s="367">
        <f t="shared" si="5"/>
        <v>0</v>
      </c>
      <c r="Y56" s="367">
        <f t="shared" si="6"/>
        <v>0</v>
      </c>
      <c r="Z56" s="367">
        <f t="shared" si="7"/>
        <v>0</v>
      </c>
      <c r="AA56" s="367">
        <f t="shared" si="8"/>
        <v>0</v>
      </c>
      <c r="AB56" s="369" t="str">
        <f t="shared" si="9"/>
        <v>Não Iniciada</v>
      </c>
      <c r="AC56" s="365"/>
      <c r="AD56" s="368">
        <v>1</v>
      </c>
      <c r="AE56" s="368">
        <f t="shared" si="31"/>
        <v>-1</v>
      </c>
      <c r="AF56" s="365"/>
      <c r="AG56" s="863">
        <f t="shared" si="20"/>
        <v>0</v>
      </c>
      <c r="AH56" s="864">
        <f t="shared" si="32"/>
        <v>0</v>
      </c>
      <c r="AI56" s="863">
        <f t="shared" si="21"/>
        <v>0</v>
      </c>
      <c r="AJ56" s="864">
        <f t="shared" si="33"/>
        <v>0</v>
      </c>
      <c r="AK56" s="365"/>
      <c r="AL56" s="865">
        <f t="shared" si="22"/>
        <v>0</v>
      </c>
      <c r="AM56" s="866">
        <f t="shared" si="34"/>
        <v>0</v>
      </c>
      <c r="AN56" s="866">
        <f t="shared" si="35"/>
        <v>0</v>
      </c>
      <c r="AO56" s="866">
        <f t="shared" si="36"/>
        <v>0</v>
      </c>
      <c r="AP56" s="867">
        <f t="shared" si="37"/>
        <v>0</v>
      </c>
      <c r="AQ56" s="591"/>
      <c r="AR56" s="868"/>
      <c r="AS56" s="868"/>
      <c r="AT56" s="868"/>
      <c r="AU56" s="868"/>
      <c r="AV56" s="841"/>
      <c r="AW56" s="869"/>
      <c r="AX56" s="870"/>
      <c r="AY56" s="871"/>
      <c r="AZ56" s="237" t="str">
        <f t="shared" si="10"/>
        <v xml:space="preserve">05.001 </v>
      </c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872">
        <f t="shared" si="11"/>
        <v>0</v>
      </c>
      <c r="BM56" s="873">
        <f t="shared" si="12"/>
        <v>0</v>
      </c>
      <c r="BN56" s="874">
        <f t="shared" si="41"/>
        <v>0</v>
      </c>
      <c r="BO56" s="875">
        <f t="shared" si="13"/>
        <v>0</v>
      </c>
      <c r="BP56" s="875">
        <f t="shared" si="14"/>
        <v>0</v>
      </c>
      <c r="BQ56" s="876">
        <f t="shared" si="42"/>
        <v>0</v>
      </c>
      <c r="BR56" s="877">
        <f t="shared" si="43"/>
        <v>0</v>
      </c>
      <c r="BS56" s="875">
        <f t="shared" si="15"/>
        <v>0</v>
      </c>
      <c r="BT56" s="875">
        <f t="shared" si="16"/>
        <v>0</v>
      </c>
      <c r="BU56" s="878">
        <f t="shared" si="44"/>
        <v>0</v>
      </c>
      <c r="CE56" s="486">
        <v>45</v>
      </c>
    </row>
    <row r="57" spans="1:83" s="177" customFormat="1" ht="21.95" customHeight="1" x14ac:dyDescent="0.2">
      <c r="A57" s="237">
        <f t="shared" si="17"/>
        <v>0</v>
      </c>
      <c r="B57" s="237">
        <f t="shared" si="18"/>
        <v>5</v>
      </c>
      <c r="C57" s="393">
        <f t="shared" si="2"/>
        <v>0</v>
      </c>
      <c r="D57" s="393" t="str">
        <f t="shared" si="3"/>
        <v xml:space="preserve">05 </v>
      </c>
      <c r="E57" s="959" t="s">
        <v>97</v>
      </c>
      <c r="F57" s="959" t="s">
        <v>2208</v>
      </c>
      <c r="G57" s="959" t="s">
        <v>94</v>
      </c>
      <c r="H57" s="965">
        <v>161.13999999999999</v>
      </c>
      <c r="I57" s="970">
        <v>80</v>
      </c>
      <c r="J57" s="962">
        <v>12891.2</v>
      </c>
      <c r="K57" s="367">
        <v>0</v>
      </c>
      <c r="L57" s="367">
        <f>IF($H57="",0,VLOOKUP($E57,Plan3!$A$16:$CT$384,$E$7,0)%)</f>
        <v>0.38780000000000003</v>
      </c>
      <c r="M57" s="368">
        <f t="shared" si="24"/>
        <v>62.490091999999997</v>
      </c>
      <c r="N57" s="368">
        <f t="shared" si="25"/>
        <v>4999.2073600000003</v>
      </c>
      <c r="O57" s="367">
        <v>0</v>
      </c>
      <c r="P57" s="367">
        <f>VLOOKUP($E57,Plan3!$A$492:$P$858,13,0)%</f>
        <v>0</v>
      </c>
      <c r="Q57" s="368">
        <f t="shared" si="26"/>
        <v>0</v>
      </c>
      <c r="R57" s="368">
        <f t="shared" si="27"/>
        <v>0</v>
      </c>
      <c r="S57" s="880">
        <v>13040.737920000001</v>
      </c>
      <c r="T57" s="880">
        <f t="shared" si="28"/>
        <v>0</v>
      </c>
      <c r="U57" s="880">
        <f>IF($I57="",0,($S57-$T57)*(1+('Econômico Macro'!$R$12/100)))</f>
        <v>13266.342686016003</v>
      </c>
      <c r="V57" s="880">
        <f t="shared" si="29"/>
        <v>13266.342686016003</v>
      </c>
      <c r="W57" s="880">
        <f t="shared" si="30"/>
        <v>5144.6876936370063</v>
      </c>
      <c r="X57" s="367">
        <f t="shared" si="5"/>
        <v>0.38780000000000003</v>
      </c>
      <c r="Y57" s="367">
        <f t="shared" si="6"/>
        <v>0</v>
      </c>
      <c r="Z57" s="367">
        <f t="shared" si="7"/>
        <v>-0.38780000000000003</v>
      </c>
      <c r="AA57" s="367">
        <f t="shared" si="8"/>
        <v>-0.38780000000000003</v>
      </c>
      <c r="AB57" s="369" t="str">
        <f t="shared" si="9"/>
        <v>Atrasada</v>
      </c>
      <c r="AC57" s="365"/>
      <c r="AD57" s="368">
        <v>1</v>
      </c>
      <c r="AE57" s="368">
        <f t="shared" si="31"/>
        <v>-1</v>
      </c>
      <c r="AF57" s="365"/>
      <c r="AG57" s="863">
        <f t="shared" si="20"/>
        <v>-4999.2073600000003</v>
      </c>
      <c r="AH57" s="864">
        <f t="shared" si="32"/>
        <v>5</v>
      </c>
      <c r="AI57" s="863">
        <f t="shared" si="21"/>
        <v>0</v>
      </c>
      <c r="AJ57" s="864">
        <f t="shared" si="33"/>
        <v>0</v>
      </c>
      <c r="AK57" s="365"/>
      <c r="AL57" s="865">
        <f t="shared" si="22"/>
        <v>0</v>
      </c>
      <c r="AM57" s="866">
        <f t="shared" si="34"/>
        <v>-4999.2073600000003</v>
      </c>
      <c r="AN57" s="866">
        <f t="shared" si="35"/>
        <v>6.6800866714698801E-2</v>
      </c>
      <c r="AO57" s="866">
        <f t="shared" si="36"/>
        <v>0</v>
      </c>
      <c r="AP57" s="867">
        <f t="shared" si="37"/>
        <v>0</v>
      </c>
      <c r="AQ57" s="591">
        <f t="shared" si="23"/>
        <v>0</v>
      </c>
      <c r="AR57" s="868">
        <f>IF(AND($L57=0,$P57=0)=TRUE,VLOOKUP($E57,Plan3!$A$16:$CT$487,$E$7+3,0)/100,0)</f>
        <v>0</v>
      </c>
      <c r="AS57" s="868">
        <f>IF(AND($L57=0,$P57=0)=TRUE,VLOOKUP($E57,Plan3!$A$16:$CT$487,$E$7+6,0)/100,0)</f>
        <v>0</v>
      </c>
      <c r="AT57" s="868">
        <f>IF(AND($L57=0,$P57=0)=TRUE,VLOOKUP($E57,Plan3!$A$16:$CT$487,$E$7+9,0)/100,0)</f>
        <v>0</v>
      </c>
      <c r="AU57" s="868">
        <f>IF(AND($L57=0,$P57=0)=TRUE,VLOOKUP($E57,Plan3!$A$16:$CT$487,$E$7+12,0)/100,0)</f>
        <v>0</v>
      </c>
      <c r="AV57" s="841"/>
      <c r="AW57" s="869">
        <f t="shared" si="38"/>
        <v>0</v>
      </c>
      <c r="AX57" s="870">
        <f t="shared" si="39"/>
        <v>0</v>
      </c>
      <c r="AY57" s="871">
        <f t="shared" si="40"/>
        <v>0</v>
      </c>
      <c r="AZ57" s="237" t="str">
        <f t="shared" si="10"/>
        <v xml:space="preserve">05.001.000.001 </v>
      </c>
      <c r="BA57" s="365"/>
      <c r="BB57" s="365"/>
      <c r="BC57" s="365"/>
      <c r="BD57" s="365"/>
      <c r="BE57" s="365"/>
      <c r="BF57" s="365"/>
      <c r="BG57" s="365"/>
      <c r="BH57" s="365"/>
      <c r="BI57" s="365"/>
      <c r="BJ57" s="365"/>
      <c r="BK57" s="365"/>
      <c r="BL57" s="872">
        <f t="shared" si="11"/>
        <v>0</v>
      </c>
      <c r="BM57" s="873">
        <f t="shared" si="12"/>
        <v>0</v>
      </c>
      <c r="BN57" s="874">
        <f t="shared" si="41"/>
        <v>0</v>
      </c>
      <c r="BO57" s="875">
        <f t="shared" si="13"/>
        <v>0</v>
      </c>
      <c r="BP57" s="875">
        <f t="shared" si="14"/>
        <v>0</v>
      </c>
      <c r="BQ57" s="876">
        <f t="shared" si="42"/>
        <v>0</v>
      </c>
      <c r="BR57" s="877">
        <f t="shared" si="43"/>
        <v>0</v>
      </c>
      <c r="BS57" s="875">
        <f t="shared" si="15"/>
        <v>0</v>
      </c>
      <c r="BT57" s="875">
        <f t="shared" si="16"/>
        <v>0</v>
      </c>
      <c r="BU57" s="878">
        <f t="shared" si="44"/>
        <v>0</v>
      </c>
      <c r="CE57" s="486">
        <v>46</v>
      </c>
    </row>
    <row r="58" spans="1:83" s="177" customFormat="1" ht="21.95" customHeight="1" x14ac:dyDescent="0.2">
      <c r="A58" s="237">
        <f t="shared" si="17"/>
        <v>0</v>
      </c>
      <c r="B58" s="237">
        <f t="shared" si="18"/>
        <v>12</v>
      </c>
      <c r="C58" s="393">
        <f t="shared" si="2"/>
        <v>0</v>
      </c>
      <c r="D58" s="393" t="str">
        <f t="shared" si="3"/>
        <v xml:space="preserve">05 </v>
      </c>
      <c r="E58" s="959" t="s">
        <v>98</v>
      </c>
      <c r="F58" s="959" t="s">
        <v>2209</v>
      </c>
      <c r="G58" s="959" t="s">
        <v>90</v>
      </c>
      <c r="H58" s="965">
        <v>103.39</v>
      </c>
      <c r="I58" s="970">
        <v>19.342300000000002</v>
      </c>
      <c r="J58" s="964">
        <v>1999.8</v>
      </c>
      <c r="K58" s="367">
        <v>0</v>
      </c>
      <c r="L58" s="367">
        <f>IF($H58="",0,VLOOKUP($E58,Plan3!$A$16:$CT$384,$E$7,0)%)</f>
        <v>0.38780000000000003</v>
      </c>
      <c r="M58" s="368">
        <f t="shared" si="24"/>
        <v>40.094642</v>
      </c>
      <c r="N58" s="368">
        <f t="shared" si="25"/>
        <v>775.52244000000007</v>
      </c>
      <c r="O58" s="367">
        <v>0</v>
      </c>
      <c r="P58" s="367">
        <f>VLOOKUP($E58,Plan3!$A$492:$P$858,13,0)%</f>
        <v>0</v>
      </c>
      <c r="Q58" s="368">
        <f t="shared" si="26"/>
        <v>0</v>
      </c>
      <c r="R58" s="368">
        <f t="shared" si="27"/>
        <v>0</v>
      </c>
      <c r="S58" s="880">
        <v>2022.9976800000002</v>
      </c>
      <c r="T58" s="880">
        <f t="shared" si="28"/>
        <v>0</v>
      </c>
      <c r="U58" s="880">
        <f>IF($I58="",0,($S58-$T58)*(1+('Econômico Macro'!$R$12/100)))</f>
        <v>2057.9955398640004</v>
      </c>
      <c r="V58" s="880">
        <f t="shared" si="29"/>
        <v>2057.9955398640004</v>
      </c>
      <c r="W58" s="880">
        <f t="shared" si="30"/>
        <v>798.09067035925943</v>
      </c>
      <c r="X58" s="367">
        <f t="shared" si="5"/>
        <v>0.38780000000000003</v>
      </c>
      <c r="Y58" s="367">
        <f t="shared" si="6"/>
        <v>0</v>
      </c>
      <c r="Z58" s="367">
        <f t="shared" si="7"/>
        <v>-0.38780000000000003</v>
      </c>
      <c r="AA58" s="367">
        <f t="shared" si="8"/>
        <v>-0.38780000000000003</v>
      </c>
      <c r="AB58" s="369" t="str">
        <f t="shared" si="9"/>
        <v>Atrasada</v>
      </c>
      <c r="AC58" s="365"/>
      <c r="AD58" s="368">
        <v>1</v>
      </c>
      <c r="AE58" s="368">
        <f t="shared" si="31"/>
        <v>-1</v>
      </c>
      <c r="AF58" s="365"/>
      <c r="AG58" s="863">
        <f t="shared" si="20"/>
        <v>-775.52244000000007</v>
      </c>
      <c r="AH58" s="864">
        <f t="shared" si="32"/>
        <v>12</v>
      </c>
      <c r="AI58" s="863">
        <f t="shared" si="21"/>
        <v>0</v>
      </c>
      <c r="AJ58" s="864">
        <f t="shared" si="33"/>
        <v>0</v>
      </c>
      <c r="AK58" s="365"/>
      <c r="AL58" s="865">
        <f t="shared" si="22"/>
        <v>0</v>
      </c>
      <c r="AM58" s="866">
        <f t="shared" si="34"/>
        <v>-775.52244000000007</v>
      </c>
      <c r="AN58" s="866">
        <f t="shared" si="35"/>
        <v>1.0362757016883972E-2</v>
      </c>
      <c r="AO58" s="866">
        <f t="shared" si="36"/>
        <v>0</v>
      </c>
      <c r="AP58" s="867">
        <f t="shared" si="37"/>
        <v>0</v>
      </c>
      <c r="AQ58" s="591">
        <f t="shared" si="23"/>
        <v>0</v>
      </c>
      <c r="AR58" s="868">
        <f>IF(AND($L58=0,$P58=0)=TRUE,VLOOKUP($E58,Plan3!$A$16:$CT$487,$E$7+3,0)/100,0)</f>
        <v>0</v>
      </c>
      <c r="AS58" s="868">
        <f>IF(AND($L58=0,$P58=0)=TRUE,VLOOKUP($E58,Plan3!$A$16:$CT$487,$E$7+6,0)/100,0)</f>
        <v>0</v>
      </c>
      <c r="AT58" s="868">
        <f>IF(AND($L58=0,$P58=0)=TRUE,VLOOKUP($E58,Plan3!$A$16:$CT$487,$E$7+9,0)/100,0)</f>
        <v>0</v>
      </c>
      <c r="AU58" s="868">
        <f>IF(AND($L58=0,$P58=0)=TRUE,VLOOKUP($E58,Plan3!$A$16:$CT$487,$E$7+12,0)/100,0)</f>
        <v>0</v>
      </c>
      <c r="AV58" s="841"/>
      <c r="AW58" s="869">
        <f t="shared" si="38"/>
        <v>0</v>
      </c>
      <c r="AX58" s="870">
        <f t="shared" si="39"/>
        <v>0</v>
      </c>
      <c r="AY58" s="871">
        <f t="shared" si="40"/>
        <v>0</v>
      </c>
      <c r="AZ58" s="237" t="str">
        <f t="shared" si="10"/>
        <v xml:space="preserve">05.001.000.002 </v>
      </c>
      <c r="BA58" s="365"/>
      <c r="BB58" s="365"/>
      <c r="BC58" s="365"/>
      <c r="BD58" s="365"/>
      <c r="BE58" s="365"/>
      <c r="BF58" s="365"/>
      <c r="BG58" s="365"/>
      <c r="BH58" s="365"/>
      <c r="BI58" s="365"/>
      <c r="BJ58" s="365"/>
      <c r="BK58" s="365"/>
      <c r="BL58" s="872">
        <f t="shared" si="11"/>
        <v>0</v>
      </c>
      <c r="BM58" s="873">
        <f t="shared" si="12"/>
        <v>0</v>
      </c>
      <c r="BN58" s="874">
        <f t="shared" si="41"/>
        <v>0</v>
      </c>
      <c r="BO58" s="875">
        <f t="shared" si="13"/>
        <v>0</v>
      </c>
      <c r="BP58" s="875">
        <f t="shared" si="14"/>
        <v>0</v>
      </c>
      <c r="BQ58" s="876">
        <f t="shared" si="42"/>
        <v>0</v>
      </c>
      <c r="BR58" s="877">
        <f t="shared" si="43"/>
        <v>0</v>
      </c>
      <c r="BS58" s="875">
        <f t="shared" si="15"/>
        <v>0</v>
      </c>
      <c r="BT58" s="875">
        <f t="shared" si="16"/>
        <v>0</v>
      </c>
      <c r="BU58" s="878">
        <f t="shared" si="44"/>
        <v>0</v>
      </c>
      <c r="CE58" s="486">
        <v>47</v>
      </c>
    </row>
    <row r="59" spans="1:83" s="177" customFormat="1" ht="21.95" customHeight="1" x14ac:dyDescent="0.2">
      <c r="A59" s="237">
        <f t="shared" si="17"/>
        <v>0</v>
      </c>
      <c r="B59" s="237">
        <f t="shared" si="18"/>
        <v>11</v>
      </c>
      <c r="C59" s="393">
        <f t="shared" si="2"/>
        <v>0</v>
      </c>
      <c r="D59" s="393" t="str">
        <f t="shared" si="3"/>
        <v xml:space="preserve">05 </v>
      </c>
      <c r="E59" s="959" t="s">
        <v>99</v>
      </c>
      <c r="F59" s="959" t="s">
        <v>2210</v>
      </c>
      <c r="G59" s="959" t="s">
        <v>94</v>
      </c>
      <c r="H59" s="960">
        <v>7.2</v>
      </c>
      <c r="I59" s="965">
        <v>296.41149999999999</v>
      </c>
      <c r="J59" s="964">
        <v>2134.17</v>
      </c>
      <c r="K59" s="367">
        <v>0</v>
      </c>
      <c r="L59" s="367">
        <f>IF($H59="",0,VLOOKUP($E59,Plan3!$A$16:$CT$384,$E$7,0)%)</f>
        <v>0.38780000000000003</v>
      </c>
      <c r="M59" s="368">
        <f t="shared" si="24"/>
        <v>2.7921600000000004</v>
      </c>
      <c r="N59" s="368">
        <f t="shared" si="25"/>
        <v>827.63112600000011</v>
      </c>
      <c r="O59" s="367">
        <v>0</v>
      </c>
      <c r="P59" s="367">
        <f>VLOOKUP($E59,Plan3!$A$492:$P$858,13,0)%</f>
        <v>0</v>
      </c>
      <c r="Q59" s="368">
        <f t="shared" si="26"/>
        <v>0</v>
      </c>
      <c r="R59" s="368">
        <f t="shared" si="27"/>
        <v>0</v>
      </c>
      <c r="S59" s="880">
        <v>2158.9263720000004</v>
      </c>
      <c r="T59" s="880">
        <f t="shared" si="28"/>
        <v>0</v>
      </c>
      <c r="U59" s="880">
        <f>IF($I59="",0,($S59-$T59)*(1+('Econômico Macro'!$R$12/100)))</f>
        <v>2196.2757982356006</v>
      </c>
      <c r="V59" s="880">
        <f t="shared" si="29"/>
        <v>2196.2757982356006</v>
      </c>
      <c r="W59" s="880">
        <f t="shared" si="30"/>
        <v>851.71575455576601</v>
      </c>
      <c r="X59" s="367">
        <f t="shared" si="5"/>
        <v>0.38780000000000003</v>
      </c>
      <c r="Y59" s="367">
        <f t="shared" si="6"/>
        <v>0</v>
      </c>
      <c r="Z59" s="367">
        <f t="shared" si="7"/>
        <v>-0.38780000000000003</v>
      </c>
      <c r="AA59" s="367">
        <f t="shared" si="8"/>
        <v>-0.38780000000000003</v>
      </c>
      <c r="AB59" s="369" t="str">
        <f t="shared" si="9"/>
        <v>Atrasada</v>
      </c>
      <c r="AC59" s="365"/>
      <c r="AD59" s="368">
        <v>1</v>
      </c>
      <c r="AE59" s="368">
        <f t="shared" si="31"/>
        <v>-1</v>
      </c>
      <c r="AF59" s="365"/>
      <c r="AG59" s="863">
        <f t="shared" si="20"/>
        <v>-827.63112600000011</v>
      </c>
      <c r="AH59" s="864">
        <f t="shared" si="32"/>
        <v>11</v>
      </c>
      <c r="AI59" s="863">
        <f t="shared" si="21"/>
        <v>0</v>
      </c>
      <c r="AJ59" s="864">
        <f t="shared" si="33"/>
        <v>0</v>
      </c>
      <c r="AK59" s="365"/>
      <c r="AL59" s="865">
        <f t="shared" si="22"/>
        <v>0</v>
      </c>
      <c r="AM59" s="866">
        <f t="shared" si="34"/>
        <v>-827.63112600000011</v>
      </c>
      <c r="AN59" s="866">
        <f t="shared" si="35"/>
        <v>1.1059048476209254E-2</v>
      </c>
      <c r="AO59" s="866">
        <f t="shared" si="36"/>
        <v>0</v>
      </c>
      <c r="AP59" s="867">
        <f t="shared" si="37"/>
        <v>0</v>
      </c>
      <c r="AQ59" s="591">
        <f t="shared" si="23"/>
        <v>0</v>
      </c>
      <c r="AR59" s="868">
        <f>IF(AND($L59=0,$P59=0)=TRUE,VLOOKUP($E59,Plan3!$A$16:$CT$487,$E$7+3,0)/100,0)</f>
        <v>0</v>
      </c>
      <c r="AS59" s="868">
        <f>IF(AND($L59=0,$P59=0)=TRUE,VLOOKUP($E59,Plan3!$A$16:$CT$487,$E$7+6,0)/100,0)</f>
        <v>0</v>
      </c>
      <c r="AT59" s="868">
        <f>IF(AND($L59=0,$P59=0)=TRUE,VLOOKUP($E59,Plan3!$A$16:$CT$487,$E$7+9,0)/100,0)</f>
        <v>0</v>
      </c>
      <c r="AU59" s="868">
        <f>IF(AND($L59=0,$P59=0)=TRUE,VLOOKUP($E59,Plan3!$A$16:$CT$487,$E$7+12,0)/100,0)</f>
        <v>0</v>
      </c>
      <c r="AV59" s="841"/>
      <c r="AW59" s="869">
        <f t="shared" si="38"/>
        <v>0</v>
      </c>
      <c r="AX59" s="870">
        <f t="shared" si="39"/>
        <v>0</v>
      </c>
      <c r="AY59" s="871">
        <f t="shared" si="40"/>
        <v>0</v>
      </c>
      <c r="AZ59" s="237" t="str">
        <f t="shared" si="10"/>
        <v xml:space="preserve">05.001.000.003 </v>
      </c>
      <c r="BA59" s="365"/>
      <c r="BB59" s="365"/>
      <c r="BC59" s="365"/>
      <c r="BD59" s="365"/>
      <c r="BE59" s="365"/>
      <c r="BF59" s="365"/>
      <c r="BG59" s="365"/>
      <c r="BH59" s="365"/>
      <c r="BI59" s="365"/>
      <c r="BJ59" s="365"/>
      <c r="BK59" s="365"/>
      <c r="BL59" s="872">
        <f t="shared" si="11"/>
        <v>0</v>
      </c>
      <c r="BM59" s="873">
        <f t="shared" si="12"/>
        <v>0</v>
      </c>
      <c r="BN59" s="874">
        <f t="shared" si="41"/>
        <v>0</v>
      </c>
      <c r="BO59" s="875">
        <f t="shared" si="13"/>
        <v>0</v>
      </c>
      <c r="BP59" s="875">
        <f t="shared" si="14"/>
        <v>0</v>
      </c>
      <c r="BQ59" s="876">
        <f t="shared" si="42"/>
        <v>0</v>
      </c>
      <c r="BR59" s="877">
        <f t="shared" si="43"/>
        <v>0</v>
      </c>
      <c r="BS59" s="875">
        <f t="shared" si="15"/>
        <v>0</v>
      </c>
      <c r="BT59" s="875">
        <f t="shared" si="16"/>
        <v>0</v>
      </c>
      <c r="BU59" s="878">
        <f t="shared" si="44"/>
        <v>0</v>
      </c>
      <c r="CE59" s="486">
        <v>48</v>
      </c>
    </row>
    <row r="60" spans="1:83" s="177" customFormat="1" ht="21.95" customHeight="1" x14ac:dyDescent="0.2">
      <c r="A60" s="237">
        <f t="shared" si="17"/>
        <v>0</v>
      </c>
      <c r="B60" s="237">
        <f t="shared" si="18"/>
        <v>4</v>
      </c>
      <c r="C60" s="393">
        <f t="shared" si="2"/>
        <v>0</v>
      </c>
      <c r="D60" s="393" t="str">
        <f t="shared" si="3"/>
        <v xml:space="preserve">05 </v>
      </c>
      <c r="E60" s="959" t="s">
        <v>100</v>
      </c>
      <c r="F60" s="959" t="s">
        <v>2211</v>
      </c>
      <c r="G60" s="959" t="s">
        <v>90</v>
      </c>
      <c r="H60" s="965">
        <v>433.37</v>
      </c>
      <c r="I60" s="970">
        <v>60.5</v>
      </c>
      <c r="J60" s="962">
        <v>26218.89</v>
      </c>
      <c r="K60" s="367">
        <v>0</v>
      </c>
      <c r="L60" s="367">
        <f>IF($H60="",0,VLOOKUP($E60,Plan3!$A$16:$CT$384,$E$7,0)%)</f>
        <v>0.38780000000000003</v>
      </c>
      <c r="M60" s="368">
        <f t="shared" si="24"/>
        <v>168.06088600000001</v>
      </c>
      <c r="N60" s="368">
        <f t="shared" si="25"/>
        <v>10167.685542000001</v>
      </c>
      <c r="O60" s="367">
        <v>0</v>
      </c>
      <c r="P60" s="367">
        <f>VLOOKUP($E60,Plan3!$A$492:$P$858,13,0)%</f>
        <v>0</v>
      </c>
      <c r="Q60" s="368">
        <f t="shared" si="26"/>
        <v>0</v>
      </c>
      <c r="R60" s="368">
        <f t="shared" si="27"/>
        <v>0</v>
      </c>
      <c r="S60" s="880">
        <v>26523.029124000001</v>
      </c>
      <c r="T60" s="880">
        <f t="shared" si="28"/>
        <v>0</v>
      </c>
      <c r="U60" s="880">
        <f>IF($I60="",0,($S60-$T60)*(1+('Econômico Macro'!$R$12/100)))</f>
        <v>26981.877527845201</v>
      </c>
      <c r="V60" s="880">
        <f t="shared" si="29"/>
        <v>26981.877527845201</v>
      </c>
      <c r="W60" s="880">
        <f t="shared" si="30"/>
        <v>10463.57210529837</v>
      </c>
      <c r="X60" s="367">
        <f t="shared" si="5"/>
        <v>0.38780000000000003</v>
      </c>
      <c r="Y60" s="367">
        <f t="shared" si="6"/>
        <v>0</v>
      </c>
      <c r="Z60" s="367">
        <f t="shared" si="7"/>
        <v>-0.38780000000000003</v>
      </c>
      <c r="AA60" s="367">
        <f t="shared" si="8"/>
        <v>-0.38780000000000003</v>
      </c>
      <c r="AB60" s="369" t="str">
        <f t="shared" si="9"/>
        <v>Atrasada</v>
      </c>
      <c r="AC60" s="365"/>
      <c r="AD60" s="368">
        <v>1</v>
      </c>
      <c r="AE60" s="368">
        <f t="shared" si="31"/>
        <v>-1</v>
      </c>
      <c r="AF60" s="365"/>
      <c r="AG60" s="863">
        <f t="shared" si="20"/>
        <v>-10167.685542000001</v>
      </c>
      <c r="AH60" s="864">
        <f t="shared" si="32"/>
        <v>4</v>
      </c>
      <c r="AI60" s="863">
        <f t="shared" si="21"/>
        <v>0</v>
      </c>
      <c r="AJ60" s="864">
        <f t="shared" si="33"/>
        <v>0</v>
      </c>
      <c r="AK60" s="365"/>
      <c r="AL60" s="865">
        <f t="shared" si="22"/>
        <v>0</v>
      </c>
      <c r="AM60" s="866">
        <f t="shared" si="34"/>
        <v>-10167.685542000001</v>
      </c>
      <c r="AN60" s="866">
        <f t="shared" si="35"/>
        <v>0.13586357951915642</v>
      </c>
      <c r="AO60" s="866">
        <f t="shared" si="36"/>
        <v>0</v>
      </c>
      <c r="AP60" s="867">
        <f t="shared" si="37"/>
        <v>0</v>
      </c>
      <c r="AQ60" s="591">
        <f t="shared" si="23"/>
        <v>0</v>
      </c>
      <c r="AR60" s="868">
        <f>IF(AND($L60=0,$P60=0)=TRUE,VLOOKUP($E60,Plan3!$A$16:$CT$487,$E$7+3,0)/100,0)</f>
        <v>0</v>
      </c>
      <c r="AS60" s="868">
        <f>IF(AND($L60=0,$P60=0)=TRUE,VLOOKUP($E60,Plan3!$A$16:$CT$487,$E$7+6,0)/100,0)</f>
        <v>0</v>
      </c>
      <c r="AT60" s="868">
        <f>IF(AND($L60=0,$P60=0)=TRUE,VLOOKUP($E60,Plan3!$A$16:$CT$487,$E$7+9,0)/100,0)</f>
        <v>0</v>
      </c>
      <c r="AU60" s="868">
        <f>IF(AND($L60=0,$P60=0)=TRUE,VLOOKUP($E60,Plan3!$A$16:$CT$487,$E$7+12,0)/100,0)</f>
        <v>0</v>
      </c>
      <c r="AV60" s="841"/>
      <c r="AW60" s="869">
        <f t="shared" si="38"/>
        <v>0</v>
      </c>
      <c r="AX60" s="870">
        <f t="shared" si="39"/>
        <v>0</v>
      </c>
      <c r="AY60" s="871">
        <f t="shared" si="40"/>
        <v>0</v>
      </c>
      <c r="AZ60" s="237" t="str">
        <f t="shared" si="10"/>
        <v xml:space="preserve">05.001.000.004 </v>
      </c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872">
        <f t="shared" si="11"/>
        <v>0</v>
      </c>
      <c r="BM60" s="873">
        <f t="shared" si="12"/>
        <v>0</v>
      </c>
      <c r="BN60" s="874">
        <f t="shared" si="41"/>
        <v>0</v>
      </c>
      <c r="BO60" s="875">
        <f t="shared" si="13"/>
        <v>0</v>
      </c>
      <c r="BP60" s="875">
        <f t="shared" si="14"/>
        <v>0</v>
      </c>
      <c r="BQ60" s="876">
        <f t="shared" si="42"/>
        <v>0</v>
      </c>
      <c r="BR60" s="877">
        <f t="shared" si="43"/>
        <v>0</v>
      </c>
      <c r="BS60" s="875">
        <f t="shared" si="15"/>
        <v>0</v>
      </c>
      <c r="BT60" s="875">
        <f t="shared" si="16"/>
        <v>0</v>
      </c>
      <c r="BU60" s="878">
        <f t="shared" si="44"/>
        <v>0</v>
      </c>
      <c r="CE60" s="486">
        <v>49</v>
      </c>
    </row>
    <row r="61" spans="1:83" s="177" customFormat="1" ht="21.95" customHeight="1" x14ac:dyDescent="0.2">
      <c r="A61" s="237">
        <f t="shared" si="17"/>
        <v>0</v>
      </c>
      <c r="B61" s="237">
        <f t="shared" si="18"/>
        <v>2</v>
      </c>
      <c r="C61" s="393">
        <f t="shared" si="2"/>
        <v>0</v>
      </c>
      <c r="D61" s="393" t="str">
        <f t="shared" si="3"/>
        <v xml:space="preserve">05 </v>
      </c>
      <c r="E61" s="959" t="s">
        <v>102</v>
      </c>
      <c r="F61" s="959" t="s">
        <v>2212</v>
      </c>
      <c r="G61" s="959" t="s">
        <v>101</v>
      </c>
      <c r="H61" s="963">
        <v>6933.09</v>
      </c>
      <c r="I61" s="960">
        <v>6.0964</v>
      </c>
      <c r="J61" s="962">
        <v>42266.89</v>
      </c>
      <c r="K61" s="367">
        <v>0</v>
      </c>
      <c r="L61" s="367">
        <f>IF($H61="",0,VLOOKUP($E61,Plan3!$A$16:$CT$384,$E$7,0)%)</f>
        <v>0.38780000000000003</v>
      </c>
      <c r="M61" s="368">
        <f t="shared" si="24"/>
        <v>2688.6523020000004</v>
      </c>
      <c r="N61" s="368">
        <f t="shared" si="25"/>
        <v>16391.099942000001</v>
      </c>
      <c r="O61" s="367">
        <v>0</v>
      </c>
      <c r="P61" s="367">
        <f>VLOOKUP($E61,Plan3!$A$492:$P$858,13,0)%</f>
        <v>0</v>
      </c>
      <c r="Q61" s="368">
        <f t="shared" si="26"/>
        <v>0</v>
      </c>
      <c r="R61" s="368">
        <f t="shared" si="27"/>
        <v>0</v>
      </c>
      <c r="S61" s="880">
        <v>42757.185924000005</v>
      </c>
      <c r="T61" s="880">
        <f t="shared" si="28"/>
        <v>0</v>
      </c>
      <c r="U61" s="880">
        <f>IF($I61="",0,($S61-$T61)*(1+('Econômico Macro'!$R$12/100)))</f>
        <v>43496.885240485208</v>
      </c>
      <c r="V61" s="880">
        <f t="shared" si="29"/>
        <v>43496.885240485208</v>
      </c>
      <c r="W61" s="880">
        <f t="shared" si="30"/>
        <v>16868.092096260167</v>
      </c>
      <c r="X61" s="367">
        <f t="shared" si="5"/>
        <v>0.38780000000000003</v>
      </c>
      <c r="Y61" s="367">
        <f t="shared" si="6"/>
        <v>0</v>
      </c>
      <c r="Z61" s="367">
        <f t="shared" si="7"/>
        <v>-0.38780000000000003</v>
      </c>
      <c r="AA61" s="367">
        <f t="shared" si="8"/>
        <v>-0.38780000000000003</v>
      </c>
      <c r="AB61" s="369" t="str">
        <f t="shared" si="9"/>
        <v>Atrasada</v>
      </c>
      <c r="AC61" s="365"/>
      <c r="AD61" s="368">
        <v>1</v>
      </c>
      <c r="AE61" s="368">
        <f t="shared" si="31"/>
        <v>-1</v>
      </c>
      <c r="AF61" s="365"/>
      <c r="AG61" s="863">
        <f t="shared" si="20"/>
        <v>-16391.099942000001</v>
      </c>
      <c r="AH61" s="864">
        <f t="shared" si="32"/>
        <v>2</v>
      </c>
      <c r="AI61" s="863">
        <f t="shared" si="21"/>
        <v>0</v>
      </c>
      <c r="AJ61" s="864">
        <f t="shared" si="33"/>
        <v>0</v>
      </c>
      <c r="AK61" s="365"/>
      <c r="AL61" s="865">
        <f t="shared" si="22"/>
        <v>0</v>
      </c>
      <c r="AM61" s="866">
        <f t="shared" si="34"/>
        <v>-16391.099942000001</v>
      </c>
      <c r="AN61" s="866">
        <f t="shared" si="35"/>
        <v>0.21902265773045454</v>
      </c>
      <c r="AO61" s="866">
        <f t="shared" si="36"/>
        <v>0</v>
      </c>
      <c r="AP61" s="867">
        <f t="shared" si="37"/>
        <v>0</v>
      </c>
      <c r="AQ61" s="591">
        <f t="shared" si="23"/>
        <v>0</v>
      </c>
      <c r="AR61" s="868">
        <f>IF(AND($L61=0,$P61=0)=TRUE,VLOOKUP($E61,Plan3!$A$16:$CT$487,$E$7+3,0)/100,0)</f>
        <v>0</v>
      </c>
      <c r="AS61" s="868">
        <f>IF(AND($L61=0,$P61=0)=TRUE,VLOOKUP($E61,Plan3!$A$16:$CT$487,$E$7+6,0)/100,0)</f>
        <v>0</v>
      </c>
      <c r="AT61" s="868">
        <f>IF(AND($L61=0,$P61=0)=TRUE,VLOOKUP($E61,Plan3!$A$16:$CT$487,$E$7+9,0)/100,0)</f>
        <v>0</v>
      </c>
      <c r="AU61" s="868">
        <f>IF(AND($L61=0,$P61=0)=TRUE,VLOOKUP($E61,Plan3!$A$16:$CT$487,$E$7+12,0)/100,0)</f>
        <v>0</v>
      </c>
      <c r="AV61" s="841"/>
      <c r="AW61" s="869">
        <f t="shared" si="38"/>
        <v>0</v>
      </c>
      <c r="AX61" s="870">
        <f t="shared" si="39"/>
        <v>0</v>
      </c>
      <c r="AY61" s="871">
        <f t="shared" si="40"/>
        <v>0</v>
      </c>
      <c r="AZ61" s="237" t="str">
        <f t="shared" si="10"/>
        <v xml:space="preserve">05.001.000.005 </v>
      </c>
      <c r="BA61" s="365"/>
      <c r="BB61" s="365"/>
      <c r="BC61" s="365"/>
      <c r="BD61" s="365"/>
      <c r="BE61" s="365"/>
      <c r="BF61" s="365"/>
      <c r="BG61" s="365"/>
      <c r="BH61" s="365"/>
      <c r="BI61" s="365"/>
      <c r="BJ61" s="365"/>
      <c r="BK61" s="365"/>
      <c r="BL61" s="872">
        <f t="shared" si="11"/>
        <v>0</v>
      </c>
      <c r="BM61" s="873">
        <f t="shared" si="12"/>
        <v>0</v>
      </c>
      <c r="BN61" s="874">
        <f t="shared" si="41"/>
        <v>0</v>
      </c>
      <c r="BO61" s="875">
        <f t="shared" si="13"/>
        <v>0</v>
      </c>
      <c r="BP61" s="875">
        <f t="shared" si="14"/>
        <v>0</v>
      </c>
      <c r="BQ61" s="876">
        <f t="shared" si="42"/>
        <v>0</v>
      </c>
      <c r="BR61" s="877">
        <f t="shared" si="43"/>
        <v>0</v>
      </c>
      <c r="BS61" s="875">
        <f t="shared" si="15"/>
        <v>0</v>
      </c>
      <c r="BT61" s="875">
        <f t="shared" si="16"/>
        <v>0</v>
      </c>
      <c r="BU61" s="878">
        <f t="shared" si="44"/>
        <v>0</v>
      </c>
      <c r="CE61" s="486">
        <v>50</v>
      </c>
    </row>
    <row r="62" spans="1:83" s="177" customFormat="1" ht="21.95" customHeight="1" x14ac:dyDescent="0.2">
      <c r="A62" s="237">
        <f t="shared" si="17"/>
        <v>0</v>
      </c>
      <c r="B62" s="237">
        <f t="shared" si="18"/>
        <v>3</v>
      </c>
      <c r="C62" s="393">
        <f t="shared" si="2"/>
        <v>0</v>
      </c>
      <c r="D62" s="393" t="str">
        <f t="shared" si="3"/>
        <v xml:space="preserve">05 </v>
      </c>
      <c r="E62" s="959" t="s">
        <v>607</v>
      </c>
      <c r="F62" s="959" t="s">
        <v>2213</v>
      </c>
      <c r="G62" s="959" t="s">
        <v>94</v>
      </c>
      <c r="H62" s="970">
        <v>90.69</v>
      </c>
      <c r="I62" s="965">
        <v>289.86669999999998</v>
      </c>
      <c r="J62" s="962">
        <v>26288.01</v>
      </c>
      <c r="K62" s="367">
        <v>0</v>
      </c>
      <c r="L62" s="367">
        <f>IF($H62="",0,VLOOKUP($E62,Plan3!$A$16:$CT$384,$E$7,0)%)</f>
        <v>0.38780000000000003</v>
      </c>
      <c r="M62" s="368">
        <f t="shared" si="24"/>
        <v>35.169582000000005</v>
      </c>
      <c r="N62" s="368">
        <f t="shared" si="25"/>
        <v>10194.490278000001</v>
      </c>
      <c r="O62" s="367">
        <v>0</v>
      </c>
      <c r="P62" s="367">
        <f>VLOOKUP($E62,Plan3!$A$492:$P$858,13,0)%</f>
        <v>0</v>
      </c>
      <c r="Q62" s="368">
        <f t="shared" si="26"/>
        <v>0</v>
      </c>
      <c r="R62" s="368">
        <f t="shared" si="27"/>
        <v>0</v>
      </c>
      <c r="S62" s="880">
        <v>26592.950916000002</v>
      </c>
      <c r="T62" s="880">
        <f t="shared" si="28"/>
        <v>0</v>
      </c>
      <c r="U62" s="880">
        <f>IF($I62="",0,($S62-$T62)*(1+('Econômico Macro'!$R$12/100)))</f>
        <v>27053.008966846803</v>
      </c>
      <c r="V62" s="880">
        <f t="shared" si="29"/>
        <v>27053.008966846803</v>
      </c>
      <c r="W62" s="880">
        <f t="shared" si="30"/>
        <v>10491.156877343192</v>
      </c>
      <c r="X62" s="367">
        <f t="shared" si="5"/>
        <v>0.38780000000000003</v>
      </c>
      <c r="Y62" s="367">
        <f t="shared" si="6"/>
        <v>0</v>
      </c>
      <c r="Z62" s="367">
        <f t="shared" si="7"/>
        <v>-0.38780000000000003</v>
      </c>
      <c r="AA62" s="367">
        <f t="shared" si="8"/>
        <v>-0.38780000000000003</v>
      </c>
      <c r="AB62" s="369" t="str">
        <f t="shared" si="9"/>
        <v>Atrasada</v>
      </c>
      <c r="AC62" s="365"/>
      <c r="AD62" s="368">
        <v>1</v>
      </c>
      <c r="AE62" s="368">
        <f t="shared" si="31"/>
        <v>-1</v>
      </c>
      <c r="AF62" s="365"/>
      <c r="AG62" s="863">
        <f t="shared" si="20"/>
        <v>-10194.490278000001</v>
      </c>
      <c r="AH62" s="864">
        <f t="shared" si="32"/>
        <v>3</v>
      </c>
      <c r="AI62" s="863">
        <f t="shared" si="21"/>
        <v>0</v>
      </c>
      <c r="AJ62" s="864">
        <f t="shared" si="33"/>
        <v>0</v>
      </c>
      <c r="AK62" s="365"/>
      <c r="AL62" s="865">
        <f t="shared" si="22"/>
        <v>0</v>
      </c>
      <c r="AM62" s="866">
        <f t="shared" si="34"/>
        <v>-10194.490278000001</v>
      </c>
      <c r="AN62" s="866">
        <f t="shared" si="35"/>
        <v>0.1362217522189299</v>
      </c>
      <c r="AO62" s="866">
        <f t="shared" si="36"/>
        <v>0</v>
      </c>
      <c r="AP62" s="867">
        <f t="shared" si="37"/>
        <v>0</v>
      </c>
      <c r="AQ62" s="591">
        <f t="shared" si="23"/>
        <v>0</v>
      </c>
      <c r="AR62" s="868">
        <f>IF(AND($L62=0,$P62=0)=TRUE,VLOOKUP($E62,Plan3!$A$16:$CT$487,$E$7+3,0)/100,0)</f>
        <v>0</v>
      </c>
      <c r="AS62" s="868">
        <f>IF(AND($L62=0,$P62=0)=TRUE,VLOOKUP($E62,Plan3!$A$16:$CT$487,$E$7+6,0)/100,0)</f>
        <v>0</v>
      </c>
      <c r="AT62" s="868">
        <f>IF(AND($L62=0,$P62=0)=TRUE,VLOOKUP($E62,Plan3!$A$16:$CT$487,$E$7+9,0)/100,0)</f>
        <v>0</v>
      </c>
      <c r="AU62" s="868">
        <f>IF(AND($L62=0,$P62=0)=TRUE,VLOOKUP($E62,Plan3!$A$16:$CT$487,$E$7+12,0)/100,0)</f>
        <v>0</v>
      </c>
      <c r="AV62" s="841"/>
      <c r="AW62" s="869">
        <f t="shared" si="38"/>
        <v>0</v>
      </c>
      <c r="AX62" s="870">
        <f t="shared" si="39"/>
        <v>0</v>
      </c>
      <c r="AY62" s="871">
        <f t="shared" si="40"/>
        <v>0</v>
      </c>
      <c r="AZ62" s="237" t="str">
        <f t="shared" si="10"/>
        <v xml:space="preserve">05.001.000.006 </v>
      </c>
      <c r="BA62" s="365"/>
      <c r="BB62" s="365"/>
      <c r="BC62" s="365"/>
      <c r="BD62" s="365"/>
      <c r="BE62" s="365"/>
      <c r="BF62" s="365"/>
      <c r="BG62" s="365"/>
      <c r="BH62" s="365"/>
      <c r="BI62" s="365"/>
      <c r="BJ62" s="365"/>
      <c r="BK62" s="365"/>
      <c r="BL62" s="872">
        <f t="shared" si="11"/>
        <v>0</v>
      </c>
      <c r="BM62" s="873">
        <f t="shared" si="12"/>
        <v>0</v>
      </c>
      <c r="BN62" s="874">
        <f t="shared" si="41"/>
        <v>0</v>
      </c>
      <c r="BO62" s="875">
        <f t="shared" si="13"/>
        <v>0</v>
      </c>
      <c r="BP62" s="875">
        <f t="shared" si="14"/>
        <v>0</v>
      </c>
      <c r="BQ62" s="876">
        <f t="shared" si="42"/>
        <v>0</v>
      </c>
      <c r="BR62" s="877">
        <f t="shared" si="43"/>
        <v>0</v>
      </c>
      <c r="BS62" s="875">
        <f t="shared" si="15"/>
        <v>0</v>
      </c>
      <c r="BT62" s="875">
        <f t="shared" si="16"/>
        <v>0</v>
      </c>
      <c r="BU62" s="878">
        <f t="shared" si="44"/>
        <v>0</v>
      </c>
      <c r="CE62" s="486">
        <v>51</v>
      </c>
    </row>
    <row r="63" spans="1:83" s="177" customFormat="1" ht="21.95" customHeight="1" x14ac:dyDescent="0.2">
      <c r="A63" s="237">
        <f t="shared" si="17"/>
        <v>0</v>
      </c>
      <c r="B63" s="237">
        <f t="shared" si="18"/>
        <v>13</v>
      </c>
      <c r="C63" s="393">
        <f t="shared" si="2"/>
        <v>0</v>
      </c>
      <c r="D63" s="393" t="str">
        <f t="shared" si="3"/>
        <v xml:space="preserve">05 </v>
      </c>
      <c r="E63" s="959" t="s">
        <v>2214</v>
      </c>
      <c r="F63" s="959" t="s">
        <v>2215</v>
      </c>
      <c r="G63" s="959" t="s">
        <v>94</v>
      </c>
      <c r="H63" s="970">
        <v>85.99</v>
      </c>
      <c r="I63" s="970">
        <v>12.515599999999999</v>
      </c>
      <c r="J63" s="964">
        <v>1076.22</v>
      </c>
      <c r="K63" s="367">
        <v>0</v>
      </c>
      <c r="L63" s="367">
        <f>IF($H63="",0,VLOOKUP($E63,Plan3!$A$16:$CT$384,$E$7,0)%)</f>
        <v>0.38780000000000003</v>
      </c>
      <c r="M63" s="368">
        <f t="shared" si="24"/>
        <v>33.346921999999999</v>
      </c>
      <c r="N63" s="368">
        <f t="shared" si="25"/>
        <v>417.35811600000005</v>
      </c>
      <c r="O63" s="367">
        <v>0</v>
      </c>
      <c r="P63" s="367">
        <f>VLOOKUP($E63,Plan3!$A$492:$P$858,13,0)%</f>
        <v>0</v>
      </c>
      <c r="Q63" s="368">
        <f t="shared" si="26"/>
        <v>0</v>
      </c>
      <c r="R63" s="368">
        <f t="shared" si="27"/>
        <v>0</v>
      </c>
      <c r="S63" s="880">
        <v>1088.704152</v>
      </c>
      <c r="T63" s="880">
        <f t="shared" si="28"/>
        <v>0</v>
      </c>
      <c r="U63" s="880">
        <f>IF($I63="",0,($S63-$T63)*(1+('Econômico Macro'!$R$12/100)))</f>
        <v>1107.5387338296002</v>
      </c>
      <c r="V63" s="880">
        <f t="shared" si="29"/>
        <v>1107.5387338296002</v>
      </c>
      <c r="W63" s="880">
        <f t="shared" si="30"/>
        <v>429.503520979119</v>
      </c>
      <c r="X63" s="367">
        <f t="shared" si="5"/>
        <v>0.38780000000000003</v>
      </c>
      <c r="Y63" s="367">
        <f t="shared" si="6"/>
        <v>0</v>
      </c>
      <c r="Z63" s="367">
        <f t="shared" si="7"/>
        <v>-0.38780000000000003</v>
      </c>
      <c r="AA63" s="367">
        <f t="shared" si="8"/>
        <v>-0.38780000000000003</v>
      </c>
      <c r="AB63" s="369" t="str">
        <f t="shared" si="9"/>
        <v>Atrasada</v>
      </c>
      <c r="AC63" s="365"/>
      <c r="AD63" s="368">
        <v>1</v>
      </c>
      <c r="AE63" s="368">
        <f t="shared" si="31"/>
        <v>-1</v>
      </c>
      <c r="AF63" s="365"/>
      <c r="AG63" s="863">
        <f t="shared" si="20"/>
        <v>-417.35811600000005</v>
      </c>
      <c r="AH63" s="864">
        <f t="shared" si="32"/>
        <v>13</v>
      </c>
      <c r="AI63" s="863">
        <f t="shared" si="21"/>
        <v>0</v>
      </c>
      <c r="AJ63" s="864">
        <f t="shared" si="33"/>
        <v>0</v>
      </c>
      <c r="AK63" s="365"/>
      <c r="AL63" s="865">
        <f t="shared" si="22"/>
        <v>0</v>
      </c>
      <c r="AM63" s="866">
        <f t="shared" si="34"/>
        <v>-417.35811600000005</v>
      </c>
      <c r="AN63" s="866">
        <f t="shared" si="35"/>
        <v>5.5768608644418786E-3</v>
      </c>
      <c r="AO63" s="866">
        <f t="shared" si="36"/>
        <v>0</v>
      </c>
      <c r="AP63" s="867">
        <f t="shared" si="37"/>
        <v>0</v>
      </c>
      <c r="AQ63" s="591">
        <f t="shared" si="23"/>
        <v>0</v>
      </c>
      <c r="AR63" s="868">
        <f>IF(AND($L63=0,$P63=0)=TRUE,VLOOKUP($E63,Plan3!$A$16:$CT$487,$E$7+3,0)/100,0)</f>
        <v>0</v>
      </c>
      <c r="AS63" s="868">
        <f>IF(AND($L63=0,$P63=0)=TRUE,VLOOKUP($E63,Plan3!$A$16:$CT$487,$E$7+6,0)/100,0)</f>
        <v>0</v>
      </c>
      <c r="AT63" s="868">
        <f>IF(AND($L63=0,$P63=0)=TRUE,VLOOKUP($E63,Plan3!$A$16:$CT$487,$E$7+9,0)/100,0)</f>
        <v>0</v>
      </c>
      <c r="AU63" s="868">
        <f>IF(AND($L63=0,$P63=0)=TRUE,VLOOKUP($E63,Plan3!$A$16:$CT$487,$E$7+12,0)/100,0)</f>
        <v>0</v>
      </c>
      <c r="AV63" s="841"/>
      <c r="AW63" s="869">
        <f t="shared" si="38"/>
        <v>0</v>
      </c>
      <c r="AX63" s="870">
        <f t="shared" si="39"/>
        <v>0</v>
      </c>
      <c r="AY63" s="871">
        <f t="shared" si="40"/>
        <v>0</v>
      </c>
      <c r="AZ63" s="237" t="str">
        <f t="shared" si="10"/>
        <v xml:space="preserve">05.001.000.007 </v>
      </c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872">
        <f t="shared" si="11"/>
        <v>0</v>
      </c>
      <c r="BM63" s="873">
        <f t="shared" si="12"/>
        <v>0</v>
      </c>
      <c r="BN63" s="874">
        <f t="shared" si="41"/>
        <v>0</v>
      </c>
      <c r="BO63" s="875">
        <f t="shared" si="13"/>
        <v>0</v>
      </c>
      <c r="BP63" s="875">
        <f t="shared" si="14"/>
        <v>0</v>
      </c>
      <c r="BQ63" s="876">
        <f t="shared" si="42"/>
        <v>0</v>
      </c>
      <c r="BR63" s="877">
        <f t="shared" si="43"/>
        <v>0</v>
      </c>
      <c r="BS63" s="875">
        <f t="shared" si="15"/>
        <v>0</v>
      </c>
      <c r="BT63" s="875">
        <f t="shared" si="16"/>
        <v>0</v>
      </c>
      <c r="BU63" s="878">
        <f t="shared" si="44"/>
        <v>0</v>
      </c>
      <c r="CE63" s="486">
        <v>52</v>
      </c>
    </row>
    <row r="64" spans="1:83" s="177" customFormat="1" ht="21.95" customHeight="1" x14ac:dyDescent="0.2">
      <c r="A64" s="237">
        <f t="shared" si="17"/>
        <v>0</v>
      </c>
      <c r="B64" s="237">
        <f t="shared" si="18"/>
        <v>6</v>
      </c>
      <c r="C64" s="393">
        <f t="shared" si="2"/>
        <v>0</v>
      </c>
      <c r="D64" s="393" t="str">
        <f t="shared" si="3"/>
        <v xml:space="preserve">05 </v>
      </c>
      <c r="E64" s="959" t="s">
        <v>2216</v>
      </c>
      <c r="F64" s="959" t="s">
        <v>2217</v>
      </c>
      <c r="G64" s="959" t="s">
        <v>94</v>
      </c>
      <c r="H64" s="965">
        <v>123.55</v>
      </c>
      <c r="I64" s="970">
        <v>68.444500000000005</v>
      </c>
      <c r="J64" s="964">
        <v>8456.32</v>
      </c>
      <c r="K64" s="367">
        <v>0</v>
      </c>
      <c r="L64" s="367">
        <f>IF($H64="",0,VLOOKUP($E64,Plan3!$A$16:$CT$384,$E$7,0)%)</f>
        <v>0.38780000000000003</v>
      </c>
      <c r="M64" s="368">
        <f t="shared" si="24"/>
        <v>47.912690000000005</v>
      </c>
      <c r="N64" s="368">
        <f t="shared" si="25"/>
        <v>3279.3608960000001</v>
      </c>
      <c r="O64" s="367">
        <v>0</v>
      </c>
      <c r="P64" s="367">
        <f>VLOOKUP($E64,Plan3!$A$492:$P$858,13,0)%</f>
        <v>0</v>
      </c>
      <c r="Q64" s="368">
        <f t="shared" si="26"/>
        <v>0</v>
      </c>
      <c r="R64" s="368">
        <f t="shared" si="27"/>
        <v>0</v>
      </c>
      <c r="S64" s="880">
        <v>8554.4133120000006</v>
      </c>
      <c r="T64" s="880">
        <f t="shared" si="28"/>
        <v>0</v>
      </c>
      <c r="U64" s="880">
        <f>IF($I64="",0,($S64-$T64)*(1+('Econômico Macro'!$R$12/100)))</f>
        <v>8702.404662297602</v>
      </c>
      <c r="V64" s="880">
        <f t="shared" si="29"/>
        <v>8702.404662297602</v>
      </c>
      <c r="W64" s="880">
        <f t="shared" si="30"/>
        <v>3374.7925280390104</v>
      </c>
      <c r="X64" s="367">
        <f t="shared" si="5"/>
        <v>0.38780000000000003</v>
      </c>
      <c r="Y64" s="367">
        <f t="shared" si="6"/>
        <v>0</v>
      </c>
      <c r="Z64" s="367">
        <f t="shared" si="7"/>
        <v>-0.38780000000000003</v>
      </c>
      <c r="AA64" s="367">
        <f t="shared" si="8"/>
        <v>-0.38780000000000003</v>
      </c>
      <c r="AB64" s="369" t="str">
        <f t="shared" si="9"/>
        <v>Atrasada</v>
      </c>
      <c r="AC64" s="365"/>
      <c r="AD64" s="368">
        <v>1</v>
      </c>
      <c r="AE64" s="368">
        <f t="shared" si="31"/>
        <v>-1</v>
      </c>
      <c r="AF64" s="365"/>
      <c r="AG64" s="863">
        <f t="shared" si="20"/>
        <v>-3279.3608960000001</v>
      </c>
      <c r="AH64" s="864">
        <f t="shared" si="32"/>
        <v>6</v>
      </c>
      <c r="AI64" s="863">
        <f t="shared" si="21"/>
        <v>0</v>
      </c>
      <c r="AJ64" s="864">
        <f t="shared" si="33"/>
        <v>0</v>
      </c>
      <c r="AK64" s="365"/>
      <c r="AL64" s="865">
        <f t="shared" si="22"/>
        <v>0</v>
      </c>
      <c r="AM64" s="866">
        <f t="shared" si="34"/>
        <v>-3279.3608960000001</v>
      </c>
      <c r="AN64" s="866">
        <f t="shared" si="35"/>
        <v>4.3819776686176752E-2</v>
      </c>
      <c r="AO64" s="866">
        <f t="shared" si="36"/>
        <v>0</v>
      </c>
      <c r="AP64" s="867">
        <f t="shared" si="37"/>
        <v>0</v>
      </c>
      <c r="AQ64" s="591">
        <f t="shared" si="23"/>
        <v>0</v>
      </c>
      <c r="AR64" s="868">
        <f>IF(AND($L64=0,$P64=0)=TRUE,VLOOKUP($E64,Plan3!$A$16:$CT$487,$E$7+3,0)/100,0)</f>
        <v>0</v>
      </c>
      <c r="AS64" s="868">
        <f>IF(AND($L64=0,$P64=0)=TRUE,VLOOKUP($E64,Plan3!$A$16:$CT$487,$E$7+6,0)/100,0)</f>
        <v>0</v>
      </c>
      <c r="AT64" s="868">
        <f>IF(AND($L64=0,$P64=0)=TRUE,VLOOKUP($E64,Plan3!$A$16:$CT$487,$E$7+9,0)/100,0)</f>
        <v>0</v>
      </c>
      <c r="AU64" s="868">
        <f>IF(AND($L64=0,$P64=0)=TRUE,VLOOKUP($E64,Plan3!$A$16:$CT$487,$E$7+12,0)/100,0)</f>
        <v>0</v>
      </c>
      <c r="AV64" s="841"/>
      <c r="AW64" s="869">
        <f t="shared" si="38"/>
        <v>0</v>
      </c>
      <c r="AX64" s="870">
        <f t="shared" si="39"/>
        <v>0</v>
      </c>
      <c r="AY64" s="871">
        <f t="shared" si="40"/>
        <v>0</v>
      </c>
      <c r="AZ64" s="237" t="str">
        <f t="shared" si="10"/>
        <v xml:space="preserve">05.001.000.008 </v>
      </c>
      <c r="BA64" s="365"/>
      <c r="BB64" s="365"/>
      <c r="BC64" s="365"/>
      <c r="BD64" s="365"/>
      <c r="BE64" s="365"/>
      <c r="BF64" s="365"/>
      <c r="BG64" s="365"/>
      <c r="BH64" s="365"/>
      <c r="BI64" s="365"/>
      <c r="BJ64" s="365"/>
      <c r="BK64" s="365"/>
      <c r="BL64" s="872">
        <f t="shared" si="11"/>
        <v>0</v>
      </c>
      <c r="BM64" s="873">
        <f t="shared" si="12"/>
        <v>0</v>
      </c>
      <c r="BN64" s="874">
        <f t="shared" si="41"/>
        <v>0</v>
      </c>
      <c r="BO64" s="875">
        <f t="shared" si="13"/>
        <v>0</v>
      </c>
      <c r="BP64" s="875">
        <f t="shared" si="14"/>
        <v>0</v>
      </c>
      <c r="BQ64" s="876">
        <f t="shared" si="42"/>
        <v>0</v>
      </c>
      <c r="BR64" s="877">
        <f t="shared" si="43"/>
        <v>0</v>
      </c>
      <c r="BS64" s="875">
        <f t="shared" si="15"/>
        <v>0</v>
      </c>
      <c r="BT64" s="875">
        <f t="shared" si="16"/>
        <v>0</v>
      </c>
      <c r="BU64" s="878">
        <f t="shared" si="44"/>
        <v>0</v>
      </c>
      <c r="CE64" s="486">
        <v>53</v>
      </c>
    </row>
    <row r="65" spans="1:83" s="177" customFormat="1" ht="21.95" customHeight="1" x14ac:dyDescent="0.2">
      <c r="A65" s="237">
        <f t="shared" si="17"/>
        <v>0</v>
      </c>
      <c r="B65" s="237">
        <f t="shared" si="18"/>
        <v>0</v>
      </c>
      <c r="C65" s="393">
        <f t="shared" si="2"/>
        <v>0</v>
      </c>
      <c r="D65" s="393" t="str">
        <f t="shared" si="3"/>
        <v xml:space="preserve">05 </v>
      </c>
      <c r="E65" s="967" t="s">
        <v>103</v>
      </c>
      <c r="F65" s="967" t="s">
        <v>773</v>
      </c>
      <c r="G65" s="967"/>
      <c r="H65" s="968"/>
      <c r="I65" s="968"/>
      <c r="J65" s="971">
        <v>404143.14</v>
      </c>
      <c r="K65" s="367">
        <v>0</v>
      </c>
      <c r="L65" s="367">
        <f>IF($H65="",0,VLOOKUP($E65,Plan3!$A$16:$CT$384,$E$7,0)%)</f>
        <v>0</v>
      </c>
      <c r="M65" s="368">
        <f t="shared" si="24"/>
        <v>0</v>
      </c>
      <c r="N65" s="368">
        <f t="shared" si="25"/>
        <v>0</v>
      </c>
      <c r="O65" s="367">
        <v>0</v>
      </c>
      <c r="P65" s="367">
        <f>VLOOKUP($E65,Plan3!$A$492:$P$858,13,0)%</f>
        <v>0</v>
      </c>
      <c r="Q65" s="368">
        <f t="shared" si="26"/>
        <v>0</v>
      </c>
      <c r="R65" s="368">
        <f t="shared" si="27"/>
        <v>0</v>
      </c>
      <c r="S65" s="880">
        <v>0</v>
      </c>
      <c r="T65" s="880">
        <f t="shared" si="28"/>
        <v>0</v>
      </c>
      <c r="U65" s="880">
        <f>IF($I65="",0,($S65-$T65)*(1+('Econômico Macro'!$R$12/100)))</f>
        <v>0</v>
      </c>
      <c r="V65" s="880">
        <f t="shared" si="29"/>
        <v>0</v>
      </c>
      <c r="W65" s="880">
        <f t="shared" si="30"/>
        <v>0</v>
      </c>
      <c r="X65" s="367">
        <f t="shared" si="5"/>
        <v>0</v>
      </c>
      <c r="Y65" s="367">
        <f t="shared" si="6"/>
        <v>0</v>
      </c>
      <c r="Z65" s="367">
        <f t="shared" si="7"/>
        <v>0</v>
      </c>
      <c r="AA65" s="367">
        <f t="shared" si="8"/>
        <v>0</v>
      </c>
      <c r="AB65" s="369" t="str">
        <f t="shared" si="9"/>
        <v>Não Iniciada</v>
      </c>
      <c r="AC65" s="365"/>
      <c r="AD65" s="368">
        <v>1</v>
      </c>
      <c r="AE65" s="368">
        <f t="shared" si="31"/>
        <v>-1</v>
      </c>
      <c r="AF65" s="365"/>
      <c r="AG65" s="863">
        <f t="shared" si="20"/>
        <v>0</v>
      </c>
      <c r="AH65" s="864">
        <f t="shared" si="32"/>
        <v>0</v>
      </c>
      <c r="AI65" s="863">
        <f t="shared" si="21"/>
        <v>0</v>
      </c>
      <c r="AJ65" s="864">
        <f t="shared" si="33"/>
        <v>0</v>
      </c>
      <c r="AK65" s="365"/>
      <c r="AL65" s="865">
        <f t="shared" si="22"/>
        <v>0</v>
      </c>
      <c r="AM65" s="866">
        <f t="shared" si="34"/>
        <v>0</v>
      </c>
      <c r="AN65" s="866">
        <f t="shared" si="35"/>
        <v>0</v>
      </c>
      <c r="AO65" s="866">
        <f t="shared" si="36"/>
        <v>0</v>
      </c>
      <c r="AP65" s="867">
        <f t="shared" si="37"/>
        <v>0</v>
      </c>
      <c r="AQ65" s="591"/>
      <c r="AR65" s="868"/>
      <c r="AS65" s="868"/>
      <c r="AT65" s="868"/>
      <c r="AU65" s="868"/>
      <c r="AV65" s="841"/>
      <c r="AW65" s="869"/>
      <c r="AX65" s="870"/>
      <c r="AY65" s="871"/>
      <c r="AZ65" s="237" t="str">
        <f t="shared" si="10"/>
        <v xml:space="preserve">05.002 </v>
      </c>
      <c r="BA65" s="365"/>
      <c r="BB65" s="365"/>
      <c r="BC65" s="365"/>
      <c r="BD65" s="365"/>
      <c r="BE65" s="365"/>
      <c r="BF65" s="365"/>
      <c r="BG65" s="365"/>
      <c r="BH65" s="365"/>
      <c r="BI65" s="365"/>
      <c r="BJ65" s="365"/>
      <c r="BK65" s="365"/>
      <c r="BL65" s="872">
        <f t="shared" si="11"/>
        <v>0</v>
      </c>
      <c r="BM65" s="873">
        <f t="shared" si="12"/>
        <v>0</v>
      </c>
      <c r="BN65" s="874">
        <f t="shared" si="41"/>
        <v>0</v>
      </c>
      <c r="BO65" s="875">
        <f t="shared" si="13"/>
        <v>0</v>
      </c>
      <c r="BP65" s="875">
        <f t="shared" si="14"/>
        <v>0</v>
      </c>
      <c r="BQ65" s="876">
        <f t="shared" si="42"/>
        <v>0</v>
      </c>
      <c r="BR65" s="877">
        <f t="shared" si="43"/>
        <v>0</v>
      </c>
      <c r="BS65" s="875">
        <f t="shared" si="15"/>
        <v>0</v>
      </c>
      <c r="BT65" s="875">
        <f t="shared" si="16"/>
        <v>0</v>
      </c>
      <c r="BU65" s="878">
        <f t="shared" si="44"/>
        <v>0</v>
      </c>
      <c r="CE65" s="486">
        <v>54</v>
      </c>
    </row>
    <row r="66" spans="1:83" s="177" customFormat="1" ht="21.95" customHeight="1" x14ac:dyDescent="0.2">
      <c r="A66" s="237">
        <f t="shared" si="17"/>
        <v>0</v>
      </c>
      <c r="B66" s="237">
        <f t="shared" si="18"/>
        <v>10</v>
      </c>
      <c r="C66" s="393">
        <f t="shared" si="2"/>
        <v>0</v>
      </c>
      <c r="D66" s="393" t="str">
        <f t="shared" si="3"/>
        <v xml:space="preserve">05 </v>
      </c>
      <c r="E66" s="959" t="s">
        <v>104</v>
      </c>
      <c r="F66" s="959" t="s">
        <v>774</v>
      </c>
      <c r="G66" s="959" t="s">
        <v>94</v>
      </c>
      <c r="H66" s="965">
        <v>251.9</v>
      </c>
      <c r="I66" s="965">
        <v>170</v>
      </c>
      <c r="J66" s="962">
        <v>42823</v>
      </c>
      <c r="K66" s="367">
        <v>0.45450000000000002</v>
      </c>
      <c r="L66" s="367">
        <f>IF($H66="",0,VLOOKUP($E66,Plan3!$A$16:$CT$384,$E$7,0)%)</f>
        <v>0.81810000000000005</v>
      </c>
      <c r="M66" s="368">
        <f t="shared" si="24"/>
        <v>206.07939000000002</v>
      </c>
      <c r="N66" s="368">
        <f t="shared" si="25"/>
        <v>35033.496299999999</v>
      </c>
      <c r="O66" s="367">
        <v>0.28920000000000001</v>
      </c>
      <c r="P66" s="999">
        <v>0.78</v>
      </c>
      <c r="Q66" s="368">
        <f t="shared" si="26"/>
        <v>196.482</v>
      </c>
      <c r="R66" s="368">
        <f t="shared" si="27"/>
        <v>33401.94</v>
      </c>
      <c r="S66" s="880">
        <v>43176.087625440006</v>
      </c>
      <c r="T66" s="880">
        <f t="shared" si="28"/>
        <v>33677.348347843203</v>
      </c>
      <c r="U66" s="880">
        <f>IF($I66="",0,($S66-$T66)*(1+('Econômico Macro'!$R$12/100)))</f>
        <v>9663.0674670992285</v>
      </c>
      <c r="V66" s="880">
        <f t="shared" si="29"/>
        <v>43340.415814942433</v>
      </c>
      <c r="W66" s="880">
        <f t="shared" si="30"/>
        <v>35456.794178204407</v>
      </c>
      <c r="X66" s="367">
        <f t="shared" si="5"/>
        <v>0.36360000000000003</v>
      </c>
      <c r="Y66" s="367">
        <f t="shared" si="6"/>
        <v>0.49080000000000001</v>
      </c>
      <c r="Z66" s="367">
        <f t="shared" si="7"/>
        <v>-3.8100000000000023E-2</v>
      </c>
      <c r="AA66" s="367">
        <f t="shared" si="8"/>
        <v>0.12719999999999998</v>
      </c>
      <c r="AB66" s="369" t="str">
        <f t="shared" si="9"/>
        <v>Atrasada</v>
      </c>
      <c r="AC66" s="365"/>
      <c r="AD66" s="368">
        <v>1</v>
      </c>
      <c r="AE66" s="368">
        <f t="shared" si="31"/>
        <v>195.482</v>
      </c>
      <c r="AF66" s="365"/>
      <c r="AG66" s="863">
        <f t="shared" si="20"/>
        <v>-1631.5562999999966</v>
      </c>
      <c r="AH66" s="864">
        <f t="shared" si="32"/>
        <v>10</v>
      </c>
      <c r="AI66" s="863">
        <f t="shared" si="21"/>
        <v>0</v>
      </c>
      <c r="AJ66" s="864">
        <f t="shared" si="33"/>
        <v>0</v>
      </c>
      <c r="AK66" s="365"/>
      <c r="AL66" s="865">
        <f t="shared" si="22"/>
        <v>33401.94</v>
      </c>
      <c r="AM66" s="866">
        <f t="shared" si="34"/>
        <v>-1631.5562999999966</v>
      </c>
      <c r="AN66" s="866">
        <f t="shared" si="35"/>
        <v>2.1801331108183296E-2</v>
      </c>
      <c r="AO66" s="866">
        <f t="shared" si="36"/>
        <v>0</v>
      </c>
      <c r="AP66" s="867">
        <f t="shared" si="37"/>
        <v>0</v>
      </c>
      <c r="AQ66" s="591">
        <f t="shared" si="23"/>
        <v>0</v>
      </c>
      <c r="AR66" s="868">
        <f>IF(AND($L66=0,$P66=0)=TRUE,VLOOKUP($E66,Plan3!$A$16:$CT$487,$E$7+3,0)/100,0)</f>
        <v>0</v>
      </c>
      <c r="AS66" s="868">
        <f>IF(AND($L66=0,$P66=0)=TRUE,VLOOKUP($E66,Plan3!$A$16:$CT$487,$E$7+6,0)/100,0)</f>
        <v>0</v>
      </c>
      <c r="AT66" s="868">
        <f>IF(AND($L66=0,$P66=0)=TRUE,VLOOKUP($E66,Plan3!$A$16:$CT$487,$E$7+9,0)/100,0)</f>
        <v>0</v>
      </c>
      <c r="AU66" s="868">
        <f>IF(AND($L66=0,$P66=0)=TRUE,VLOOKUP($E66,Plan3!$A$16:$CT$487,$E$7+12,0)/100,0)</f>
        <v>0</v>
      </c>
      <c r="AV66" s="841"/>
      <c r="AW66" s="869">
        <f t="shared" si="38"/>
        <v>0</v>
      </c>
      <c r="AX66" s="870">
        <f t="shared" si="39"/>
        <v>0</v>
      </c>
      <c r="AY66" s="871">
        <f t="shared" si="40"/>
        <v>0</v>
      </c>
      <c r="AZ66" s="237" t="str">
        <f t="shared" si="10"/>
        <v xml:space="preserve">05.002.000.001 </v>
      </c>
      <c r="BA66" s="365"/>
      <c r="BB66" s="365"/>
      <c r="BC66" s="365"/>
      <c r="BD66" s="365"/>
      <c r="BE66" s="365"/>
      <c r="BF66" s="365"/>
      <c r="BG66" s="365"/>
      <c r="BH66" s="365"/>
      <c r="BI66" s="365"/>
      <c r="BJ66" s="365"/>
      <c r="BK66" s="365"/>
      <c r="BL66" s="872">
        <f t="shared" si="11"/>
        <v>0</v>
      </c>
      <c r="BM66" s="873">
        <f t="shared" si="12"/>
        <v>0</v>
      </c>
      <c r="BN66" s="874">
        <f t="shared" si="41"/>
        <v>0</v>
      </c>
      <c r="BO66" s="875">
        <f t="shared" si="13"/>
        <v>0</v>
      </c>
      <c r="BP66" s="875">
        <f t="shared" si="14"/>
        <v>0</v>
      </c>
      <c r="BQ66" s="876">
        <f t="shared" si="42"/>
        <v>0</v>
      </c>
      <c r="BR66" s="877">
        <f t="shared" si="43"/>
        <v>0</v>
      </c>
      <c r="BS66" s="875">
        <f t="shared" si="15"/>
        <v>0</v>
      </c>
      <c r="BT66" s="875">
        <f t="shared" si="16"/>
        <v>0</v>
      </c>
      <c r="BU66" s="878">
        <f t="shared" si="44"/>
        <v>0</v>
      </c>
      <c r="CE66" s="486">
        <v>55</v>
      </c>
    </row>
    <row r="67" spans="1:83" s="177" customFormat="1" ht="21.95" customHeight="1" x14ac:dyDescent="0.2">
      <c r="A67" s="237">
        <f t="shared" si="17"/>
        <v>0</v>
      </c>
      <c r="B67" s="237">
        <f t="shared" si="18"/>
        <v>7</v>
      </c>
      <c r="C67" s="393">
        <f t="shared" si="2"/>
        <v>0</v>
      </c>
      <c r="D67" s="393" t="str">
        <f t="shared" si="3"/>
        <v xml:space="preserve">05 </v>
      </c>
      <c r="E67" s="959" t="s">
        <v>608</v>
      </c>
      <c r="F67" s="959" t="s">
        <v>775</v>
      </c>
      <c r="G67" s="959" t="s">
        <v>94</v>
      </c>
      <c r="H67" s="965">
        <v>334.38</v>
      </c>
      <c r="I67" s="965">
        <v>200</v>
      </c>
      <c r="J67" s="962">
        <v>66876</v>
      </c>
      <c r="K67" s="367">
        <v>0.45450000000000002</v>
      </c>
      <c r="L67" s="367">
        <f>IF($H67="",0,VLOOKUP($E67,Plan3!$A$16:$CT$384,$E$7,0)%)</f>
        <v>0.81810000000000005</v>
      </c>
      <c r="M67" s="368">
        <f t="shared" si="24"/>
        <v>273.55627800000002</v>
      </c>
      <c r="N67" s="368">
        <f t="shared" si="25"/>
        <v>54711.255600000004</v>
      </c>
      <c r="O67" s="367">
        <v>0.28920000000000001</v>
      </c>
      <c r="P67" s="999">
        <v>0.78</v>
      </c>
      <c r="Q67" s="368">
        <f t="shared" si="26"/>
        <v>260.81639999999999</v>
      </c>
      <c r="R67" s="368">
        <f t="shared" si="27"/>
        <v>52163.28</v>
      </c>
      <c r="S67" s="880">
        <v>67427.411345280008</v>
      </c>
      <c r="T67" s="880">
        <f t="shared" si="28"/>
        <v>52593.380849318411</v>
      </c>
      <c r="U67" s="880">
        <f>IF($I67="",0,($S67-$T67)*(1+('Econômico Macro'!$R$12/100)))</f>
        <v>15090.659223541734</v>
      </c>
      <c r="V67" s="880">
        <f t="shared" si="29"/>
        <v>67684.040072860138</v>
      </c>
      <c r="W67" s="880">
        <f t="shared" si="30"/>
        <v>55372.313183606879</v>
      </c>
      <c r="X67" s="367">
        <f t="shared" si="5"/>
        <v>0.36360000000000003</v>
      </c>
      <c r="Y67" s="367">
        <f t="shared" si="6"/>
        <v>0.49080000000000001</v>
      </c>
      <c r="Z67" s="367">
        <f t="shared" si="7"/>
        <v>-3.8100000000000023E-2</v>
      </c>
      <c r="AA67" s="367">
        <f t="shared" si="8"/>
        <v>0.12719999999999998</v>
      </c>
      <c r="AB67" s="369" t="str">
        <f t="shared" si="9"/>
        <v>Atrasada</v>
      </c>
      <c r="AC67" s="365"/>
      <c r="AD67" s="368">
        <v>1</v>
      </c>
      <c r="AE67" s="368">
        <f t="shared" si="31"/>
        <v>259.81639999999999</v>
      </c>
      <c r="AF67" s="365"/>
      <c r="AG67" s="863">
        <f t="shared" si="20"/>
        <v>-2547.9756000000052</v>
      </c>
      <c r="AH67" s="864">
        <f t="shared" si="32"/>
        <v>7</v>
      </c>
      <c r="AI67" s="863">
        <f t="shared" si="21"/>
        <v>0</v>
      </c>
      <c r="AJ67" s="864">
        <f t="shared" si="33"/>
        <v>0</v>
      </c>
      <c r="AK67" s="365"/>
      <c r="AL67" s="865">
        <f t="shared" si="22"/>
        <v>52163.28</v>
      </c>
      <c r="AM67" s="866">
        <f t="shared" si="34"/>
        <v>-2547.9756000000052</v>
      </c>
      <c r="AN67" s="866">
        <f t="shared" si="35"/>
        <v>3.4046793059591157E-2</v>
      </c>
      <c r="AO67" s="866">
        <f t="shared" si="36"/>
        <v>0</v>
      </c>
      <c r="AP67" s="867">
        <f t="shared" si="37"/>
        <v>0</v>
      </c>
      <c r="AQ67" s="591">
        <f t="shared" si="23"/>
        <v>0</v>
      </c>
      <c r="AR67" s="868">
        <f>IF(AND($L67=0,$P67=0)=TRUE,VLOOKUP($E67,Plan3!$A$16:$CT$487,$E$7+3,0)/100,0)</f>
        <v>0</v>
      </c>
      <c r="AS67" s="868">
        <f>IF(AND($L67=0,$P67=0)=TRUE,VLOOKUP($E67,Plan3!$A$16:$CT$487,$E$7+6,0)/100,0)</f>
        <v>0</v>
      </c>
      <c r="AT67" s="868">
        <f>IF(AND($L67=0,$P67=0)=TRUE,VLOOKUP($E67,Plan3!$A$16:$CT$487,$E$7+9,0)/100,0)</f>
        <v>0</v>
      </c>
      <c r="AU67" s="868">
        <f>IF(AND($L67=0,$P67=0)=TRUE,VLOOKUP($E67,Plan3!$A$16:$CT$487,$E$7+12,0)/100,0)</f>
        <v>0</v>
      </c>
      <c r="AV67" s="841"/>
      <c r="AW67" s="869">
        <f t="shared" si="38"/>
        <v>0</v>
      </c>
      <c r="AX67" s="870">
        <f t="shared" si="39"/>
        <v>0</v>
      </c>
      <c r="AY67" s="871">
        <f t="shared" si="40"/>
        <v>0</v>
      </c>
      <c r="AZ67" s="237" t="str">
        <f t="shared" si="10"/>
        <v xml:space="preserve">05.002.000.002 </v>
      </c>
      <c r="BA67" s="365"/>
      <c r="BB67" s="365"/>
      <c r="BC67" s="365"/>
      <c r="BD67" s="365"/>
      <c r="BE67" s="365"/>
      <c r="BF67" s="365"/>
      <c r="BG67" s="365"/>
      <c r="BH67" s="365"/>
      <c r="BI67" s="365"/>
      <c r="BJ67" s="365"/>
      <c r="BK67" s="365"/>
      <c r="BL67" s="872">
        <f t="shared" si="11"/>
        <v>0</v>
      </c>
      <c r="BM67" s="873">
        <f t="shared" si="12"/>
        <v>0</v>
      </c>
      <c r="BN67" s="874">
        <f t="shared" si="41"/>
        <v>0</v>
      </c>
      <c r="BO67" s="875">
        <f t="shared" si="13"/>
        <v>0</v>
      </c>
      <c r="BP67" s="875">
        <f t="shared" si="14"/>
        <v>0</v>
      </c>
      <c r="BQ67" s="876">
        <f t="shared" si="42"/>
        <v>0</v>
      </c>
      <c r="BR67" s="877">
        <f t="shared" si="43"/>
        <v>0</v>
      </c>
      <c r="BS67" s="875">
        <f t="shared" si="15"/>
        <v>0</v>
      </c>
      <c r="BT67" s="875">
        <f t="shared" si="16"/>
        <v>0</v>
      </c>
      <c r="BU67" s="878">
        <f t="shared" si="44"/>
        <v>0</v>
      </c>
      <c r="CE67" s="486">
        <v>56</v>
      </c>
    </row>
    <row r="68" spans="1:83" s="177" customFormat="1" ht="21.95" customHeight="1" x14ac:dyDescent="0.2">
      <c r="A68" s="237">
        <f t="shared" si="17"/>
        <v>0</v>
      </c>
      <c r="B68" s="237">
        <f t="shared" si="18"/>
        <v>1</v>
      </c>
      <c r="C68" s="393">
        <f t="shared" si="2"/>
        <v>0</v>
      </c>
      <c r="D68" s="393" t="str">
        <f t="shared" si="3"/>
        <v xml:space="preserve">05 </v>
      </c>
      <c r="E68" s="959" t="s">
        <v>609</v>
      </c>
      <c r="F68" s="959" t="s">
        <v>2218</v>
      </c>
      <c r="G68" s="959" t="s">
        <v>94</v>
      </c>
      <c r="H68" s="965">
        <v>586.28</v>
      </c>
      <c r="I68" s="965">
        <v>296.39240000000001</v>
      </c>
      <c r="J68" s="972">
        <v>173768.94</v>
      </c>
      <c r="K68" s="367">
        <v>0.45450000000000002</v>
      </c>
      <c r="L68" s="367">
        <f>IF($H68="",0,VLOOKUP($E68,Plan3!$A$16:$CT$384,$E$7,0)%)</f>
        <v>0.81810000000000005</v>
      </c>
      <c r="M68" s="368">
        <f t="shared" si="24"/>
        <v>479.63566800000001</v>
      </c>
      <c r="N68" s="368">
        <f t="shared" si="25"/>
        <v>142160.36981400001</v>
      </c>
      <c r="O68" s="367">
        <v>0.17629999999999998</v>
      </c>
      <c r="P68" s="999">
        <v>0.71</v>
      </c>
      <c r="Q68" s="368">
        <f t="shared" si="26"/>
        <v>416.25879999999995</v>
      </c>
      <c r="R68" s="368">
        <f t="shared" si="27"/>
        <v>123375.94739999999</v>
      </c>
      <c r="S68" s="880">
        <v>175429.2883201848</v>
      </c>
      <c r="T68" s="880">
        <f t="shared" si="28"/>
        <v>124554.79470733121</v>
      </c>
      <c r="U68" s="880">
        <f>IF($I68="",0,($S68-$T68)*(1+('Econômico Macro'!$R$12/100)))</f>
        <v>51754.62235235596</v>
      </c>
      <c r="V68" s="880">
        <f t="shared" si="29"/>
        <v>176309.41705968717</v>
      </c>
      <c r="W68" s="880">
        <f t="shared" si="30"/>
        <v>144238.73409653007</v>
      </c>
      <c r="X68" s="367">
        <f t="shared" si="5"/>
        <v>0.36360000000000003</v>
      </c>
      <c r="Y68" s="367">
        <f t="shared" si="6"/>
        <v>0.53369999999999995</v>
      </c>
      <c r="Z68" s="367">
        <f t="shared" si="7"/>
        <v>-0.10810000000000008</v>
      </c>
      <c r="AA68" s="367">
        <f t="shared" si="8"/>
        <v>0.17009999999999992</v>
      </c>
      <c r="AB68" s="369" t="str">
        <f t="shared" si="9"/>
        <v>Atrasada</v>
      </c>
      <c r="AC68" s="365"/>
      <c r="AD68" s="368">
        <v>1</v>
      </c>
      <c r="AE68" s="368">
        <f t="shared" si="31"/>
        <v>415.25879999999995</v>
      </c>
      <c r="AF68" s="365"/>
      <c r="AG68" s="863">
        <f t="shared" si="20"/>
        <v>-18784.422414000015</v>
      </c>
      <c r="AH68" s="864">
        <f t="shared" si="32"/>
        <v>1</v>
      </c>
      <c r="AI68" s="863">
        <f t="shared" si="21"/>
        <v>0</v>
      </c>
      <c r="AJ68" s="864">
        <f t="shared" si="33"/>
        <v>0</v>
      </c>
      <c r="AK68" s="365"/>
      <c r="AL68" s="865">
        <f t="shared" si="22"/>
        <v>123375.94739999999</v>
      </c>
      <c r="AM68" s="866">
        <f t="shared" si="34"/>
        <v>-18784.422414000015</v>
      </c>
      <c r="AN68" s="866">
        <f t="shared" si="35"/>
        <v>0.25100293059062379</v>
      </c>
      <c r="AO68" s="866">
        <f t="shared" si="36"/>
        <v>0</v>
      </c>
      <c r="AP68" s="867">
        <f t="shared" si="37"/>
        <v>0</v>
      </c>
      <c r="AQ68" s="591">
        <f t="shared" si="23"/>
        <v>0</v>
      </c>
      <c r="AR68" s="868">
        <f>IF(AND($L68=0,$P68=0)=TRUE,VLOOKUP($E68,Plan3!$A$16:$CT$487,$E$7+3,0)/100,0)</f>
        <v>0</v>
      </c>
      <c r="AS68" s="868">
        <f>IF(AND($L68=0,$P68=0)=TRUE,VLOOKUP($E68,Plan3!$A$16:$CT$487,$E$7+6,0)/100,0)</f>
        <v>0</v>
      </c>
      <c r="AT68" s="868">
        <f>IF(AND($L68=0,$P68=0)=TRUE,VLOOKUP($E68,Plan3!$A$16:$CT$487,$E$7+9,0)/100,0)</f>
        <v>0</v>
      </c>
      <c r="AU68" s="868">
        <f>IF(AND($L68=0,$P68=0)=TRUE,VLOOKUP($E68,Plan3!$A$16:$CT$487,$E$7+12,0)/100,0)</f>
        <v>0</v>
      </c>
      <c r="AV68" s="841"/>
      <c r="AW68" s="869">
        <f t="shared" si="38"/>
        <v>0</v>
      </c>
      <c r="AX68" s="870">
        <f t="shared" si="39"/>
        <v>0</v>
      </c>
      <c r="AY68" s="871">
        <f t="shared" si="40"/>
        <v>0</v>
      </c>
      <c r="AZ68" s="237" t="str">
        <f t="shared" si="10"/>
        <v xml:space="preserve">05.002.000.003 </v>
      </c>
      <c r="BA68" s="365"/>
      <c r="BB68" s="365"/>
      <c r="BC68" s="365"/>
      <c r="BD68" s="365"/>
      <c r="BE68" s="365"/>
      <c r="BF68" s="365"/>
      <c r="BG68" s="365"/>
      <c r="BH68" s="365"/>
      <c r="BI68" s="365"/>
      <c r="BJ68" s="365"/>
      <c r="BK68" s="365"/>
      <c r="BL68" s="872">
        <f t="shared" si="11"/>
        <v>0</v>
      </c>
      <c r="BM68" s="873">
        <f t="shared" si="12"/>
        <v>0</v>
      </c>
      <c r="BN68" s="874">
        <f t="shared" si="41"/>
        <v>0</v>
      </c>
      <c r="BO68" s="875">
        <f t="shared" si="13"/>
        <v>0</v>
      </c>
      <c r="BP68" s="875">
        <f t="shared" si="14"/>
        <v>0</v>
      </c>
      <c r="BQ68" s="876">
        <f t="shared" si="42"/>
        <v>0</v>
      </c>
      <c r="BR68" s="877">
        <f t="shared" si="43"/>
        <v>0</v>
      </c>
      <c r="BS68" s="875">
        <f t="shared" si="15"/>
        <v>0</v>
      </c>
      <c r="BT68" s="875">
        <f t="shared" si="16"/>
        <v>0</v>
      </c>
      <c r="BU68" s="878">
        <f t="shared" si="44"/>
        <v>0</v>
      </c>
      <c r="CE68" s="486">
        <v>57</v>
      </c>
    </row>
    <row r="69" spans="1:83" s="177" customFormat="1" ht="21.95" customHeight="1" x14ac:dyDescent="0.2">
      <c r="A69" s="237">
        <f t="shared" si="17"/>
        <v>0</v>
      </c>
      <c r="B69" s="237">
        <f t="shared" si="18"/>
        <v>8</v>
      </c>
      <c r="C69" s="393">
        <f t="shared" si="2"/>
        <v>0</v>
      </c>
      <c r="D69" s="393" t="str">
        <f t="shared" si="3"/>
        <v xml:space="preserve">05 </v>
      </c>
      <c r="E69" s="959" t="s">
        <v>610</v>
      </c>
      <c r="F69" s="959" t="s">
        <v>2219</v>
      </c>
      <c r="G69" s="959" t="s">
        <v>101</v>
      </c>
      <c r="H69" s="961">
        <v>10565.05</v>
      </c>
      <c r="I69" s="960">
        <v>5.8371000000000004</v>
      </c>
      <c r="J69" s="962">
        <v>61669.26</v>
      </c>
      <c r="K69" s="367">
        <v>0.45450000000000002</v>
      </c>
      <c r="L69" s="367">
        <f>IF($H69="",0,VLOOKUP($E69,Plan3!$A$16:$CT$384,$E$7,0)%)</f>
        <v>0.81810000000000005</v>
      </c>
      <c r="M69" s="368">
        <f t="shared" si="24"/>
        <v>8643.2674050000005</v>
      </c>
      <c r="N69" s="368">
        <f t="shared" si="25"/>
        <v>50451.621606000008</v>
      </c>
      <c r="O69" s="367">
        <v>0.30530000000000002</v>
      </c>
      <c r="P69" s="999">
        <v>0.78</v>
      </c>
      <c r="Q69" s="368">
        <f t="shared" si="26"/>
        <v>8240.7389999999996</v>
      </c>
      <c r="R69" s="368">
        <f t="shared" si="27"/>
        <v>48102.022800000006</v>
      </c>
      <c r="S69" s="880">
        <v>62166.222965095207</v>
      </c>
      <c r="T69" s="880">
        <f t="shared" si="28"/>
        <v>48489.653912774265</v>
      </c>
      <c r="U69" s="880">
        <f>IF($I69="",0,($S69-$T69)*(1+('Econômico Macro'!$R$12/100)))</f>
        <v>13913.173696926095</v>
      </c>
      <c r="V69" s="880">
        <f t="shared" si="29"/>
        <v>62402.827609700362</v>
      </c>
      <c r="W69" s="880">
        <f t="shared" si="30"/>
        <v>51051.753267495871</v>
      </c>
      <c r="X69" s="367">
        <f t="shared" si="5"/>
        <v>0.36360000000000003</v>
      </c>
      <c r="Y69" s="367">
        <f t="shared" si="6"/>
        <v>0.47470000000000001</v>
      </c>
      <c r="Z69" s="367">
        <f t="shared" si="7"/>
        <v>-3.8100000000000023E-2</v>
      </c>
      <c r="AA69" s="367">
        <f t="shared" si="8"/>
        <v>0.11109999999999998</v>
      </c>
      <c r="AB69" s="369" t="str">
        <f t="shared" si="9"/>
        <v>Atrasada</v>
      </c>
      <c r="AC69" s="365"/>
      <c r="AD69" s="368">
        <v>1</v>
      </c>
      <c r="AE69" s="368">
        <f t="shared" si="31"/>
        <v>8239.7389999999996</v>
      </c>
      <c r="AF69" s="365"/>
      <c r="AG69" s="863">
        <f t="shared" si="20"/>
        <v>-2349.5988060000018</v>
      </c>
      <c r="AH69" s="864">
        <f t="shared" si="32"/>
        <v>8</v>
      </c>
      <c r="AI69" s="863">
        <f t="shared" si="21"/>
        <v>0</v>
      </c>
      <c r="AJ69" s="864">
        <f t="shared" si="33"/>
        <v>0</v>
      </c>
      <c r="AK69" s="365"/>
      <c r="AL69" s="865">
        <f t="shared" si="22"/>
        <v>48102.022800000006</v>
      </c>
      <c r="AM69" s="866">
        <f t="shared" si="34"/>
        <v>-2349.5988060000018</v>
      </c>
      <c r="AN69" s="866">
        <f t="shared" si="35"/>
        <v>3.1396024483493629E-2</v>
      </c>
      <c r="AO69" s="866">
        <f t="shared" si="36"/>
        <v>0</v>
      </c>
      <c r="AP69" s="867">
        <f t="shared" si="37"/>
        <v>0</v>
      </c>
      <c r="AQ69" s="591">
        <f t="shared" si="23"/>
        <v>0</v>
      </c>
      <c r="AR69" s="868">
        <f>IF(AND($L69=0,$P69=0)=TRUE,VLOOKUP($E69,Plan3!$A$16:$CT$487,$E$7+3,0)/100,0)</f>
        <v>0</v>
      </c>
      <c r="AS69" s="868">
        <f>IF(AND($L69=0,$P69=0)=TRUE,VLOOKUP($E69,Plan3!$A$16:$CT$487,$E$7+6,0)/100,0)</f>
        <v>0</v>
      </c>
      <c r="AT69" s="868">
        <f>IF(AND($L69=0,$P69=0)=TRUE,VLOOKUP($E69,Plan3!$A$16:$CT$487,$E$7+9,0)/100,0)</f>
        <v>0</v>
      </c>
      <c r="AU69" s="868">
        <f>IF(AND($L69=0,$P69=0)=TRUE,VLOOKUP($E69,Plan3!$A$16:$CT$487,$E$7+12,0)/100,0)</f>
        <v>0</v>
      </c>
      <c r="AV69" s="841"/>
      <c r="AW69" s="869">
        <f t="shared" si="38"/>
        <v>0</v>
      </c>
      <c r="AX69" s="870">
        <f t="shared" si="39"/>
        <v>0</v>
      </c>
      <c r="AY69" s="871">
        <f t="shared" si="40"/>
        <v>0</v>
      </c>
      <c r="AZ69" s="237" t="str">
        <f t="shared" si="10"/>
        <v xml:space="preserve">05.002.000.004 </v>
      </c>
      <c r="BA69" s="365"/>
      <c r="BB69" s="365"/>
      <c r="BC69" s="365"/>
      <c r="BD69" s="365"/>
      <c r="BE69" s="365"/>
      <c r="BF69" s="365"/>
      <c r="BG69" s="365"/>
      <c r="BH69" s="365"/>
      <c r="BI69" s="365"/>
      <c r="BJ69" s="365"/>
      <c r="BK69" s="365"/>
      <c r="BL69" s="872">
        <f t="shared" si="11"/>
        <v>0</v>
      </c>
      <c r="BM69" s="873">
        <f t="shared" si="12"/>
        <v>0</v>
      </c>
      <c r="BN69" s="874">
        <f t="shared" si="41"/>
        <v>0</v>
      </c>
      <c r="BO69" s="875">
        <f t="shared" si="13"/>
        <v>0</v>
      </c>
      <c r="BP69" s="875">
        <f t="shared" si="14"/>
        <v>0</v>
      </c>
      <c r="BQ69" s="876">
        <f t="shared" si="42"/>
        <v>0</v>
      </c>
      <c r="BR69" s="877">
        <f t="shared" si="43"/>
        <v>0</v>
      </c>
      <c r="BS69" s="875">
        <f t="shared" si="15"/>
        <v>0</v>
      </c>
      <c r="BT69" s="875">
        <f t="shared" si="16"/>
        <v>0</v>
      </c>
      <c r="BU69" s="878">
        <f t="shared" si="44"/>
        <v>0</v>
      </c>
      <c r="CE69" s="486">
        <v>58</v>
      </c>
    </row>
    <row r="70" spans="1:83" s="177" customFormat="1" ht="21.95" customHeight="1" x14ac:dyDescent="0.2">
      <c r="A70" s="237">
        <f t="shared" si="17"/>
        <v>0</v>
      </c>
      <c r="B70" s="237">
        <f t="shared" si="18"/>
        <v>14</v>
      </c>
      <c r="C70" s="393">
        <f t="shared" si="2"/>
        <v>0</v>
      </c>
      <c r="D70" s="393" t="str">
        <f t="shared" si="3"/>
        <v xml:space="preserve">05 </v>
      </c>
      <c r="E70" s="959" t="s">
        <v>611</v>
      </c>
      <c r="F70" s="959" t="s">
        <v>2042</v>
      </c>
      <c r="G70" s="959" t="s">
        <v>8</v>
      </c>
      <c r="H70" s="970">
        <v>71</v>
      </c>
      <c r="I70" s="970">
        <v>39.822299999999998</v>
      </c>
      <c r="J70" s="964">
        <v>2827.38</v>
      </c>
      <c r="K70" s="367">
        <v>0.45450000000000002</v>
      </c>
      <c r="L70" s="367">
        <f>IF($H70="",0,VLOOKUP($E70,Plan3!$A$16:$CT$384,$E$7,0)%)</f>
        <v>0.81810000000000005</v>
      </c>
      <c r="M70" s="368">
        <f t="shared" si="24"/>
        <v>58.085100000000004</v>
      </c>
      <c r="N70" s="368">
        <f t="shared" si="25"/>
        <v>2313.0795780000003</v>
      </c>
      <c r="O70" s="367">
        <v>0.17629999999999998</v>
      </c>
      <c r="P70" s="999">
        <v>0.71</v>
      </c>
      <c r="Q70" s="368">
        <f t="shared" si="26"/>
        <v>50.41</v>
      </c>
      <c r="R70" s="368">
        <f t="shared" si="27"/>
        <v>2007.4397999999999</v>
      </c>
      <c r="S70" s="880">
        <v>2854.3953897096003</v>
      </c>
      <c r="T70" s="880">
        <f t="shared" si="28"/>
        <v>2026.6207266938161</v>
      </c>
      <c r="U70" s="880">
        <f>IF($I70="",0,($S70-$T70)*(1+('Econômico Macro'!$R$12/100)))</f>
        <v>842.09516468595734</v>
      </c>
      <c r="V70" s="880">
        <f t="shared" si="29"/>
        <v>2868.7158913797734</v>
      </c>
      <c r="W70" s="880">
        <f t="shared" si="30"/>
        <v>2346.8964707377927</v>
      </c>
      <c r="X70" s="367">
        <f t="shared" si="5"/>
        <v>0.36360000000000003</v>
      </c>
      <c r="Y70" s="367">
        <f t="shared" si="6"/>
        <v>0.53369999999999995</v>
      </c>
      <c r="Z70" s="367">
        <f t="shared" si="7"/>
        <v>-0.10810000000000008</v>
      </c>
      <c r="AA70" s="367">
        <f t="shared" si="8"/>
        <v>0.17009999999999992</v>
      </c>
      <c r="AB70" s="369" t="str">
        <f t="shared" si="9"/>
        <v>Atrasada</v>
      </c>
      <c r="AC70" s="365"/>
      <c r="AD70" s="368">
        <v>1</v>
      </c>
      <c r="AE70" s="368">
        <f t="shared" si="31"/>
        <v>49.41</v>
      </c>
      <c r="AF70" s="365"/>
      <c r="AG70" s="863">
        <f t="shared" si="20"/>
        <v>-305.63977800000043</v>
      </c>
      <c r="AH70" s="864">
        <f t="shared" si="32"/>
        <v>14</v>
      </c>
      <c r="AI70" s="863">
        <f t="shared" si="21"/>
        <v>0</v>
      </c>
      <c r="AJ70" s="864">
        <f t="shared" si="33"/>
        <v>0</v>
      </c>
      <c r="AK70" s="365"/>
      <c r="AL70" s="865">
        <f t="shared" si="22"/>
        <v>2007.4397999999999</v>
      </c>
      <c r="AM70" s="866">
        <f t="shared" si="34"/>
        <v>-305.63977800000043</v>
      </c>
      <c r="AN70" s="866">
        <f t="shared" si="35"/>
        <v>4.0840478505152784E-3</v>
      </c>
      <c r="AO70" s="866">
        <f t="shared" si="36"/>
        <v>0</v>
      </c>
      <c r="AP70" s="867">
        <f t="shared" si="37"/>
        <v>0</v>
      </c>
      <c r="AQ70" s="591">
        <f t="shared" si="23"/>
        <v>0</v>
      </c>
      <c r="AR70" s="868">
        <f>IF(AND($L70=0,$P70=0)=TRUE,VLOOKUP($E70,Plan3!$A$16:$CT$487,$E$7+3,0)/100,0)</f>
        <v>0</v>
      </c>
      <c r="AS70" s="868">
        <f>IF(AND($L70=0,$P70=0)=TRUE,VLOOKUP($E70,Plan3!$A$16:$CT$487,$E$7+6,0)/100,0)</f>
        <v>0</v>
      </c>
      <c r="AT70" s="868">
        <f>IF(AND($L70=0,$P70=0)=TRUE,VLOOKUP($E70,Plan3!$A$16:$CT$487,$E$7+9,0)/100,0)</f>
        <v>0</v>
      </c>
      <c r="AU70" s="868">
        <f>IF(AND($L70=0,$P70=0)=TRUE,VLOOKUP($E70,Plan3!$A$16:$CT$487,$E$7+12,0)/100,0)</f>
        <v>0</v>
      </c>
      <c r="AV70" s="841"/>
      <c r="AW70" s="869">
        <f t="shared" si="38"/>
        <v>0</v>
      </c>
      <c r="AX70" s="870">
        <f t="shared" si="39"/>
        <v>0</v>
      </c>
      <c r="AY70" s="871">
        <f t="shared" si="40"/>
        <v>0</v>
      </c>
      <c r="AZ70" s="237" t="str">
        <f t="shared" si="10"/>
        <v xml:space="preserve">05.002.000.005 </v>
      </c>
      <c r="BA70" s="365"/>
      <c r="BB70" s="365"/>
      <c r="BC70" s="365"/>
      <c r="BD70" s="365"/>
      <c r="BE70" s="365"/>
      <c r="BF70" s="365"/>
      <c r="BG70" s="365"/>
      <c r="BH70" s="365"/>
      <c r="BI70" s="365"/>
      <c r="BJ70" s="365"/>
      <c r="BK70" s="365"/>
      <c r="BL70" s="872">
        <f t="shared" si="11"/>
        <v>0</v>
      </c>
      <c r="BM70" s="873">
        <f t="shared" si="12"/>
        <v>0</v>
      </c>
      <c r="BN70" s="874">
        <f t="shared" si="41"/>
        <v>0</v>
      </c>
      <c r="BO70" s="875">
        <f t="shared" si="13"/>
        <v>0</v>
      </c>
      <c r="BP70" s="875">
        <f t="shared" si="14"/>
        <v>0</v>
      </c>
      <c r="BQ70" s="876">
        <f t="shared" si="42"/>
        <v>0</v>
      </c>
      <c r="BR70" s="877">
        <f t="shared" si="43"/>
        <v>0</v>
      </c>
      <c r="BS70" s="875">
        <f t="shared" si="15"/>
        <v>0</v>
      </c>
      <c r="BT70" s="875">
        <f t="shared" si="16"/>
        <v>0</v>
      </c>
      <c r="BU70" s="878">
        <f t="shared" si="44"/>
        <v>0</v>
      </c>
      <c r="CE70" s="486">
        <v>59</v>
      </c>
    </row>
    <row r="71" spans="1:83" s="177" customFormat="1" ht="21.95" customHeight="1" x14ac:dyDescent="0.2">
      <c r="A71" s="237">
        <f t="shared" si="17"/>
        <v>0</v>
      </c>
      <c r="B71" s="237">
        <f t="shared" si="18"/>
        <v>9</v>
      </c>
      <c r="C71" s="393">
        <f t="shared" si="2"/>
        <v>0</v>
      </c>
      <c r="D71" s="393" t="str">
        <f t="shared" si="3"/>
        <v xml:space="preserve">05 </v>
      </c>
      <c r="E71" s="959" t="s">
        <v>612</v>
      </c>
      <c r="F71" s="959" t="s">
        <v>2220</v>
      </c>
      <c r="G71" s="959" t="s">
        <v>94</v>
      </c>
      <c r="H71" s="965">
        <v>820.79</v>
      </c>
      <c r="I71" s="970">
        <v>68.444500000000005</v>
      </c>
      <c r="J71" s="962">
        <v>56178.559999999998</v>
      </c>
      <c r="K71" s="367">
        <v>0.45450000000000002</v>
      </c>
      <c r="L71" s="367">
        <f>IF($H71="",0,VLOOKUP($E71,Plan3!$A$16:$CT$384,$E$7,0)%)</f>
        <v>0.81810000000000005</v>
      </c>
      <c r="M71" s="368">
        <f t="shared" si="24"/>
        <v>671.48829899999998</v>
      </c>
      <c r="N71" s="368">
        <f t="shared" si="25"/>
        <v>45959.679936</v>
      </c>
      <c r="O71" s="367">
        <v>0.28920000000000001</v>
      </c>
      <c r="P71" s="999">
        <v>0.78</v>
      </c>
      <c r="Q71" s="368">
        <f t="shared" si="26"/>
        <v>640.21619999999996</v>
      </c>
      <c r="R71" s="368">
        <f t="shared" si="27"/>
        <v>43819.2768</v>
      </c>
      <c r="S71" s="880">
        <v>56641.767957196796</v>
      </c>
      <c r="T71" s="880">
        <f t="shared" si="28"/>
        <v>44180.579006613501</v>
      </c>
      <c r="U71" s="880">
        <f>IF($I71="",0,($S71-$T71)*(1+('Econômico Macro'!$R$12/100)))</f>
        <v>12676.767519428387</v>
      </c>
      <c r="V71" s="880">
        <f t="shared" si="29"/>
        <v>56857.346526041889</v>
      </c>
      <c r="W71" s="880">
        <f t="shared" si="30"/>
        <v>46514.99519295487</v>
      </c>
      <c r="X71" s="367">
        <f t="shared" si="5"/>
        <v>0.36360000000000003</v>
      </c>
      <c r="Y71" s="367">
        <f t="shared" si="6"/>
        <v>0.49080000000000001</v>
      </c>
      <c r="Z71" s="367">
        <f t="shared" si="7"/>
        <v>-3.8100000000000023E-2</v>
      </c>
      <c r="AA71" s="367">
        <f t="shared" si="8"/>
        <v>0.12719999999999998</v>
      </c>
      <c r="AB71" s="369" t="str">
        <f t="shared" si="9"/>
        <v>Atrasada</v>
      </c>
      <c r="AC71" s="365"/>
      <c r="AD71" s="368">
        <v>1</v>
      </c>
      <c r="AE71" s="368">
        <f t="shared" si="31"/>
        <v>639.21619999999996</v>
      </c>
      <c r="AF71" s="365"/>
      <c r="AG71" s="863">
        <f t="shared" si="20"/>
        <v>-2140.4031360000008</v>
      </c>
      <c r="AH71" s="864">
        <f t="shared" si="32"/>
        <v>9</v>
      </c>
      <c r="AI71" s="863">
        <f t="shared" si="21"/>
        <v>0</v>
      </c>
      <c r="AJ71" s="864">
        <f t="shared" si="33"/>
        <v>0</v>
      </c>
      <c r="AK71" s="365"/>
      <c r="AL71" s="865">
        <f t="shared" si="22"/>
        <v>43819.2768</v>
      </c>
      <c r="AM71" s="866">
        <f t="shared" si="34"/>
        <v>-2140.4031360000008</v>
      </c>
      <c r="AN71" s="866">
        <f t="shared" si="35"/>
        <v>2.8600690931063794E-2</v>
      </c>
      <c r="AO71" s="866">
        <f t="shared" si="36"/>
        <v>0</v>
      </c>
      <c r="AP71" s="867">
        <f t="shared" si="37"/>
        <v>0</v>
      </c>
      <c r="AQ71" s="591">
        <f t="shared" si="23"/>
        <v>0</v>
      </c>
      <c r="AR71" s="868">
        <f>IF(AND($L71=0,$P71=0)=TRUE,VLOOKUP($E71,Plan3!$A$16:$CT$487,$E$7+3,0)/100,0)</f>
        <v>0</v>
      </c>
      <c r="AS71" s="868">
        <f>IF(AND($L71=0,$P71=0)=TRUE,VLOOKUP($E71,Plan3!$A$16:$CT$487,$E$7+6,0)/100,0)</f>
        <v>0</v>
      </c>
      <c r="AT71" s="868">
        <f>IF(AND($L71=0,$P71=0)=TRUE,VLOOKUP($E71,Plan3!$A$16:$CT$487,$E$7+9,0)/100,0)</f>
        <v>0</v>
      </c>
      <c r="AU71" s="868">
        <f>IF(AND($L71=0,$P71=0)=TRUE,VLOOKUP($E71,Plan3!$A$16:$CT$487,$E$7+12,0)/100,0)</f>
        <v>0</v>
      </c>
      <c r="AV71" s="841"/>
      <c r="AW71" s="869">
        <f t="shared" si="38"/>
        <v>0</v>
      </c>
      <c r="AX71" s="870">
        <f t="shared" si="39"/>
        <v>0</v>
      </c>
      <c r="AY71" s="871">
        <f t="shared" si="40"/>
        <v>0</v>
      </c>
      <c r="AZ71" s="237" t="str">
        <f t="shared" si="10"/>
        <v xml:space="preserve">05.002.000.006 </v>
      </c>
      <c r="BA71" s="365"/>
      <c r="BB71" s="365"/>
      <c r="BC71" s="365"/>
      <c r="BD71" s="365"/>
      <c r="BE71" s="365"/>
      <c r="BF71" s="365"/>
      <c r="BG71" s="365"/>
      <c r="BH71" s="365"/>
      <c r="BI71" s="365"/>
      <c r="BJ71" s="365"/>
      <c r="BK71" s="365"/>
      <c r="BL71" s="872">
        <f t="shared" si="11"/>
        <v>0</v>
      </c>
      <c r="BM71" s="873">
        <f t="shared" si="12"/>
        <v>0</v>
      </c>
      <c r="BN71" s="874">
        <f t="shared" si="41"/>
        <v>0</v>
      </c>
      <c r="BO71" s="875">
        <f t="shared" si="13"/>
        <v>0</v>
      </c>
      <c r="BP71" s="875">
        <f t="shared" si="14"/>
        <v>0</v>
      </c>
      <c r="BQ71" s="876">
        <f t="shared" si="42"/>
        <v>0</v>
      </c>
      <c r="BR71" s="877">
        <f t="shared" si="43"/>
        <v>0</v>
      </c>
      <c r="BS71" s="875">
        <f t="shared" si="15"/>
        <v>0</v>
      </c>
      <c r="BT71" s="875">
        <f t="shared" si="16"/>
        <v>0</v>
      </c>
      <c r="BU71" s="878">
        <f t="shared" si="44"/>
        <v>0</v>
      </c>
      <c r="CE71" s="486">
        <v>60</v>
      </c>
    </row>
    <row r="72" spans="1:83" s="177" customFormat="1" ht="21.95" customHeight="1" x14ac:dyDescent="0.2">
      <c r="A72" s="237">
        <f t="shared" si="17"/>
        <v>0</v>
      </c>
      <c r="B72" s="237">
        <f t="shared" si="18"/>
        <v>0</v>
      </c>
      <c r="C72" s="393">
        <f t="shared" si="2"/>
        <v>0</v>
      </c>
      <c r="D72" s="393" t="str">
        <f t="shared" si="3"/>
        <v xml:space="preserve">05 </v>
      </c>
      <c r="E72" s="967" t="s">
        <v>772</v>
      </c>
      <c r="F72" s="967" t="s">
        <v>2221</v>
      </c>
      <c r="G72" s="967"/>
      <c r="H72" s="968"/>
      <c r="I72" s="968"/>
      <c r="J72" s="969">
        <v>45013.14</v>
      </c>
      <c r="K72" s="367">
        <v>0</v>
      </c>
      <c r="L72" s="367">
        <f>IF($H72="",0,VLOOKUP($E72,Plan3!$A$16:$CT$384,$E$7,0)%)</f>
        <v>0</v>
      </c>
      <c r="M72" s="368">
        <f t="shared" si="24"/>
        <v>0</v>
      </c>
      <c r="N72" s="368">
        <f t="shared" si="25"/>
        <v>0</v>
      </c>
      <c r="O72" s="367">
        <v>0</v>
      </c>
      <c r="P72" s="367">
        <f>VLOOKUP($E72,Plan3!$A$492:$P$858,13,0)%</f>
        <v>0</v>
      </c>
      <c r="Q72" s="368">
        <f t="shared" si="26"/>
        <v>0</v>
      </c>
      <c r="R72" s="368">
        <f t="shared" si="27"/>
        <v>0</v>
      </c>
      <c r="S72" s="880">
        <v>0</v>
      </c>
      <c r="T72" s="880">
        <f t="shared" si="28"/>
        <v>0</v>
      </c>
      <c r="U72" s="880">
        <f>IF($I72="",0,($S72-$T72)*(1+('Econômico Macro'!$R$12/100)))</f>
        <v>0</v>
      </c>
      <c r="V72" s="880">
        <f t="shared" si="29"/>
        <v>0</v>
      </c>
      <c r="W72" s="880">
        <f t="shared" si="30"/>
        <v>0</v>
      </c>
      <c r="X72" s="367">
        <f t="shared" si="5"/>
        <v>0</v>
      </c>
      <c r="Y72" s="367">
        <f t="shared" si="6"/>
        <v>0</v>
      </c>
      <c r="Z72" s="367">
        <f t="shared" si="7"/>
        <v>0</v>
      </c>
      <c r="AA72" s="367">
        <f t="shared" si="8"/>
        <v>0</v>
      </c>
      <c r="AB72" s="369" t="str">
        <f t="shared" si="9"/>
        <v>Não Iniciada</v>
      </c>
      <c r="AC72" s="365"/>
      <c r="AD72" s="368">
        <v>1</v>
      </c>
      <c r="AE72" s="368">
        <f t="shared" si="31"/>
        <v>-1</v>
      </c>
      <c r="AF72" s="365"/>
      <c r="AG72" s="863">
        <f t="shared" si="20"/>
        <v>0</v>
      </c>
      <c r="AH72" s="864">
        <f t="shared" si="32"/>
        <v>0</v>
      </c>
      <c r="AI72" s="863">
        <f t="shared" si="21"/>
        <v>0</v>
      </c>
      <c r="AJ72" s="864">
        <f t="shared" si="33"/>
        <v>0</v>
      </c>
      <c r="AK72" s="365"/>
      <c r="AL72" s="865">
        <f t="shared" si="22"/>
        <v>0</v>
      </c>
      <c r="AM72" s="866">
        <f t="shared" si="34"/>
        <v>0</v>
      </c>
      <c r="AN72" s="866">
        <f t="shared" si="35"/>
        <v>0</v>
      </c>
      <c r="AO72" s="866">
        <f t="shared" si="36"/>
        <v>0</v>
      </c>
      <c r="AP72" s="867">
        <f t="shared" si="37"/>
        <v>0</v>
      </c>
      <c r="AQ72" s="591"/>
      <c r="AR72" s="868"/>
      <c r="AS72" s="868"/>
      <c r="AT72" s="868"/>
      <c r="AU72" s="868"/>
      <c r="AV72" s="841"/>
      <c r="AW72" s="869"/>
      <c r="AX72" s="870"/>
      <c r="AY72" s="871"/>
      <c r="AZ72" s="237" t="str">
        <f t="shared" si="10"/>
        <v xml:space="preserve">05.003 </v>
      </c>
      <c r="BA72" s="365"/>
      <c r="BB72" s="365"/>
      <c r="BC72" s="365"/>
      <c r="BD72" s="365"/>
      <c r="BE72" s="365"/>
      <c r="BF72" s="365"/>
      <c r="BG72" s="365"/>
      <c r="BH72" s="365"/>
      <c r="BI72" s="365"/>
      <c r="BJ72" s="365"/>
      <c r="BK72" s="365"/>
      <c r="BL72" s="872">
        <f t="shared" si="11"/>
        <v>0</v>
      </c>
      <c r="BM72" s="873">
        <f t="shared" si="12"/>
        <v>0</v>
      </c>
      <c r="BN72" s="874">
        <f t="shared" si="41"/>
        <v>0</v>
      </c>
      <c r="BO72" s="875">
        <f t="shared" si="13"/>
        <v>0</v>
      </c>
      <c r="BP72" s="875">
        <f t="shared" si="14"/>
        <v>0</v>
      </c>
      <c r="BQ72" s="876">
        <f t="shared" si="42"/>
        <v>0</v>
      </c>
      <c r="BR72" s="877">
        <f t="shared" si="43"/>
        <v>0</v>
      </c>
      <c r="BS72" s="875">
        <f t="shared" si="15"/>
        <v>0</v>
      </c>
      <c r="BT72" s="875">
        <f t="shared" si="16"/>
        <v>0</v>
      </c>
      <c r="BU72" s="878">
        <f t="shared" si="44"/>
        <v>0</v>
      </c>
      <c r="CE72" s="486">
        <v>61</v>
      </c>
    </row>
    <row r="73" spans="1:83" s="177" customFormat="1" ht="21.95" customHeight="1" x14ac:dyDescent="0.2">
      <c r="A73" s="237">
        <f t="shared" si="17"/>
        <v>0</v>
      </c>
      <c r="B73" s="237">
        <f t="shared" si="18"/>
        <v>0</v>
      </c>
      <c r="C73" s="393">
        <f t="shared" si="2"/>
        <v>0</v>
      </c>
      <c r="D73" s="393" t="str">
        <f t="shared" si="3"/>
        <v xml:space="preserve">05 </v>
      </c>
      <c r="E73" s="967" t="s">
        <v>2222</v>
      </c>
      <c r="F73" s="967" t="s">
        <v>2223</v>
      </c>
      <c r="G73" s="967"/>
      <c r="H73" s="968"/>
      <c r="I73" s="968"/>
      <c r="J73" s="969">
        <v>45013.14</v>
      </c>
      <c r="K73" s="367">
        <v>0</v>
      </c>
      <c r="L73" s="367">
        <f>IF($H73="",0,VLOOKUP($E73,Plan3!$A$16:$CT$384,$E$7,0)%)</f>
        <v>0</v>
      </c>
      <c r="M73" s="368">
        <f t="shared" si="24"/>
        <v>0</v>
      </c>
      <c r="N73" s="368">
        <f t="shared" si="25"/>
        <v>0</v>
      </c>
      <c r="O73" s="367">
        <v>0</v>
      </c>
      <c r="P73" s="367">
        <f>VLOOKUP($E73,Plan3!$A$492:$P$858,13,0)%</f>
        <v>0</v>
      </c>
      <c r="Q73" s="368">
        <f t="shared" si="26"/>
        <v>0</v>
      </c>
      <c r="R73" s="368">
        <f t="shared" si="27"/>
        <v>0</v>
      </c>
      <c r="S73" s="880">
        <v>0</v>
      </c>
      <c r="T73" s="880">
        <f t="shared" si="28"/>
        <v>0</v>
      </c>
      <c r="U73" s="880">
        <f>IF($I73="",0,($S73-$T73)*(1+('Econômico Macro'!$R$12/100)))</f>
        <v>0</v>
      </c>
      <c r="V73" s="880">
        <f t="shared" si="29"/>
        <v>0</v>
      </c>
      <c r="W73" s="880">
        <f t="shared" si="30"/>
        <v>0</v>
      </c>
      <c r="X73" s="367">
        <f t="shared" si="5"/>
        <v>0</v>
      </c>
      <c r="Y73" s="367">
        <f t="shared" si="6"/>
        <v>0</v>
      </c>
      <c r="Z73" s="367">
        <f t="shared" si="7"/>
        <v>0</v>
      </c>
      <c r="AA73" s="367">
        <f t="shared" si="8"/>
        <v>0</v>
      </c>
      <c r="AB73" s="369" t="str">
        <f t="shared" si="9"/>
        <v>Não Iniciada</v>
      </c>
      <c r="AC73" s="365"/>
      <c r="AD73" s="368">
        <v>1</v>
      </c>
      <c r="AE73" s="368">
        <f t="shared" si="31"/>
        <v>-1</v>
      </c>
      <c r="AF73" s="365"/>
      <c r="AG73" s="863">
        <f t="shared" si="20"/>
        <v>0</v>
      </c>
      <c r="AH73" s="864">
        <f t="shared" si="32"/>
        <v>0</v>
      </c>
      <c r="AI73" s="863">
        <f t="shared" si="21"/>
        <v>0</v>
      </c>
      <c r="AJ73" s="864">
        <f t="shared" si="33"/>
        <v>0</v>
      </c>
      <c r="AK73" s="365"/>
      <c r="AL73" s="865">
        <f t="shared" si="22"/>
        <v>0</v>
      </c>
      <c r="AM73" s="866">
        <f t="shared" si="34"/>
        <v>0</v>
      </c>
      <c r="AN73" s="866">
        <f t="shared" si="35"/>
        <v>0</v>
      </c>
      <c r="AO73" s="866">
        <f t="shared" si="36"/>
        <v>0</v>
      </c>
      <c r="AP73" s="867">
        <f t="shared" si="37"/>
        <v>0</v>
      </c>
      <c r="AQ73" s="591"/>
      <c r="AR73" s="868"/>
      <c r="AS73" s="868"/>
      <c r="AT73" s="868"/>
      <c r="AU73" s="868"/>
      <c r="AV73" s="841"/>
      <c r="AW73" s="869"/>
      <c r="AX73" s="870"/>
      <c r="AY73" s="871"/>
      <c r="AZ73" s="237" t="str">
        <f t="shared" si="10"/>
        <v xml:space="preserve">05.003.001 </v>
      </c>
      <c r="BA73" s="365"/>
      <c r="BB73" s="365"/>
      <c r="BC73" s="365"/>
      <c r="BD73" s="365"/>
      <c r="BE73" s="365"/>
      <c r="BF73" s="365"/>
      <c r="BG73" s="365"/>
      <c r="BH73" s="365"/>
      <c r="BI73" s="365"/>
      <c r="BJ73" s="365"/>
      <c r="BK73" s="365"/>
      <c r="BL73" s="872">
        <f t="shared" si="11"/>
        <v>0</v>
      </c>
      <c r="BM73" s="873">
        <f t="shared" si="12"/>
        <v>0</v>
      </c>
      <c r="BN73" s="874">
        <f t="shared" si="41"/>
        <v>0</v>
      </c>
      <c r="BO73" s="875">
        <f t="shared" si="13"/>
        <v>0</v>
      </c>
      <c r="BP73" s="875">
        <f t="shared" si="14"/>
        <v>0</v>
      </c>
      <c r="BQ73" s="876">
        <f t="shared" si="42"/>
        <v>0</v>
      </c>
      <c r="BR73" s="877">
        <f t="shared" si="43"/>
        <v>0</v>
      </c>
      <c r="BS73" s="875">
        <f t="shared" si="15"/>
        <v>0</v>
      </c>
      <c r="BT73" s="875">
        <f t="shared" si="16"/>
        <v>0</v>
      </c>
      <c r="BU73" s="878">
        <f t="shared" si="44"/>
        <v>0</v>
      </c>
      <c r="CE73" s="486">
        <v>62</v>
      </c>
    </row>
    <row r="74" spans="1:83" s="177" customFormat="1" ht="21.95" customHeight="1" x14ac:dyDescent="0.2">
      <c r="A74" s="237">
        <f t="shared" si="17"/>
        <v>1</v>
      </c>
      <c r="B74" s="237">
        <f t="shared" si="18"/>
        <v>0</v>
      </c>
      <c r="C74" s="393">
        <f t="shared" si="2"/>
        <v>0</v>
      </c>
      <c r="D74" s="393" t="str">
        <f t="shared" si="3"/>
        <v xml:space="preserve">05 </v>
      </c>
      <c r="E74" s="959" t="s">
        <v>2224</v>
      </c>
      <c r="F74" s="959" t="s">
        <v>776</v>
      </c>
      <c r="G74" s="959" t="s">
        <v>94</v>
      </c>
      <c r="H74" s="970">
        <v>46.83</v>
      </c>
      <c r="I74" s="965">
        <v>170</v>
      </c>
      <c r="J74" s="964">
        <v>7961.1</v>
      </c>
      <c r="K74" s="367">
        <v>0</v>
      </c>
      <c r="L74" s="367">
        <f>IF($H74="",0,VLOOKUP($E74,Plan3!$A$16:$CT$384,$E$7,0)%)</f>
        <v>0</v>
      </c>
      <c r="M74" s="368">
        <f t="shared" si="24"/>
        <v>0</v>
      </c>
      <c r="N74" s="368">
        <f t="shared" si="25"/>
        <v>0</v>
      </c>
      <c r="O74" s="367">
        <v>0</v>
      </c>
      <c r="P74" s="999">
        <v>0.8</v>
      </c>
      <c r="Q74" s="368">
        <f t="shared" si="26"/>
        <v>37.463999999999999</v>
      </c>
      <c r="R74" s="368">
        <f t="shared" si="27"/>
        <v>6368.880000000001</v>
      </c>
      <c r="S74" s="880">
        <v>8053.4487600000011</v>
      </c>
      <c r="T74" s="880">
        <f t="shared" si="28"/>
        <v>6442.7590080000009</v>
      </c>
      <c r="U74" s="880">
        <f>IF($I74="",0,($S74-$T74)*(1+('Econômico Macro'!$R$12/100)))</f>
        <v>1638.5546847096005</v>
      </c>
      <c r="V74" s="880">
        <f t="shared" si="29"/>
        <v>8081.3136927096011</v>
      </c>
      <c r="W74" s="880">
        <f t="shared" si="30"/>
        <v>0</v>
      </c>
      <c r="X74" s="367">
        <f t="shared" si="5"/>
        <v>0</v>
      </c>
      <c r="Y74" s="367">
        <f t="shared" si="6"/>
        <v>0.8</v>
      </c>
      <c r="Z74" s="367">
        <f t="shared" si="7"/>
        <v>0.8</v>
      </c>
      <c r="AA74" s="367">
        <f t="shared" si="8"/>
        <v>0.8</v>
      </c>
      <c r="AB74" s="369" t="str">
        <f t="shared" si="9"/>
        <v>Adiantada</v>
      </c>
      <c r="AC74" s="365"/>
      <c r="AD74" s="368">
        <v>1</v>
      </c>
      <c r="AE74" s="368">
        <f t="shared" si="31"/>
        <v>36.463999999999999</v>
      </c>
      <c r="AF74" s="365"/>
      <c r="AG74" s="863">
        <f t="shared" si="20"/>
        <v>0</v>
      </c>
      <c r="AH74" s="864">
        <f t="shared" si="32"/>
        <v>0</v>
      </c>
      <c r="AI74" s="863">
        <f t="shared" si="21"/>
        <v>6368.880000000001</v>
      </c>
      <c r="AJ74" s="864">
        <f t="shared" si="33"/>
        <v>1</v>
      </c>
      <c r="AK74" s="365"/>
      <c r="AL74" s="865">
        <f t="shared" si="22"/>
        <v>6368.880000000001</v>
      </c>
      <c r="AM74" s="866">
        <f t="shared" si="34"/>
        <v>0</v>
      </c>
      <c r="AN74" s="866">
        <f t="shared" si="35"/>
        <v>0</v>
      </c>
      <c r="AO74" s="866">
        <f t="shared" si="36"/>
        <v>6368.880000000001</v>
      </c>
      <c r="AP74" s="867">
        <f t="shared" si="37"/>
        <v>0.5149490862695445</v>
      </c>
      <c r="AQ74" s="591">
        <f t="shared" si="23"/>
        <v>0</v>
      </c>
      <c r="AR74" s="868">
        <f>IF(AND($L74=0,$P74=0)=TRUE,VLOOKUP($E74,Plan3!$A$16:$CT$487,$E$7+3,0)/100,0)</f>
        <v>0</v>
      </c>
      <c r="AS74" s="868">
        <f>IF(AND($L74=0,$P74=0)=TRUE,VLOOKUP($E74,Plan3!$A$16:$CT$487,$E$7+6,0)/100,0)</f>
        <v>0</v>
      </c>
      <c r="AT74" s="868">
        <f>IF(AND($L74=0,$P74=0)=TRUE,VLOOKUP($E74,Plan3!$A$16:$CT$487,$E$7+9,0)/100,0)</f>
        <v>0</v>
      </c>
      <c r="AU74" s="868">
        <f>IF(AND($L74=0,$P74=0)=TRUE,VLOOKUP($E74,Plan3!$A$16:$CT$487,$E$7+12,0)/100,0)</f>
        <v>0</v>
      </c>
      <c r="AV74" s="841"/>
      <c r="AW74" s="869">
        <f t="shared" si="38"/>
        <v>0</v>
      </c>
      <c r="AX74" s="870">
        <f t="shared" si="39"/>
        <v>0</v>
      </c>
      <c r="AY74" s="871">
        <f t="shared" si="40"/>
        <v>0</v>
      </c>
      <c r="AZ74" s="237" t="str">
        <f t="shared" si="10"/>
        <v xml:space="preserve">05.003.001.001 </v>
      </c>
      <c r="BA74" s="365"/>
      <c r="BB74" s="365"/>
      <c r="BC74" s="365"/>
      <c r="BD74" s="365"/>
      <c r="BE74" s="365"/>
      <c r="BF74" s="365"/>
      <c r="BG74" s="365"/>
      <c r="BH74" s="365"/>
      <c r="BI74" s="365"/>
      <c r="BJ74" s="365"/>
      <c r="BK74" s="365"/>
      <c r="BL74" s="872">
        <f t="shared" si="11"/>
        <v>0</v>
      </c>
      <c r="BM74" s="873">
        <f t="shared" si="12"/>
        <v>0</v>
      </c>
      <c r="BN74" s="874">
        <f t="shared" si="41"/>
        <v>0</v>
      </c>
      <c r="BO74" s="875">
        <f t="shared" si="13"/>
        <v>0</v>
      </c>
      <c r="BP74" s="875">
        <f t="shared" si="14"/>
        <v>0</v>
      </c>
      <c r="BQ74" s="876">
        <f t="shared" si="42"/>
        <v>0</v>
      </c>
      <c r="BR74" s="877">
        <f t="shared" si="43"/>
        <v>0</v>
      </c>
      <c r="BS74" s="875">
        <f t="shared" si="15"/>
        <v>0</v>
      </c>
      <c r="BT74" s="875">
        <f t="shared" si="16"/>
        <v>0</v>
      </c>
      <c r="BU74" s="878">
        <f t="shared" si="44"/>
        <v>0</v>
      </c>
      <c r="CE74" s="486">
        <v>63</v>
      </c>
    </row>
    <row r="75" spans="1:83" s="177" customFormat="1" ht="21.95" customHeight="1" x14ac:dyDescent="0.2">
      <c r="A75" s="237">
        <f t="shared" si="17"/>
        <v>0</v>
      </c>
      <c r="B75" s="237">
        <f t="shared" si="18"/>
        <v>0</v>
      </c>
      <c r="C75" s="393">
        <f t="shared" si="2"/>
        <v>0</v>
      </c>
      <c r="D75" s="393" t="str">
        <f t="shared" si="3"/>
        <v xml:space="preserve">05 </v>
      </c>
      <c r="E75" s="959" t="s">
        <v>2225</v>
      </c>
      <c r="F75" s="959" t="s">
        <v>1394</v>
      </c>
      <c r="G75" s="959" t="s">
        <v>90</v>
      </c>
      <c r="H75" s="965">
        <v>246.49</v>
      </c>
      <c r="I75" s="970">
        <v>60.5</v>
      </c>
      <c r="J75" s="962">
        <v>14912.65</v>
      </c>
      <c r="K75" s="367">
        <v>0</v>
      </c>
      <c r="L75" s="367">
        <f>IF($H75="",0,VLOOKUP($E75,Plan3!$A$16:$CT$384,$E$7,0)%)</f>
        <v>0</v>
      </c>
      <c r="M75" s="368">
        <f t="shared" si="24"/>
        <v>0</v>
      </c>
      <c r="N75" s="368">
        <f t="shared" si="25"/>
        <v>0</v>
      </c>
      <c r="O75" s="367">
        <v>0</v>
      </c>
      <c r="P75" s="367">
        <f>VLOOKUP($E75,Plan3!$A$492:$P$858,13,0)%</f>
        <v>0</v>
      </c>
      <c r="Q75" s="368">
        <f t="shared" si="26"/>
        <v>0</v>
      </c>
      <c r="R75" s="368">
        <f t="shared" si="27"/>
        <v>0</v>
      </c>
      <c r="S75" s="880">
        <v>15085.63674</v>
      </c>
      <c r="T75" s="880">
        <f t="shared" si="28"/>
        <v>0</v>
      </c>
      <c r="U75" s="880">
        <f>IF($I75="",0,($S75-$T75)*(1+('Econômico Macro'!$R$12/100)))</f>
        <v>15346.618255602001</v>
      </c>
      <c r="V75" s="880">
        <f t="shared" si="29"/>
        <v>15346.618255602001</v>
      </c>
      <c r="W75" s="880">
        <f t="shared" si="30"/>
        <v>0</v>
      </c>
      <c r="X75" s="367">
        <f t="shared" si="5"/>
        <v>0</v>
      </c>
      <c r="Y75" s="367">
        <f t="shared" si="6"/>
        <v>0</v>
      </c>
      <c r="Z75" s="367">
        <f t="shared" si="7"/>
        <v>0</v>
      </c>
      <c r="AA75" s="367">
        <f t="shared" si="8"/>
        <v>0</v>
      </c>
      <c r="AB75" s="369" t="str">
        <f t="shared" si="9"/>
        <v>Não Iniciada</v>
      </c>
      <c r="AC75" s="365"/>
      <c r="AD75" s="368">
        <v>1</v>
      </c>
      <c r="AE75" s="368">
        <f t="shared" si="31"/>
        <v>-1</v>
      </c>
      <c r="AF75" s="365"/>
      <c r="AG75" s="863">
        <f t="shared" si="20"/>
        <v>0</v>
      </c>
      <c r="AH75" s="864">
        <f t="shared" si="32"/>
        <v>0</v>
      </c>
      <c r="AI75" s="863">
        <f t="shared" si="21"/>
        <v>0</v>
      </c>
      <c r="AJ75" s="864">
        <f t="shared" si="33"/>
        <v>0</v>
      </c>
      <c r="AK75" s="365"/>
      <c r="AL75" s="865">
        <f t="shared" si="22"/>
        <v>0</v>
      </c>
      <c r="AM75" s="866">
        <f t="shared" si="34"/>
        <v>0</v>
      </c>
      <c r="AN75" s="866">
        <f t="shared" si="35"/>
        <v>0</v>
      </c>
      <c r="AO75" s="866">
        <f t="shared" si="36"/>
        <v>0</v>
      </c>
      <c r="AP75" s="867">
        <f t="shared" si="37"/>
        <v>0</v>
      </c>
      <c r="AQ75" s="591">
        <f t="shared" si="23"/>
        <v>4</v>
      </c>
      <c r="AR75" s="868">
        <f>IF(AND($L75=0,$P75=0)=TRUE,VLOOKUP($E75,Plan3!$A$16:$CT$487,$E$7+3,0)/100,0)</f>
        <v>0</v>
      </c>
      <c r="AS75" s="868">
        <f>IF(AND($L75=0,$P75=0)=TRUE,VLOOKUP($E75,Plan3!$A$16:$CT$487,$E$7+6,0)/100,0)</f>
        <v>0</v>
      </c>
      <c r="AT75" s="868">
        <f>IF(AND($L75=0,$P75=0)=TRUE,VLOOKUP($E75,Plan3!$A$16:$CT$487,$E$7+9,0)/100,0)</f>
        <v>0.57140000000000002</v>
      </c>
      <c r="AU75" s="868">
        <f>IF(AND($L75=0,$P75=0)=TRUE,VLOOKUP($E75,Plan3!$A$16:$CT$487,$E$7+12,0)/100,0)</f>
        <v>1</v>
      </c>
      <c r="AV75" s="841"/>
      <c r="AW75" s="869">
        <f t="shared" si="38"/>
        <v>14912.65</v>
      </c>
      <c r="AX75" s="870">
        <f t="shared" si="39"/>
        <v>2.719923311282834E-2</v>
      </c>
      <c r="AY75" s="871">
        <f t="shared" si="40"/>
        <v>4</v>
      </c>
      <c r="AZ75" s="237" t="str">
        <f t="shared" si="10"/>
        <v xml:space="preserve">05.003.001.002 </v>
      </c>
      <c r="BA75" s="365"/>
      <c r="BB75" s="365"/>
      <c r="BC75" s="365"/>
      <c r="BD75" s="365"/>
      <c r="BE75" s="365"/>
      <c r="BF75" s="365"/>
      <c r="BG75" s="365"/>
      <c r="BH75" s="365"/>
      <c r="BI75" s="365"/>
      <c r="BJ75" s="365"/>
      <c r="BK75" s="365"/>
      <c r="BL75" s="872">
        <f t="shared" si="11"/>
        <v>0</v>
      </c>
      <c r="BM75" s="873">
        <f t="shared" si="12"/>
        <v>0</v>
      </c>
      <c r="BN75" s="874">
        <f t="shared" si="41"/>
        <v>0</v>
      </c>
      <c r="BO75" s="875">
        <f t="shared" si="13"/>
        <v>0</v>
      </c>
      <c r="BP75" s="875">
        <f t="shared" si="14"/>
        <v>0</v>
      </c>
      <c r="BQ75" s="876">
        <f t="shared" si="42"/>
        <v>0</v>
      </c>
      <c r="BR75" s="877">
        <f t="shared" si="43"/>
        <v>0</v>
      </c>
      <c r="BS75" s="875">
        <f t="shared" si="15"/>
        <v>0</v>
      </c>
      <c r="BT75" s="875">
        <f t="shared" si="16"/>
        <v>0</v>
      </c>
      <c r="BU75" s="878">
        <f t="shared" si="44"/>
        <v>0</v>
      </c>
      <c r="CE75" s="486">
        <v>64</v>
      </c>
    </row>
    <row r="76" spans="1:83" s="177" customFormat="1" ht="21.95" customHeight="1" x14ac:dyDescent="0.2">
      <c r="A76" s="237">
        <f t="shared" si="17"/>
        <v>0</v>
      </c>
      <c r="B76" s="237">
        <f t="shared" si="18"/>
        <v>0</v>
      </c>
      <c r="C76" s="393">
        <f t="shared" si="2"/>
        <v>0</v>
      </c>
      <c r="D76" s="393" t="str">
        <f t="shared" si="3"/>
        <v xml:space="preserve">05 </v>
      </c>
      <c r="E76" s="959" t="s">
        <v>2226</v>
      </c>
      <c r="F76" s="959" t="s">
        <v>771</v>
      </c>
      <c r="G76" s="959" t="s">
        <v>101</v>
      </c>
      <c r="H76" s="963">
        <v>1873.32</v>
      </c>
      <c r="I76" s="960">
        <v>5.9490999999999996</v>
      </c>
      <c r="J76" s="962">
        <v>11144.57</v>
      </c>
      <c r="K76" s="367">
        <v>0</v>
      </c>
      <c r="L76" s="367">
        <f>IF($H76="",0,VLOOKUP($E76,Plan3!$A$16:$CT$384,$E$7,0)%)</f>
        <v>0</v>
      </c>
      <c r="M76" s="368">
        <f t="shared" si="24"/>
        <v>0</v>
      </c>
      <c r="N76" s="368">
        <f t="shared" si="25"/>
        <v>0</v>
      </c>
      <c r="O76" s="367">
        <v>0</v>
      </c>
      <c r="P76" s="367">
        <f>VLOOKUP($E76,Plan3!$A$492:$P$858,13,0)%</f>
        <v>0</v>
      </c>
      <c r="Q76" s="368">
        <f t="shared" si="26"/>
        <v>0</v>
      </c>
      <c r="R76" s="368">
        <f t="shared" si="27"/>
        <v>0</v>
      </c>
      <c r="S76" s="880">
        <v>11273.847012</v>
      </c>
      <c r="T76" s="880">
        <f t="shared" si="28"/>
        <v>0</v>
      </c>
      <c r="U76" s="880">
        <f>IF($I76="",0,($S76-$T76)*(1+('Econômico Macro'!$R$12/100)))</f>
        <v>11468.8845653076</v>
      </c>
      <c r="V76" s="880">
        <f t="shared" si="29"/>
        <v>11468.8845653076</v>
      </c>
      <c r="W76" s="880">
        <f t="shared" si="30"/>
        <v>0</v>
      </c>
      <c r="X76" s="367">
        <f t="shared" si="5"/>
        <v>0</v>
      </c>
      <c r="Y76" s="367">
        <f t="shared" si="6"/>
        <v>0</v>
      </c>
      <c r="Z76" s="367">
        <f t="shared" si="7"/>
        <v>0</v>
      </c>
      <c r="AA76" s="367">
        <f t="shared" si="8"/>
        <v>0</v>
      </c>
      <c r="AB76" s="369" t="str">
        <f t="shared" si="9"/>
        <v>Não Iniciada</v>
      </c>
      <c r="AC76" s="365"/>
      <c r="AD76" s="368">
        <v>1</v>
      </c>
      <c r="AE76" s="368">
        <f t="shared" si="31"/>
        <v>-1</v>
      </c>
      <c r="AF76" s="365"/>
      <c r="AG76" s="863">
        <f t="shared" si="20"/>
        <v>0</v>
      </c>
      <c r="AH76" s="864">
        <f t="shared" si="32"/>
        <v>0</v>
      </c>
      <c r="AI76" s="863">
        <f t="shared" si="21"/>
        <v>0</v>
      </c>
      <c r="AJ76" s="864">
        <f t="shared" si="33"/>
        <v>0</v>
      </c>
      <c r="AK76" s="365"/>
      <c r="AL76" s="865">
        <f t="shared" si="22"/>
        <v>0</v>
      </c>
      <c r="AM76" s="866">
        <f t="shared" si="34"/>
        <v>0</v>
      </c>
      <c r="AN76" s="866">
        <f t="shared" si="35"/>
        <v>0</v>
      </c>
      <c r="AO76" s="866">
        <f t="shared" si="36"/>
        <v>0</v>
      </c>
      <c r="AP76" s="867">
        <f t="shared" si="37"/>
        <v>0</v>
      </c>
      <c r="AQ76" s="591">
        <f t="shared" si="23"/>
        <v>5</v>
      </c>
      <c r="AR76" s="868">
        <f>IF(AND($L76=0,$P76=0)=TRUE,VLOOKUP($E76,Plan3!$A$16:$CT$487,$E$7+3,0)/100,0)</f>
        <v>0</v>
      </c>
      <c r="AS76" s="868">
        <f>IF(AND($L76=0,$P76=0)=TRUE,VLOOKUP($E76,Plan3!$A$16:$CT$487,$E$7+6,0)/100,0)</f>
        <v>0</v>
      </c>
      <c r="AT76" s="868">
        <f>IF(AND($L76=0,$P76=0)=TRUE,VLOOKUP($E76,Plan3!$A$16:$CT$487,$E$7+9,0)/100,0)</f>
        <v>0.57140000000000002</v>
      </c>
      <c r="AU76" s="868">
        <f>IF(AND($L76=0,$P76=0)=TRUE,VLOOKUP($E76,Plan3!$A$16:$CT$487,$E$7+12,0)/100,0)</f>
        <v>1</v>
      </c>
      <c r="AV76" s="841"/>
      <c r="AW76" s="869">
        <f t="shared" si="38"/>
        <v>11144.57</v>
      </c>
      <c r="AX76" s="870">
        <f t="shared" si="39"/>
        <v>2.0326619170451483E-2</v>
      </c>
      <c r="AY76" s="871">
        <f t="shared" si="40"/>
        <v>5</v>
      </c>
      <c r="AZ76" s="237" t="str">
        <f t="shared" si="10"/>
        <v xml:space="preserve">05.003.001.003 </v>
      </c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872">
        <f t="shared" si="11"/>
        <v>0</v>
      </c>
      <c r="BM76" s="873">
        <f t="shared" si="12"/>
        <v>0</v>
      </c>
      <c r="BN76" s="874">
        <f t="shared" si="41"/>
        <v>0</v>
      </c>
      <c r="BO76" s="875">
        <f t="shared" si="13"/>
        <v>0</v>
      </c>
      <c r="BP76" s="875">
        <f t="shared" si="14"/>
        <v>0</v>
      </c>
      <c r="BQ76" s="876">
        <f t="shared" si="42"/>
        <v>0</v>
      </c>
      <c r="BR76" s="877">
        <f t="shared" si="43"/>
        <v>0</v>
      </c>
      <c r="BS76" s="875">
        <f t="shared" si="15"/>
        <v>0</v>
      </c>
      <c r="BT76" s="875">
        <f t="shared" si="16"/>
        <v>0</v>
      </c>
      <c r="BU76" s="878">
        <f t="shared" si="44"/>
        <v>0</v>
      </c>
      <c r="CE76" s="486">
        <v>65</v>
      </c>
    </row>
    <row r="77" spans="1:83" s="177" customFormat="1" ht="21.95" customHeight="1" x14ac:dyDescent="0.2">
      <c r="A77" s="237">
        <f t="shared" si="17"/>
        <v>0</v>
      </c>
      <c r="B77" s="237">
        <f t="shared" si="18"/>
        <v>0</v>
      </c>
      <c r="C77" s="393">
        <f t="shared" ref="C77:C140" si="49">IF($D77=$D76,0,$D77)</f>
        <v>0</v>
      </c>
      <c r="D77" s="393" t="str">
        <f t="shared" ref="D77:D140" si="50">IF(LEFT($E77,3)=$E77,$E77,LEFT($D76,2)&amp;" ")</f>
        <v xml:space="preserve">05 </v>
      </c>
      <c r="E77" s="959" t="s">
        <v>2227</v>
      </c>
      <c r="F77" s="959" t="s">
        <v>1389</v>
      </c>
      <c r="G77" s="959" t="s">
        <v>94</v>
      </c>
      <c r="H77" s="970">
        <v>23.41</v>
      </c>
      <c r="I77" s="965">
        <v>277.95400000000001</v>
      </c>
      <c r="J77" s="964">
        <v>6506.91</v>
      </c>
      <c r="K77" s="367">
        <v>0</v>
      </c>
      <c r="L77" s="367">
        <f>IF($H77="",0,VLOOKUP($E77,Plan3!$A$16:$CT$384,$E$7,0)%)</f>
        <v>0</v>
      </c>
      <c r="M77" s="368">
        <f t="shared" si="24"/>
        <v>0</v>
      </c>
      <c r="N77" s="368">
        <f t="shared" si="25"/>
        <v>0</v>
      </c>
      <c r="O77" s="367">
        <v>0</v>
      </c>
      <c r="P77" s="367">
        <f>VLOOKUP($E77,Plan3!$A$492:$P$858,13,0)%</f>
        <v>0</v>
      </c>
      <c r="Q77" s="368">
        <f t="shared" si="26"/>
        <v>0</v>
      </c>
      <c r="R77" s="368">
        <f t="shared" si="27"/>
        <v>0</v>
      </c>
      <c r="S77" s="880">
        <v>6582.3901560000004</v>
      </c>
      <c r="T77" s="880">
        <f t="shared" si="28"/>
        <v>0</v>
      </c>
      <c r="U77" s="880">
        <f>IF($I77="",0,($S77-$T77)*(1+('Econômico Macro'!$R$12/100)))</f>
        <v>6696.2655056988015</v>
      </c>
      <c r="V77" s="880">
        <f t="shared" si="29"/>
        <v>6696.2655056988015</v>
      </c>
      <c r="W77" s="880">
        <f t="shared" si="30"/>
        <v>0</v>
      </c>
      <c r="X77" s="367">
        <f t="shared" ref="X77:X140" si="51">$L77-$K77</f>
        <v>0</v>
      </c>
      <c r="Y77" s="367">
        <f t="shared" ref="Y77:Y140" si="52">$P77-$O77</f>
        <v>0</v>
      </c>
      <c r="Z77" s="367">
        <f t="shared" ref="Z77:Z140" si="53">$P77-$L77</f>
        <v>0</v>
      </c>
      <c r="AA77" s="367">
        <f t="shared" ref="AA77:AA140" si="54">$Y77-$X77</f>
        <v>0</v>
      </c>
      <c r="AB77" s="369" t="str">
        <f t="shared" ref="AB77:AB140" si="55">IF($Z77&lt;0,"Atrasada",IF($Z77&gt;0,"Adiantada",IF($P77=0,"Não Iniciada",0)))</f>
        <v>Não Iniciada</v>
      </c>
      <c r="AC77" s="365"/>
      <c r="AD77" s="368">
        <v>1</v>
      </c>
      <c r="AE77" s="368">
        <f t="shared" si="31"/>
        <v>-1</v>
      </c>
      <c r="AF77" s="365"/>
      <c r="AG77" s="863">
        <f t="shared" si="20"/>
        <v>0</v>
      </c>
      <c r="AH77" s="864">
        <f t="shared" si="32"/>
        <v>0</v>
      </c>
      <c r="AI77" s="863">
        <f t="shared" si="21"/>
        <v>0</v>
      </c>
      <c r="AJ77" s="864">
        <f t="shared" si="33"/>
        <v>0</v>
      </c>
      <c r="AK77" s="365"/>
      <c r="AL77" s="865">
        <f t="shared" si="22"/>
        <v>0</v>
      </c>
      <c r="AM77" s="866">
        <f t="shared" si="34"/>
        <v>0</v>
      </c>
      <c r="AN77" s="866">
        <f t="shared" si="35"/>
        <v>0</v>
      </c>
      <c r="AO77" s="866">
        <f t="shared" si="36"/>
        <v>0</v>
      </c>
      <c r="AP77" s="867">
        <f t="shared" si="37"/>
        <v>0</v>
      </c>
      <c r="AQ77" s="591">
        <f t="shared" si="23"/>
        <v>7</v>
      </c>
      <c r="AR77" s="868">
        <f>IF(AND($L77=0,$P77=0)=TRUE,VLOOKUP($E77,Plan3!$A$16:$CT$487,$E$7+3,0)/100,0)</f>
        <v>0</v>
      </c>
      <c r="AS77" s="868">
        <f>IF(AND($L77=0,$P77=0)=TRUE,VLOOKUP($E77,Plan3!$A$16:$CT$487,$E$7+6,0)/100,0)</f>
        <v>0</v>
      </c>
      <c r="AT77" s="868">
        <f>IF(AND($L77=0,$P77=0)=TRUE,VLOOKUP($E77,Plan3!$A$16:$CT$487,$E$7+9,0)/100,0)</f>
        <v>0.57140000000000002</v>
      </c>
      <c r="AU77" s="868">
        <f>IF(AND($L77=0,$P77=0)=TRUE,VLOOKUP($E77,Plan3!$A$16:$CT$487,$E$7+12,0)/100,0)</f>
        <v>1</v>
      </c>
      <c r="AV77" s="841"/>
      <c r="AW77" s="869">
        <f t="shared" si="38"/>
        <v>6506.91</v>
      </c>
      <c r="AX77" s="870">
        <f t="shared" si="39"/>
        <v>1.1867975305139855E-2</v>
      </c>
      <c r="AY77" s="871">
        <f t="shared" si="40"/>
        <v>7</v>
      </c>
      <c r="AZ77" s="237" t="str">
        <f t="shared" ref="AZ77:AZ140" si="56">$E77</f>
        <v xml:space="preserve">05.003.001.004 </v>
      </c>
      <c r="BA77" s="365"/>
      <c r="BB77" s="365"/>
      <c r="BC77" s="365"/>
      <c r="BD77" s="365"/>
      <c r="BE77" s="365"/>
      <c r="BF77" s="365"/>
      <c r="BG77" s="365"/>
      <c r="BH77" s="365"/>
      <c r="BI77" s="365"/>
      <c r="BJ77" s="365"/>
      <c r="BK77" s="365"/>
      <c r="BL77" s="872">
        <f t="shared" ref="BL77:BL140" si="57">IF($D77=$D76,0,$D77)</f>
        <v>0</v>
      </c>
      <c r="BM77" s="873">
        <f t="shared" ref="BM77:BM140" si="58">IF($AC77="s",$R77,0)</f>
        <v>0</v>
      </c>
      <c r="BN77" s="874">
        <f t="shared" si="41"/>
        <v>0</v>
      </c>
      <c r="BO77" s="875">
        <f t="shared" ref="BO77:BO140" si="59">IF(OR($BN77=0,$BN77=0),0,$BL77)</f>
        <v>0</v>
      </c>
      <c r="BP77" s="875">
        <f t="shared" ref="BP77:BP140" si="60">IF($AC77&lt;&gt;"S",0,IF($N77-$R77&lt;0,0,$R77-$N77))</f>
        <v>0</v>
      </c>
      <c r="BQ77" s="876">
        <f t="shared" si="42"/>
        <v>0</v>
      </c>
      <c r="BR77" s="877">
        <f t="shared" si="43"/>
        <v>0</v>
      </c>
      <c r="BS77" s="875">
        <f t="shared" ref="BS77:BS140" si="61">IF(OR($BR77=0,$BR77=0),0,$BL77)</f>
        <v>0</v>
      </c>
      <c r="BT77" s="875">
        <f t="shared" ref="BT77:BT140" si="62">IF($AC77&lt;&gt;"S",0,IF($N77-$R77&gt;0,0,$R77-$N77))</f>
        <v>0</v>
      </c>
      <c r="BU77" s="878">
        <f t="shared" si="44"/>
        <v>0</v>
      </c>
      <c r="CE77" s="486">
        <v>66</v>
      </c>
    </row>
    <row r="78" spans="1:83" s="177" customFormat="1" ht="21.95" customHeight="1" x14ac:dyDescent="0.2">
      <c r="A78" s="237">
        <f t="shared" ref="A78:A141" si="63">AJ78</f>
        <v>0</v>
      </c>
      <c r="B78" s="237">
        <f t="shared" ref="B78:B141" si="64">AH78</f>
        <v>0</v>
      </c>
      <c r="C78" s="393">
        <f t="shared" si="49"/>
        <v>0</v>
      </c>
      <c r="D78" s="393" t="str">
        <f t="shared" si="50"/>
        <v xml:space="preserve">05 </v>
      </c>
      <c r="E78" s="959" t="s">
        <v>2228</v>
      </c>
      <c r="F78" s="959" t="s">
        <v>446</v>
      </c>
      <c r="G78" s="959" t="s">
        <v>94</v>
      </c>
      <c r="H78" s="970">
        <v>65.569999999999993</v>
      </c>
      <c r="I78" s="970">
        <v>68.444500000000005</v>
      </c>
      <c r="J78" s="964">
        <v>4487.91</v>
      </c>
      <c r="K78" s="367">
        <v>0</v>
      </c>
      <c r="L78" s="367">
        <f>IF($H78="",0,VLOOKUP($E78,Plan3!$A$16:$CT$384,$E$7,0)%)</f>
        <v>0</v>
      </c>
      <c r="M78" s="368">
        <f t="shared" si="24"/>
        <v>0</v>
      </c>
      <c r="N78" s="368">
        <f t="shared" si="25"/>
        <v>0</v>
      </c>
      <c r="O78" s="367">
        <v>0</v>
      </c>
      <c r="P78" s="367">
        <f>VLOOKUP($E78,Plan3!$A$492:$P$858,13,0)%</f>
        <v>0</v>
      </c>
      <c r="Q78" s="368">
        <f t="shared" si="26"/>
        <v>0</v>
      </c>
      <c r="R78" s="368">
        <f t="shared" si="27"/>
        <v>0</v>
      </c>
      <c r="S78" s="880">
        <v>4539.9697560000004</v>
      </c>
      <c r="T78" s="880">
        <f t="shared" si="28"/>
        <v>0</v>
      </c>
      <c r="U78" s="880">
        <f>IF($I78="",0,($S78-$T78)*(1+('Econômico Macro'!$R$12/100)))</f>
        <v>4618.5112327788011</v>
      </c>
      <c r="V78" s="880">
        <f t="shared" si="29"/>
        <v>4618.5112327788011</v>
      </c>
      <c r="W78" s="880">
        <f t="shared" si="30"/>
        <v>0</v>
      </c>
      <c r="X78" s="367">
        <f t="shared" si="51"/>
        <v>0</v>
      </c>
      <c r="Y78" s="367">
        <f t="shared" si="52"/>
        <v>0</v>
      </c>
      <c r="Z78" s="367">
        <f t="shared" si="53"/>
        <v>0</v>
      </c>
      <c r="AA78" s="367">
        <f t="shared" si="54"/>
        <v>0</v>
      </c>
      <c r="AB78" s="369" t="str">
        <f t="shared" si="55"/>
        <v>Não Iniciada</v>
      </c>
      <c r="AC78" s="365"/>
      <c r="AD78" s="368">
        <v>1</v>
      </c>
      <c r="AE78" s="368">
        <f t="shared" si="31"/>
        <v>-1</v>
      </c>
      <c r="AF78" s="365"/>
      <c r="AG78" s="863">
        <f t="shared" ref="AG78:AG141" si="65">IF($AB78="Não Iniciada",+$AM78,IF($Z78&lt;1,$AM78,0))</f>
        <v>0</v>
      </c>
      <c r="AH78" s="864">
        <f t="shared" si="32"/>
        <v>0</v>
      </c>
      <c r="AI78" s="863">
        <f t="shared" ref="AI78:AI141" si="66">IF($AB78="Não Iniciada",0,IF($AO78=0,0,IF($AO78=0,0,$AO78)))</f>
        <v>0</v>
      </c>
      <c r="AJ78" s="864">
        <f t="shared" si="33"/>
        <v>0</v>
      </c>
      <c r="AK78" s="365"/>
      <c r="AL78" s="865">
        <f t="shared" ref="AL78:AL141" si="67">$R78</f>
        <v>0</v>
      </c>
      <c r="AM78" s="866">
        <f t="shared" si="34"/>
        <v>0</v>
      </c>
      <c r="AN78" s="866">
        <f t="shared" si="35"/>
        <v>0</v>
      </c>
      <c r="AO78" s="866">
        <f t="shared" si="36"/>
        <v>0</v>
      </c>
      <c r="AP78" s="867">
        <f t="shared" si="37"/>
        <v>0</v>
      </c>
      <c r="AQ78" s="591">
        <f t="shared" ref="AQ78:AQ140" si="68">$AY78</f>
        <v>8</v>
      </c>
      <c r="AR78" s="868">
        <f>IF(AND($L78=0,$P78=0)=TRUE,VLOOKUP($E78,Plan3!$A$16:$CT$487,$E$7+3,0)/100,0)</f>
        <v>0</v>
      </c>
      <c r="AS78" s="868">
        <f>IF(AND($L78=0,$P78=0)=TRUE,VLOOKUP($E78,Plan3!$A$16:$CT$487,$E$7+6,0)/100,0)</f>
        <v>0</v>
      </c>
      <c r="AT78" s="868">
        <f>IF(AND($L78=0,$P78=0)=TRUE,VLOOKUP($E78,Plan3!$A$16:$CT$487,$E$7+9,0)/100,0)</f>
        <v>0.57140000000000002</v>
      </c>
      <c r="AU78" s="868">
        <f>IF(AND($L78=0,$P78=0)=TRUE,VLOOKUP($E78,Plan3!$A$16:$CT$487,$E$7+12,0)/100,0)</f>
        <v>1</v>
      </c>
      <c r="AV78" s="841"/>
      <c r="AW78" s="869">
        <f t="shared" si="38"/>
        <v>4487.91</v>
      </c>
      <c r="AX78" s="870">
        <f t="shared" si="39"/>
        <v>8.1855143304103185E-3</v>
      </c>
      <c r="AY78" s="871">
        <f t="shared" si="40"/>
        <v>8</v>
      </c>
      <c r="AZ78" s="237" t="str">
        <f t="shared" si="56"/>
        <v xml:space="preserve">05.003.001.005 </v>
      </c>
      <c r="BA78" s="365"/>
      <c r="BB78" s="365"/>
      <c r="BC78" s="365"/>
      <c r="BD78" s="365"/>
      <c r="BE78" s="365"/>
      <c r="BF78" s="365"/>
      <c r="BG78" s="365"/>
      <c r="BH78" s="365"/>
      <c r="BI78" s="365"/>
      <c r="BJ78" s="365"/>
      <c r="BK78" s="365"/>
      <c r="BL78" s="872">
        <f t="shared" si="57"/>
        <v>0</v>
      </c>
      <c r="BM78" s="873">
        <f t="shared" si="58"/>
        <v>0</v>
      </c>
      <c r="BN78" s="874">
        <f t="shared" si="41"/>
        <v>0</v>
      </c>
      <c r="BO78" s="875">
        <f t="shared" si="59"/>
        <v>0</v>
      </c>
      <c r="BP78" s="875">
        <f t="shared" si="60"/>
        <v>0</v>
      </c>
      <c r="BQ78" s="876">
        <f t="shared" si="42"/>
        <v>0</v>
      </c>
      <c r="BR78" s="877">
        <f t="shared" si="43"/>
        <v>0</v>
      </c>
      <c r="BS78" s="875">
        <f t="shared" si="61"/>
        <v>0</v>
      </c>
      <c r="BT78" s="875">
        <f t="shared" si="62"/>
        <v>0</v>
      </c>
      <c r="BU78" s="878">
        <f t="shared" si="44"/>
        <v>0</v>
      </c>
      <c r="CE78" s="486">
        <v>67</v>
      </c>
    </row>
    <row r="79" spans="1:83" s="177" customFormat="1" ht="21.95" customHeight="1" x14ac:dyDescent="0.2">
      <c r="A79" s="237">
        <f t="shared" si="63"/>
        <v>0</v>
      </c>
      <c r="B79" s="237">
        <f t="shared" si="64"/>
        <v>0</v>
      </c>
      <c r="C79" s="393" t="str">
        <f t="shared" si="49"/>
        <v xml:space="preserve">06 </v>
      </c>
      <c r="D79" s="393" t="str">
        <f t="shared" si="50"/>
        <v xml:space="preserve">06 </v>
      </c>
      <c r="E79" s="161" t="s">
        <v>105</v>
      </c>
      <c r="F79" s="161" t="s">
        <v>613</v>
      </c>
      <c r="G79" s="162"/>
      <c r="H79" s="162"/>
      <c r="I79" s="162"/>
      <c r="J79" s="163">
        <v>1069382.3799999999</v>
      </c>
      <c r="K79" s="164">
        <v>0</v>
      </c>
      <c r="L79" s="164">
        <f t="array" ref="L79">SUM(IF($D80:$D$379=$E79,$L80:$L$379*$J80:$J$379))/$J79</f>
        <v>0</v>
      </c>
      <c r="M79" s="163"/>
      <c r="N79" s="163">
        <f>$L79*$J79</f>
        <v>0</v>
      </c>
      <c r="O79" s="164">
        <v>0</v>
      </c>
      <c r="P79" s="164">
        <f t="array" ref="P79">SUM(IF($D80:$D$379=$E79,$P80:$P$379*$J80:$J$379))/$J79</f>
        <v>0</v>
      </c>
      <c r="Q79" s="163">
        <f>$P79*$H79</f>
        <v>0</v>
      </c>
      <c r="R79" s="163">
        <f>$P79*$J79</f>
        <v>0</v>
      </c>
      <c r="S79" s="163">
        <v>1081787.2156079998</v>
      </c>
      <c r="T79" s="163">
        <f>SUM(T80:T83)</f>
        <v>0</v>
      </c>
      <c r="U79" s="163"/>
      <c r="V79" s="163">
        <f t="shared" ref="V79:W79" si="69">SUM(V80:V83)</f>
        <v>1100502.1344380185</v>
      </c>
      <c r="W79" s="163">
        <f t="shared" si="69"/>
        <v>0</v>
      </c>
      <c r="X79" s="164">
        <f t="shared" si="51"/>
        <v>0</v>
      </c>
      <c r="Y79" s="164">
        <f t="shared" si="52"/>
        <v>0</v>
      </c>
      <c r="Z79" s="164">
        <f t="shared" si="53"/>
        <v>0</v>
      </c>
      <c r="AA79" s="164">
        <f t="shared" si="54"/>
        <v>0</v>
      </c>
      <c r="AB79" s="201" t="str">
        <f t="shared" si="55"/>
        <v>Não Iniciada</v>
      </c>
      <c r="AC79" s="155" t="s">
        <v>763</v>
      </c>
      <c r="AD79" s="689">
        <v>0</v>
      </c>
      <c r="AE79" s="835">
        <f>Q79-AD79</f>
        <v>0</v>
      </c>
      <c r="AF79" s="155"/>
      <c r="AG79" s="207"/>
      <c r="AH79" s="208"/>
      <c r="AI79" s="207"/>
      <c r="AJ79" s="208"/>
      <c r="AK79" s="155"/>
      <c r="AL79" s="212"/>
      <c r="AM79" s="209"/>
      <c r="AN79" s="209"/>
      <c r="AO79" s="209"/>
      <c r="AP79" s="213"/>
      <c r="AQ79" s="401"/>
      <c r="AR79" s="247"/>
      <c r="AS79" s="247"/>
      <c r="AT79" s="247"/>
      <c r="AU79" s="247"/>
      <c r="AV79" s="155"/>
      <c r="AW79" s="250"/>
      <c r="AX79" s="248"/>
      <c r="AY79" s="402"/>
      <c r="AZ79" s="237" t="str">
        <f t="shared" si="56"/>
        <v xml:space="preserve">06 </v>
      </c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666" t="str">
        <f t="shared" si="57"/>
        <v xml:space="preserve">06 </v>
      </c>
      <c r="BM79" s="667">
        <f t="shared" si="58"/>
        <v>0</v>
      </c>
      <c r="BN79" s="668">
        <f>IF($BQ79=0,0,RANK($BQ79,$BQ$12:$BQ$379))</f>
        <v>0</v>
      </c>
      <c r="BO79" s="669">
        <f t="shared" si="59"/>
        <v>0</v>
      </c>
      <c r="BP79" s="669">
        <f t="shared" si="60"/>
        <v>0</v>
      </c>
      <c r="BQ79" s="670">
        <f>IF($BP79=0,0,$BP79/$BP$380)</f>
        <v>0</v>
      </c>
      <c r="BR79" s="671">
        <f>IF($BU79=0,0,RANK($BU79,$BU$12:$BU$379))</f>
        <v>0</v>
      </c>
      <c r="BS79" s="669">
        <f t="shared" si="61"/>
        <v>0</v>
      </c>
      <c r="BT79" s="669">
        <f t="shared" si="62"/>
        <v>0</v>
      </c>
      <c r="BU79" s="672">
        <f>IF($BT79=0,0,$BT79/$BT$380)</f>
        <v>0</v>
      </c>
      <c r="CE79" s="486">
        <v>68</v>
      </c>
    </row>
    <row r="80" spans="1:83" s="177" customFormat="1" ht="21.95" customHeight="1" x14ac:dyDescent="0.2">
      <c r="A80" s="237">
        <f t="shared" si="63"/>
        <v>0</v>
      </c>
      <c r="B80" s="237">
        <f t="shared" si="64"/>
        <v>0</v>
      </c>
      <c r="C80" s="393">
        <f t="shared" si="49"/>
        <v>0</v>
      </c>
      <c r="D80" s="393" t="str">
        <f t="shared" si="50"/>
        <v xml:space="preserve">06 </v>
      </c>
      <c r="E80" s="959" t="s">
        <v>106</v>
      </c>
      <c r="F80" s="959" t="s">
        <v>460</v>
      </c>
      <c r="G80" s="959" t="s">
        <v>90</v>
      </c>
      <c r="H80" s="963">
        <v>7237.57</v>
      </c>
      <c r="I80" s="970">
        <v>60.5</v>
      </c>
      <c r="J80" s="972">
        <v>437872.99</v>
      </c>
      <c r="K80" s="367">
        <v>0</v>
      </c>
      <c r="L80" s="367">
        <f>IF($H80="",0,VLOOKUP($E80,Plan3!$A$16:$CT$384,$E$7,0)%)</f>
        <v>0</v>
      </c>
      <c r="M80" s="368">
        <f t="shared" ref="M80:M142" si="70">$L80*$H80</f>
        <v>0</v>
      </c>
      <c r="N80" s="368">
        <f t="shared" ref="N80:N142" si="71">$L80*$J80</f>
        <v>0</v>
      </c>
      <c r="O80" s="367">
        <v>0</v>
      </c>
      <c r="P80" s="367">
        <f>VLOOKUP($E80,Plan3!$A$492:$P$858,13,0)%</f>
        <v>0</v>
      </c>
      <c r="Q80" s="368">
        <f t="shared" ref="Q80:Q142" si="72">$P80*$H80</f>
        <v>0</v>
      </c>
      <c r="R80" s="368">
        <f t="shared" ref="R80:R142" si="73">$P80*$J80</f>
        <v>0</v>
      </c>
      <c r="S80" s="880">
        <v>442952.31668400002</v>
      </c>
      <c r="T80" s="880">
        <f t="shared" ref="T80:T142" si="74">$S80*$P80</f>
        <v>0</v>
      </c>
      <c r="U80" s="880">
        <f>IF($I80="",0,($S80-$T80)*(1+('Econômico Macro'!$R$12/100)))</f>
        <v>450615.39176263328</v>
      </c>
      <c r="V80" s="880">
        <f t="shared" ref="V80:V142" si="75">$U80+$T80</f>
        <v>450615.39176263328</v>
      </c>
      <c r="W80" s="880">
        <f t="shared" ref="W80:W142" si="76">V80*L80</f>
        <v>0</v>
      </c>
      <c r="X80" s="367">
        <f t="shared" si="51"/>
        <v>0</v>
      </c>
      <c r="Y80" s="367">
        <f t="shared" si="52"/>
        <v>0</v>
      </c>
      <c r="Z80" s="367">
        <f t="shared" si="53"/>
        <v>0</v>
      </c>
      <c r="AA80" s="367">
        <f t="shared" si="54"/>
        <v>0</v>
      </c>
      <c r="AB80" s="369" t="str">
        <f t="shared" si="55"/>
        <v>Não Iniciada</v>
      </c>
      <c r="AC80" s="365"/>
      <c r="AD80" s="368">
        <v>1</v>
      </c>
      <c r="AE80" s="368">
        <f t="shared" ref="AE80:AE142" si="77">Q80-AD80</f>
        <v>-1</v>
      </c>
      <c r="AF80" s="365"/>
      <c r="AG80" s="863">
        <f t="shared" si="65"/>
        <v>0</v>
      </c>
      <c r="AH80" s="864">
        <f t="shared" ref="AH80:AH142" si="78">IF($AN80=0,0,RANK($AN80,$AN$13:$AN$379))</f>
        <v>0</v>
      </c>
      <c r="AI80" s="863">
        <f t="shared" si="66"/>
        <v>0</v>
      </c>
      <c r="AJ80" s="864">
        <f t="shared" ref="AJ80:AJ142" si="79">IF($AP80=0,0,RANK($AP80,$AP$13:$AP$379))</f>
        <v>0</v>
      </c>
      <c r="AK80" s="365"/>
      <c r="AL80" s="865">
        <f t="shared" si="67"/>
        <v>0</v>
      </c>
      <c r="AM80" s="866">
        <f t="shared" ref="AM80:AM142" si="80">IF($H80="",0,IF(+$N80-$AL80&lt;0,0,+$AL80-$N80))</f>
        <v>0</v>
      </c>
      <c r="AN80" s="866">
        <f t="shared" ref="AN80:AN142" si="81">IF($AM80=0,0,$AM80/$AM$380)</f>
        <v>0</v>
      </c>
      <c r="AO80" s="866">
        <f t="shared" ref="AO80:AO142" si="82">IF($H80="",0,IF($Z80*1000&lt;1,0,IF(+$N80-$R80&gt;0,0,+$R80-$N80)))</f>
        <v>0</v>
      </c>
      <c r="AP80" s="867">
        <f t="shared" ref="AP80:AP142" si="83">IF($AO80=0,0,$AO80/$AO$380)</f>
        <v>0</v>
      </c>
      <c r="AQ80" s="591">
        <f t="shared" si="68"/>
        <v>1</v>
      </c>
      <c r="AR80" s="868">
        <f>IF(AND($L80=0,$P80=0)=TRUE,VLOOKUP($E80,Plan3!$A$16:$CT$487,$E$7+3,0)/100,0)</f>
        <v>0</v>
      </c>
      <c r="AS80" s="868">
        <f>IF(AND($L80=0,$P80=0)=TRUE,VLOOKUP($E80,Plan3!$A$16:$CT$487,$E$7+6,0)/100,0)</f>
        <v>0.17859999999999998</v>
      </c>
      <c r="AT80" s="868">
        <f>IF(AND($L80=0,$P80=0)=TRUE,VLOOKUP($E80,Plan3!$A$16:$CT$487,$E$7+9,0)/100,0)</f>
        <v>0.32619999999999999</v>
      </c>
      <c r="AU80" s="868">
        <f>IF(AND($L80=0,$P80=0)=TRUE,VLOOKUP($E80,Plan3!$A$16:$CT$487,$E$7+12,0)/100,0)</f>
        <v>0.46450000000000002</v>
      </c>
      <c r="AV80" s="841"/>
      <c r="AW80" s="869">
        <f t="shared" ref="AW80:AW142" si="84">IF(MAX($AR80:$AU80)=0,0,MAX($AR80:$AU80)*$J80)</f>
        <v>203392.00385500002</v>
      </c>
      <c r="AX80" s="870">
        <f t="shared" ref="AX80:AX142" si="85">IF($AW80=0,0,$AW80/$AW$380)</f>
        <v>0.37096736838438682</v>
      </c>
      <c r="AY80" s="871">
        <f t="shared" ref="AY80:AY142" si="86">IF($AX80=0,0,RANK($AX80,$AX$14:$AX$379))</f>
        <v>1</v>
      </c>
      <c r="AZ80" s="237" t="str">
        <f t="shared" si="56"/>
        <v xml:space="preserve">06.000.000.001 </v>
      </c>
      <c r="BA80" s="365"/>
      <c r="BB80" s="365"/>
      <c r="BC80" s="365"/>
      <c r="BD80" s="365"/>
      <c r="BE80" s="365"/>
      <c r="BF80" s="365"/>
      <c r="BG80" s="365"/>
      <c r="BH80" s="365"/>
      <c r="BI80" s="365"/>
      <c r="BJ80" s="365"/>
      <c r="BK80" s="365"/>
      <c r="BL80" s="872">
        <f t="shared" si="57"/>
        <v>0</v>
      </c>
      <c r="BM80" s="873">
        <f t="shared" si="58"/>
        <v>0</v>
      </c>
      <c r="BN80" s="874">
        <f t="shared" ref="BN80:BN142" si="87">IF($BQ80=0,0,RANK($BQ80,$BQ$12:$BQ$379))</f>
        <v>0</v>
      </c>
      <c r="BO80" s="875">
        <f t="shared" si="59"/>
        <v>0</v>
      </c>
      <c r="BP80" s="875">
        <f t="shared" si="60"/>
        <v>0</v>
      </c>
      <c r="BQ80" s="876">
        <f t="shared" ref="BQ80:BQ142" si="88">IF($BP80=0,0,$BP80/$BP$380)</f>
        <v>0</v>
      </c>
      <c r="BR80" s="877">
        <f t="shared" ref="BR80:BR142" si="89">IF($BU80=0,0,RANK($BU80,$BU$12:$BU$379))</f>
        <v>0</v>
      </c>
      <c r="BS80" s="875">
        <f t="shared" si="61"/>
        <v>0</v>
      </c>
      <c r="BT80" s="875">
        <f t="shared" si="62"/>
        <v>0</v>
      </c>
      <c r="BU80" s="878">
        <f t="shared" ref="BU80:BU142" si="90">IF($BT80=0,0,$BT80/$BT$380)</f>
        <v>0</v>
      </c>
      <c r="CE80" s="486">
        <v>69</v>
      </c>
    </row>
    <row r="81" spans="1:83" s="177" customFormat="1" ht="21.95" customHeight="1" x14ac:dyDescent="0.2">
      <c r="A81" s="237">
        <f t="shared" si="63"/>
        <v>0</v>
      </c>
      <c r="B81" s="237">
        <f t="shared" si="64"/>
        <v>0</v>
      </c>
      <c r="C81" s="393">
        <f t="shared" si="49"/>
        <v>0</v>
      </c>
      <c r="D81" s="393" t="str">
        <f t="shared" si="50"/>
        <v xml:space="preserve">06 </v>
      </c>
      <c r="E81" s="959" t="s">
        <v>107</v>
      </c>
      <c r="F81" s="959" t="s">
        <v>771</v>
      </c>
      <c r="G81" s="959" t="s">
        <v>101</v>
      </c>
      <c r="H81" s="961">
        <v>64466.71</v>
      </c>
      <c r="I81" s="960">
        <v>6.0964</v>
      </c>
      <c r="J81" s="972">
        <v>393014.85</v>
      </c>
      <c r="K81" s="367">
        <v>0</v>
      </c>
      <c r="L81" s="367">
        <f>IF($H81="",0,VLOOKUP($E81,Plan3!$A$16:$CT$384,$E$7,0)%)</f>
        <v>0</v>
      </c>
      <c r="M81" s="368">
        <f t="shared" si="70"/>
        <v>0</v>
      </c>
      <c r="N81" s="368">
        <f t="shared" si="71"/>
        <v>0</v>
      </c>
      <c r="O81" s="367">
        <v>0</v>
      </c>
      <c r="P81" s="367">
        <f>VLOOKUP($E81,Plan3!$A$492:$P$858,13,0)%</f>
        <v>0</v>
      </c>
      <c r="Q81" s="368">
        <f t="shared" si="72"/>
        <v>0</v>
      </c>
      <c r="R81" s="368">
        <f t="shared" si="73"/>
        <v>0</v>
      </c>
      <c r="S81" s="880">
        <v>397573.82225999999</v>
      </c>
      <c r="T81" s="880">
        <f t="shared" si="74"/>
        <v>0</v>
      </c>
      <c r="U81" s="880">
        <f>IF($I81="",0,($S81-$T81)*(1+('Econômico Macro'!$R$12/100)))</f>
        <v>404451.84938509803</v>
      </c>
      <c r="V81" s="880">
        <f t="shared" si="75"/>
        <v>404451.84938509803</v>
      </c>
      <c r="W81" s="880">
        <f t="shared" si="76"/>
        <v>0</v>
      </c>
      <c r="X81" s="367">
        <f t="shared" si="51"/>
        <v>0</v>
      </c>
      <c r="Y81" s="367">
        <f t="shared" si="52"/>
        <v>0</v>
      </c>
      <c r="Z81" s="367">
        <f t="shared" si="53"/>
        <v>0</v>
      </c>
      <c r="AA81" s="367">
        <f t="shared" si="54"/>
        <v>0</v>
      </c>
      <c r="AB81" s="369" t="str">
        <f t="shared" si="55"/>
        <v>Não Iniciada</v>
      </c>
      <c r="AC81" s="365"/>
      <c r="AD81" s="368">
        <v>1</v>
      </c>
      <c r="AE81" s="368">
        <f t="shared" si="77"/>
        <v>-1</v>
      </c>
      <c r="AF81" s="365"/>
      <c r="AG81" s="863">
        <f t="shared" si="65"/>
        <v>0</v>
      </c>
      <c r="AH81" s="864">
        <f t="shared" si="78"/>
        <v>0</v>
      </c>
      <c r="AI81" s="863">
        <f t="shared" si="66"/>
        <v>0</v>
      </c>
      <c r="AJ81" s="864">
        <f t="shared" si="79"/>
        <v>0</v>
      </c>
      <c r="AK81" s="365"/>
      <c r="AL81" s="865">
        <f t="shared" si="67"/>
        <v>0</v>
      </c>
      <c r="AM81" s="866">
        <f t="shared" si="80"/>
        <v>0</v>
      </c>
      <c r="AN81" s="866">
        <f t="shared" si="81"/>
        <v>0</v>
      </c>
      <c r="AO81" s="866">
        <f t="shared" si="82"/>
        <v>0</v>
      </c>
      <c r="AP81" s="867">
        <f t="shared" si="83"/>
        <v>0</v>
      </c>
      <c r="AQ81" s="591">
        <f t="shared" si="68"/>
        <v>2</v>
      </c>
      <c r="AR81" s="868">
        <f>IF(AND($L81=0,$P81=0)=TRUE,VLOOKUP($E81,Plan3!$A$16:$CT$487,$E$7+3,0)/100,0)</f>
        <v>0</v>
      </c>
      <c r="AS81" s="868">
        <f>IF(AND($L81=0,$P81=0)=TRUE,VLOOKUP($E81,Plan3!$A$16:$CT$487,$E$7+6,0)/100,0)</f>
        <v>0.16670000000000001</v>
      </c>
      <c r="AT81" s="868">
        <f>IF(AND($L81=0,$P81=0)=TRUE,VLOOKUP($E81,Plan3!$A$16:$CT$487,$E$7+9,0)/100,0)</f>
        <v>0.30740000000000001</v>
      </c>
      <c r="AU81" s="868">
        <f>IF(AND($L81=0,$P81=0)=TRUE,VLOOKUP($E81,Plan3!$A$16:$CT$487,$E$7+12,0)/100,0)</f>
        <v>0.47700000000000004</v>
      </c>
      <c r="AV81" s="841"/>
      <c r="AW81" s="869">
        <f t="shared" si="84"/>
        <v>187468.08345000001</v>
      </c>
      <c r="AX81" s="870">
        <f t="shared" si="85"/>
        <v>0.34192367573648591</v>
      </c>
      <c r="AY81" s="871">
        <f t="shared" si="86"/>
        <v>2</v>
      </c>
      <c r="AZ81" s="237" t="str">
        <f t="shared" si="56"/>
        <v xml:space="preserve">06.000.000.002 </v>
      </c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872">
        <f t="shared" si="57"/>
        <v>0</v>
      </c>
      <c r="BM81" s="873">
        <f t="shared" si="58"/>
        <v>0</v>
      </c>
      <c r="BN81" s="874">
        <f t="shared" si="87"/>
        <v>0</v>
      </c>
      <c r="BO81" s="875">
        <f t="shared" si="59"/>
        <v>0</v>
      </c>
      <c r="BP81" s="875">
        <f t="shared" si="60"/>
        <v>0</v>
      </c>
      <c r="BQ81" s="876">
        <f t="shared" si="88"/>
        <v>0</v>
      </c>
      <c r="BR81" s="877">
        <f t="shared" si="89"/>
        <v>0</v>
      </c>
      <c r="BS81" s="875">
        <f t="shared" si="61"/>
        <v>0</v>
      </c>
      <c r="BT81" s="875">
        <f t="shared" si="62"/>
        <v>0</v>
      </c>
      <c r="BU81" s="878">
        <f t="shared" si="90"/>
        <v>0</v>
      </c>
      <c r="CE81" s="486">
        <v>70</v>
      </c>
    </row>
    <row r="82" spans="1:83" s="177" customFormat="1" ht="21.95" customHeight="1" x14ac:dyDescent="0.2">
      <c r="A82" s="237">
        <f t="shared" si="63"/>
        <v>0</v>
      </c>
      <c r="B82" s="237">
        <f t="shared" si="64"/>
        <v>0</v>
      </c>
      <c r="C82" s="393">
        <f t="shared" si="49"/>
        <v>0</v>
      </c>
      <c r="D82" s="393" t="str">
        <f t="shared" si="50"/>
        <v xml:space="preserve">06 </v>
      </c>
      <c r="E82" s="959" t="s">
        <v>614</v>
      </c>
      <c r="F82" s="959" t="s">
        <v>1395</v>
      </c>
      <c r="G82" s="959" t="s">
        <v>94</v>
      </c>
      <c r="H82" s="965">
        <v>805.83</v>
      </c>
      <c r="I82" s="965">
        <v>272.8</v>
      </c>
      <c r="J82" s="972">
        <v>219830.42</v>
      </c>
      <c r="K82" s="367">
        <v>0</v>
      </c>
      <c r="L82" s="367">
        <f>IF($H82="",0,VLOOKUP($E82,Plan3!$A$16:$CT$384,$E$7,0)%)</f>
        <v>0</v>
      </c>
      <c r="M82" s="368">
        <f t="shared" si="70"/>
        <v>0</v>
      </c>
      <c r="N82" s="368">
        <f t="shared" si="71"/>
        <v>0</v>
      </c>
      <c r="O82" s="367">
        <v>0</v>
      </c>
      <c r="P82" s="367">
        <f>VLOOKUP($E82,Plan3!$A$492:$P$858,13,0)%</f>
        <v>0</v>
      </c>
      <c r="Q82" s="368">
        <f t="shared" si="72"/>
        <v>0</v>
      </c>
      <c r="R82" s="368">
        <f t="shared" si="73"/>
        <v>0</v>
      </c>
      <c r="S82" s="880">
        <v>222380.45287200002</v>
      </c>
      <c r="T82" s="880">
        <f t="shared" si="74"/>
        <v>0</v>
      </c>
      <c r="U82" s="880">
        <f>IF($I82="",0,($S82-$T82)*(1+('Econômico Macro'!$R$12/100)))</f>
        <v>226227.63470668564</v>
      </c>
      <c r="V82" s="880">
        <f t="shared" si="75"/>
        <v>226227.63470668564</v>
      </c>
      <c r="W82" s="880">
        <f t="shared" si="76"/>
        <v>0</v>
      </c>
      <c r="X82" s="367">
        <f t="shared" si="51"/>
        <v>0</v>
      </c>
      <c r="Y82" s="367">
        <f t="shared" si="52"/>
        <v>0</v>
      </c>
      <c r="Z82" s="367">
        <f t="shared" si="53"/>
        <v>0</v>
      </c>
      <c r="AA82" s="367">
        <f t="shared" si="54"/>
        <v>0</v>
      </c>
      <c r="AB82" s="369" t="str">
        <f t="shared" si="55"/>
        <v>Não Iniciada</v>
      </c>
      <c r="AC82" s="365"/>
      <c r="AD82" s="368">
        <v>1</v>
      </c>
      <c r="AE82" s="368">
        <f t="shared" si="77"/>
        <v>-1</v>
      </c>
      <c r="AF82" s="365"/>
      <c r="AG82" s="863">
        <f t="shared" si="65"/>
        <v>0</v>
      </c>
      <c r="AH82" s="864">
        <f t="shared" si="78"/>
        <v>0</v>
      </c>
      <c r="AI82" s="863">
        <f t="shared" si="66"/>
        <v>0</v>
      </c>
      <c r="AJ82" s="864">
        <f t="shared" si="79"/>
        <v>0</v>
      </c>
      <c r="AK82" s="365"/>
      <c r="AL82" s="865">
        <f t="shared" si="67"/>
        <v>0</v>
      </c>
      <c r="AM82" s="866">
        <f t="shared" si="80"/>
        <v>0</v>
      </c>
      <c r="AN82" s="866">
        <f t="shared" si="81"/>
        <v>0</v>
      </c>
      <c r="AO82" s="866">
        <f t="shared" si="82"/>
        <v>0</v>
      </c>
      <c r="AP82" s="867">
        <f t="shared" si="83"/>
        <v>0</v>
      </c>
      <c r="AQ82" s="591">
        <f t="shared" si="68"/>
        <v>3</v>
      </c>
      <c r="AR82" s="868">
        <f>IF(AND($L82=0,$P82=0)=TRUE,VLOOKUP($E82,Plan3!$A$16:$CT$487,$E$7+3,0)/100,0)</f>
        <v>0</v>
      </c>
      <c r="AS82" s="868">
        <f>IF(AND($L82=0,$P82=0)=TRUE,VLOOKUP($E82,Plan3!$A$16:$CT$487,$E$7+6,0)/100,0)</f>
        <v>0.16670000000000001</v>
      </c>
      <c r="AT82" s="868">
        <f>IF(AND($L82=0,$P82=0)=TRUE,VLOOKUP($E82,Plan3!$A$16:$CT$487,$E$7+9,0)/100,0)</f>
        <v>0.30740000000000001</v>
      </c>
      <c r="AU82" s="868">
        <f>IF(AND($L82=0,$P82=0)=TRUE,VLOOKUP($E82,Plan3!$A$16:$CT$487,$E$7+12,0)/100,0)</f>
        <v>0.47700000000000004</v>
      </c>
      <c r="AV82" s="841"/>
      <c r="AW82" s="869">
        <f t="shared" si="84"/>
        <v>104859.11034000001</v>
      </c>
      <c r="AX82" s="870">
        <f t="shared" si="85"/>
        <v>0.19125288839619042</v>
      </c>
      <c r="AY82" s="871">
        <f t="shared" si="86"/>
        <v>3</v>
      </c>
      <c r="AZ82" s="237" t="str">
        <f t="shared" si="56"/>
        <v xml:space="preserve">06.000.000.003 </v>
      </c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872">
        <f t="shared" si="57"/>
        <v>0</v>
      </c>
      <c r="BM82" s="873">
        <f t="shared" si="58"/>
        <v>0</v>
      </c>
      <c r="BN82" s="874">
        <f t="shared" si="87"/>
        <v>0</v>
      </c>
      <c r="BO82" s="875">
        <f t="shared" si="59"/>
        <v>0</v>
      </c>
      <c r="BP82" s="875">
        <f t="shared" si="60"/>
        <v>0</v>
      </c>
      <c r="BQ82" s="876">
        <f t="shared" si="88"/>
        <v>0</v>
      </c>
      <c r="BR82" s="877">
        <f t="shared" si="89"/>
        <v>0</v>
      </c>
      <c r="BS82" s="875">
        <f t="shared" si="61"/>
        <v>0</v>
      </c>
      <c r="BT82" s="875">
        <f t="shared" si="62"/>
        <v>0</v>
      </c>
      <c r="BU82" s="878">
        <f t="shared" si="90"/>
        <v>0</v>
      </c>
      <c r="CE82" s="486">
        <v>71</v>
      </c>
    </row>
    <row r="83" spans="1:83" s="177" customFormat="1" ht="21.95" customHeight="1" x14ac:dyDescent="0.2">
      <c r="A83" s="237">
        <f t="shared" si="63"/>
        <v>0</v>
      </c>
      <c r="B83" s="237">
        <f t="shared" si="64"/>
        <v>0</v>
      </c>
      <c r="C83" s="393">
        <f t="shared" si="49"/>
        <v>0</v>
      </c>
      <c r="D83" s="393" t="str">
        <f t="shared" si="50"/>
        <v xml:space="preserve">06 </v>
      </c>
      <c r="E83" s="959" t="s">
        <v>615</v>
      </c>
      <c r="F83" s="959" t="s">
        <v>459</v>
      </c>
      <c r="G83" s="959" t="s">
        <v>90</v>
      </c>
      <c r="H83" s="963">
        <v>2934.61</v>
      </c>
      <c r="I83" s="960">
        <v>6.36</v>
      </c>
      <c r="J83" s="962">
        <v>18664.12</v>
      </c>
      <c r="K83" s="367">
        <v>0</v>
      </c>
      <c r="L83" s="367">
        <f>IF($H83="",0,VLOOKUP($E83,Plan3!$A$16:$CT$384,$E$7,0)%)</f>
        <v>0</v>
      </c>
      <c r="M83" s="368">
        <f t="shared" si="70"/>
        <v>0</v>
      </c>
      <c r="N83" s="368">
        <f t="shared" si="71"/>
        <v>0</v>
      </c>
      <c r="O83" s="367">
        <v>0</v>
      </c>
      <c r="P83" s="367">
        <f>VLOOKUP($E83,Plan3!$A$492:$P$858,13,0)%</f>
        <v>0</v>
      </c>
      <c r="Q83" s="368">
        <f t="shared" si="72"/>
        <v>0</v>
      </c>
      <c r="R83" s="368">
        <f t="shared" si="73"/>
        <v>0</v>
      </c>
      <c r="S83" s="880">
        <v>18880.623791999999</v>
      </c>
      <c r="T83" s="880">
        <f t="shared" si="74"/>
        <v>0</v>
      </c>
      <c r="U83" s="880">
        <f>IF($I83="",0,($S83-$T83)*(1+('Econômico Macro'!$R$12/100)))</f>
        <v>19207.258583601601</v>
      </c>
      <c r="V83" s="880">
        <f t="shared" si="75"/>
        <v>19207.258583601601</v>
      </c>
      <c r="W83" s="880">
        <f t="shared" si="76"/>
        <v>0</v>
      </c>
      <c r="X83" s="367">
        <f t="shared" si="51"/>
        <v>0</v>
      </c>
      <c r="Y83" s="367">
        <f t="shared" si="52"/>
        <v>0</v>
      </c>
      <c r="Z83" s="367">
        <f t="shared" si="53"/>
        <v>0</v>
      </c>
      <c r="AA83" s="367">
        <f t="shared" si="54"/>
        <v>0</v>
      </c>
      <c r="AB83" s="369" t="str">
        <f t="shared" si="55"/>
        <v>Não Iniciada</v>
      </c>
      <c r="AC83" s="365"/>
      <c r="AD83" s="368">
        <v>1</v>
      </c>
      <c r="AE83" s="368">
        <f t="shared" si="77"/>
        <v>-1</v>
      </c>
      <c r="AF83" s="365"/>
      <c r="AG83" s="863">
        <f t="shared" si="65"/>
        <v>0</v>
      </c>
      <c r="AH83" s="864">
        <f t="shared" si="78"/>
        <v>0</v>
      </c>
      <c r="AI83" s="863">
        <f t="shared" si="66"/>
        <v>0</v>
      </c>
      <c r="AJ83" s="864">
        <f t="shared" si="79"/>
        <v>0</v>
      </c>
      <c r="AK83" s="365"/>
      <c r="AL83" s="865">
        <f t="shared" si="67"/>
        <v>0</v>
      </c>
      <c r="AM83" s="866">
        <f t="shared" si="80"/>
        <v>0</v>
      </c>
      <c r="AN83" s="866">
        <f t="shared" si="81"/>
        <v>0</v>
      </c>
      <c r="AO83" s="866">
        <f t="shared" si="82"/>
        <v>0</v>
      </c>
      <c r="AP83" s="867">
        <f t="shared" si="83"/>
        <v>0</v>
      </c>
      <c r="AQ83" s="591">
        <f t="shared" si="68"/>
        <v>6</v>
      </c>
      <c r="AR83" s="868">
        <f>IF(AND($L83=0,$P83=0)=TRUE,VLOOKUP($E83,Plan3!$A$16:$CT$487,$E$7+3,0)/100,0)</f>
        <v>0</v>
      </c>
      <c r="AS83" s="868">
        <f>IF(AND($L83=0,$P83=0)=TRUE,VLOOKUP($E83,Plan3!$A$16:$CT$487,$E$7+6,0)/100,0)</f>
        <v>0.15090000000000001</v>
      </c>
      <c r="AT83" s="868">
        <f>IF(AND($L83=0,$P83=0)=TRUE,VLOOKUP($E83,Plan3!$A$16:$CT$487,$E$7+9,0)/100,0)</f>
        <v>0.23440000000000003</v>
      </c>
      <c r="AU83" s="868">
        <f>IF(AND($L83=0,$P83=0)=TRUE,VLOOKUP($E83,Plan3!$A$16:$CT$487,$E$7+12,0)/100,0)</f>
        <v>0.35909999999999997</v>
      </c>
      <c r="AV83" s="841"/>
      <c r="AW83" s="869">
        <f t="shared" si="84"/>
        <v>6702.2854919999991</v>
      </c>
      <c r="AX83" s="870">
        <f t="shared" si="85"/>
        <v>1.2224321330255547E-2</v>
      </c>
      <c r="AY83" s="871">
        <f t="shared" si="86"/>
        <v>6</v>
      </c>
      <c r="AZ83" s="237" t="str">
        <f t="shared" si="56"/>
        <v xml:space="preserve">06.000.000.004 </v>
      </c>
      <c r="BA83" s="365"/>
      <c r="BB83" s="365"/>
      <c r="BC83" s="365"/>
      <c r="BD83" s="365"/>
      <c r="BE83" s="365"/>
      <c r="BF83" s="365"/>
      <c r="BG83" s="365"/>
      <c r="BH83" s="365"/>
      <c r="BI83" s="365"/>
      <c r="BJ83" s="365"/>
      <c r="BK83" s="365"/>
      <c r="BL83" s="872">
        <f t="shared" si="57"/>
        <v>0</v>
      </c>
      <c r="BM83" s="873">
        <f t="shared" si="58"/>
        <v>0</v>
      </c>
      <c r="BN83" s="874">
        <f t="shared" si="87"/>
        <v>0</v>
      </c>
      <c r="BO83" s="875">
        <f t="shared" si="59"/>
        <v>0</v>
      </c>
      <c r="BP83" s="875">
        <f t="shared" si="60"/>
        <v>0</v>
      </c>
      <c r="BQ83" s="876">
        <f t="shared" si="88"/>
        <v>0</v>
      </c>
      <c r="BR83" s="877">
        <f t="shared" si="89"/>
        <v>0</v>
      </c>
      <c r="BS83" s="875">
        <f t="shared" si="61"/>
        <v>0</v>
      </c>
      <c r="BT83" s="875">
        <f t="shared" si="62"/>
        <v>0</v>
      </c>
      <c r="BU83" s="878">
        <f t="shared" si="90"/>
        <v>0</v>
      </c>
      <c r="CE83" s="486">
        <v>72</v>
      </c>
    </row>
    <row r="84" spans="1:83" s="177" customFormat="1" ht="21.95" customHeight="1" x14ac:dyDescent="0.2">
      <c r="A84" s="237">
        <f t="shared" si="63"/>
        <v>0</v>
      </c>
      <c r="B84" s="237">
        <f t="shared" si="64"/>
        <v>0</v>
      </c>
      <c r="C84" s="393" t="str">
        <f t="shared" si="49"/>
        <v xml:space="preserve">07 </v>
      </c>
      <c r="D84" s="393" t="str">
        <f t="shared" si="50"/>
        <v xml:space="preserve">07 </v>
      </c>
      <c r="E84" s="161" t="s">
        <v>108</v>
      </c>
      <c r="F84" s="161" t="s">
        <v>616</v>
      </c>
      <c r="G84" s="162"/>
      <c r="H84" s="162"/>
      <c r="I84" s="162"/>
      <c r="J84" s="163">
        <v>217000.26</v>
      </c>
      <c r="K84" s="164">
        <v>0</v>
      </c>
      <c r="L84" s="164">
        <f t="array" ref="L84">SUM(IF($D85:$D$379=$E84,$L85:$L$379*$J85:$J$379))/$J84</f>
        <v>0</v>
      </c>
      <c r="M84" s="163"/>
      <c r="N84" s="163">
        <f>$L84*$J84</f>
        <v>0</v>
      </c>
      <c r="O84" s="164">
        <v>0</v>
      </c>
      <c r="P84" s="164">
        <f t="array" ref="P84">SUM(IF($D85:$D$379=$E84,$P85:$P$379*$J85:$J$379))/$J84</f>
        <v>0</v>
      </c>
      <c r="Q84" s="163">
        <f>$P84*$H84</f>
        <v>0</v>
      </c>
      <c r="R84" s="163">
        <f>$P84*$J84</f>
        <v>0</v>
      </c>
      <c r="S84" s="163">
        <v>219517.46301599999</v>
      </c>
      <c r="T84" s="163">
        <f>SUM(T85:T103)</f>
        <v>0</v>
      </c>
      <c r="U84" s="163"/>
      <c r="V84" s="163">
        <f t="shared" ref="V84:W84" si="91">SUM(V85:V103)</f>
        <v>223315.11512617685</v>
      </c>
      <c r="W84" s="163">
        <f t="shared" si="91"/>
        <v>0</v>
      </c>
      <c r="X84" s="164">
        <f t="shared" si="51"/>
        <v>0</v>
      </c>
      <c r="Y84" s="164">
        <f t="shared" si="52"/>
        <v>0</v>
      </c>
      <c r="Z84" s="164">
        <f t="shared" si="53"/>
        <v>0</v>
      </c>
      <c r="AA84" s="164">
        <f t="shared" si="54"/>
        <v>0</v>
      </c>
      <c r="AB84" s="201" t="str">
        <f t="shared" si="55"/>
        <v>Não Iniciada</v>
      </c>
      <c r="AC84" s="155" t="s">
        <v>763</v>
      </c>
      <c r="AD84" s="689">
        <v>0</v>
      </c>
      <c r="AE84" s="835">
        <f>Q84-AD84</f>
        <v>0</v>
      </c>
      <c r="AF84" s="155"/>
      <c r="AG84" s="207"/>
      <c r="AH84" s="208"/>
      <c r="AI84" s="207"/>
      <c r="AJ84" s="208"/>
      <c r="AK84" s="155"/>
      <c r="AL84" s="212"/>
      <c r="AM84" s="209"/>
      <c r="AN84" s="209"/>
      <c r="AO84" s="209"/>
      <c r="AP84" s="213"/>
      <c r="AQ84" s="401"/>
      <c r="AR84" s="247"/>
      <c r="AS84" s="247"/>
      <c r="AT84" s="247"/>
      <c r="AU84" s="247"/>
      <c r="AV84" s="155"/>
      <c r="AW84" s="250"/>
      <c r="AX84" s="248"/>
      <c r="AY84" s="402"/>
      <c r="AZ84" s="237" t="str">
        <f t="shared" si="56"/>
        <v xml:space="preserve">07 </v>
      </c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666" t="str">
        <f t="shared" si="57"/>
        <v xml:space="preserve">07 </v>
      </c>
      <c r="BM84" s="667">
        <f t="shared" si="58"/>
        <v>0</v>
      </c>
      <c r="BN84" s="668">
        <f>IF($BQ84=0,0,RANK($BQ84,$BQ$12:$BQ$379))</f>
        <v>0</v>
      </c>
      <c r="BO84" s="669">
        <f t="shared" si="59"/>
        <v>0</v>
      </c>
      <c r="BP84" s="669">
        <f t="shared" si="60"/>
        <v>0</v>
      </c>
      <c r="BQ84" s="670">
        <f>IF($BP84=0,0,$BP84/$BP$380)</f>
        <v>0</v>
      </c>
      <c r="BR84" s="671">
        <f>IF($BU84=0,0,RANK($BU84,$BU$12:$BU$379))</f>
        <v>0</v>
      </c>
      <c r="BS84" s="669">
        <f t="shared" si="61"/>
        <v>0</v>
      </c>
      <c r="BT84" s="669">
        <f t="shared" si="62"/>
        <v>0</v>
      </c>
      <c r="BU84" s="672">
        <f>IF($BT84=0,0,$BT84/$BT$380)</f>
        <v>0</v>
      </c>
      <c r="CE84" s="486">
        <v>73</v>
      </c>
    </row>
    <row r="85" spans="1:83" s="177" customFormat="1" ht="21.95" customHeight="1" x14ac:dyDescent="0.2">
      <c r="A85" s="237">
        <f t="shared" si="63"/>
        <v>0</v>
      </c>
      <c r="B85" s="237">
        <f t="shared" si="64"/>
        <v>0</v>
      </c>
      <c r="C85" s="393">
        <f t="shared" si="49"/>
        <v>0</v>
      </c>
      <c r="D85" s="393" t="str">
        <f t="shared" si="50"/>
        <v xml:space="preserve">07 </v>
      </c>
      <c r="E85" s="967" t="s">
        <v>617</v>
      </c>
      <c r="F85" s="967" t="s">
        <v>618</v>
      </c>
      <c r="G85" s="967"/>
      <c r="H85" s="968"/>
      <c r="I85" s="968"/>
      <c r="J85" s="971">
        <v>131453.79999999999</v>
      </c>
      <c r="K85" s="367">
        <v>0</v>
      </c>
      <c r="L85" s="367">
        <f>IF($H85="",0,VLOOKUP($E85,Plan3!$A$16:$CT$384,$E$7,0)%)</f>
        <v>0</v>
      </c>
      <c r="M85" s="368">
        <f t="shared" si="70"/>
        <v>0</v>
      </c>
      <c r="N85" s="368">
        <f t="shared" si="71"/>
        <v>0</v>
      </c>
      <c r="O85" s="367">
        <v>0</v>
      </c>
      <c r="P85" s="367">
        <f>VLOOKUP($E85,Plan3!$A$492:$P$858,13,0)%</f>
        <v>0</v>
      </c>
      <c r="Q85" s="368">
        <f t="shared" si="72"/>
        <v>0</v>
      </c>
      <c r="R85" s="368">
        <f t="shared" si="73"/>
        <v>0</v>
      </c>
      <c r="S85" s="880">
        <v>0</v>
      </c>
      <c r="T85" s="880">
        <f t="shared" si="74"/>
        <v>0</v>
      </c>
      <c r="U85" s="880">
        <f>IF($I85="",0,($S85-$T85)*(1+('Econômico Macro'!$R$12/100)))</f>
        <v>0</v>
      </c>
      <c r="V85" s="880">
        <f t="shared" si="75"/>
        <v>0</v>
      </c>
      <c r="W85" s="880">
        <f t="shared" si="76"/>
        <v>0</v>
      </c>
      <c r="X85" s="367">
        <f t="shared" si="51"/>
        <v>0</v>
      </c>
      <c r="Y85" s="367">
        <f t="shared" si="52"/>
        <v>0</v>
      </c>
      <c r="Z85" s="367">
        <f t="shared" si="53"/>
        <v>0</v>
      </c>
      <c r="AA85" s="367">
        <f t="shared" si="54"/>
        <v>0</v>
      </c>
      <c r="AB85" s="369" t="str">
        <f t="shared" si="55"/>
        <v>Não Iniciada</v>
      </c>
      <c r="AC85" s="365"/>
      <c r="AD85" s="368">
        <v>1</v>
      </c>
      <c r="AE85" s="368">
        <f t="shared" si="77"/>
        <v>-1</v>
      </c>
      <c r="AF85" s="365"/>
      <c r="AG85" s="863">
        <f t="shared" si="65"/>
        <v>0</v>
      </c>
      <c r="AH85" s="864">
        <f t="shared" si="78"/>
        <v>0</v>
      </c>
      <c r="AI85" s="863">
        <f t="shared" si="66"/>
        <v>0</v>
      </c>
      <c r="AJ85" s="864">
        <f t="shared" si="79"/>
        <v>0</v>
      </c>
      <c r="AK85" s="365"/>
      <c r="AL85" s="865">
        <f t="shared" si="67"/>
        <v>0</v>
      </c>
      <c r="AM85" s="866">
        <f t="shared" si="80"/>
        <v>0</v>
      </c>
      <c r="AN85" s="866">
        <f t="shared" si="81"/>
        <v>0</v>
      </c>
      <c r="AO85" s="866">
        <f t="shared" si="82"/>
        <v>0</v>
      </c>
      <c r="AP85" s="867">
        <f t="shared" si="83"/>
        <v>0</v>
      </c>
      <c r="AQ85" s="591"/>
      <c r="AR85" s="868"/>
      <c r="AS85" s="868"/>
      <c r="AT85" s="868"/>
      <c r="AU85" s="868"/>
      <c r="AV85" s="841"/>
      <c r="AW85" s="869"/>
      <c r="AX85" s="870"/>
      <c r="AY85" s="871"/>
      <c r="AZ85" s="237" t="str">
        <f t="shared" si="56"/>
        <v xml:space="preserve">07.001 </v>
      </c>
      <c r="BA85" s="365"/>
      <c r="BB85" s="365"/>
      <c r="BC85" s="365"/>
      <c r="BD85" s="365"/>
      <c r="BE85" s="365"/>
      <c r="BF85" s="365"/>
      <c r="BG85" s="365"/>
      <c r="BH85" s="365"/>
      <c r="BI85" s="365"/>
      <c r="BJ85" s="365"/>
      <c r="BK85" s="365"/>
      <c r="BL85" s="872">
        <f t="shared" si="57"/>
        <v>0</v>
      </c>
      <c r="BM85" s="873">
        <f t="shared" si="58"/>
        <v>0</v>
      </c>
      <c r="BN85" s="874">
        <f t="shared" si="87"/>
        <v>0</v>
      </c>
      <c r="BO85" s="875">
        <f t="shared" si="59"/>
        <v>0</v>
      </c>
      <c r="BP85" s="875">
        <f t="shared" si="60"/>
        <v>0</v>
      </c>
      <c r="BQ85" s="876">
        <f t="shared" si="88"/>
        <v>0</v>
      </c>
      <c r="BR85" s="877">
        <f t="shared" si="89"/>
        <v>0</v>
      </c>
      <c r="BS85" s="875">
        <f t="shared" si="61"/>
        <v>0</v>
      </c>
      <c r="BT85" s="875">
        <f t="shared" si="62"/>
        <v>0</v>
      </c>
      <c r="BU85" s="878">
        <f t="shared" si="90"/>
        <v>0</v>
      </c>
      <c r="CE85" s="486">
        <v>74</v>
      </c>
    </row>
    <row r="86" spans="1:83" s="177" customFormat="1" ht="21.95" customHeight="1" x14ac:dyDescent="0.2">
      <c r="A86" s="237">
        <f t="shared" si="63"/>
        <v>0</v>
      </c>
      <c r="B86" s="237">
        <f t="shared" si="64"/>
        <v>0</v>
      </c>
      <c r="C86" s="393">
        <f t="shared" si="49"/>
        <v>0</v>
      </c>
      <c r="D86" s="393" t="str">
        <f t="shared" si="50"/>
        <v xml:space="preserve">07 </v>
      </c>
      <c r="E86" s="959" t="s">
        <v>619</v>
      </c>
      <c r="F86" s="959" t="s">
        <v>777</v>
      </c>
      <c r="G86" s="959" t="s">
        <v>90</v>
      </c>
      <c r="H86" s="965">
        <v>285.58999999999997</v>
      </c>
      <c r="I86" s="970">
        <v>14.001099999999999</v>
      </c>
      <c r="J86" s="964">
        <v>3998.57</v>
      </c>
      <c r="K86" s="367">
        <v>0</v>
      </c>
      <c r="L86" s="367">
        <f>IF($H86="",0,VLOOKUP($E86,Plan3!$A$16:$CT$384,$E$7,0)%)</f>
        <v>0</v>
      </c>
      <c r="M86" s="368">
        <f t="shared" si="70"/>
        <v>0</v>
      </c>
      <c r="N86" s="368">
        <f t="shared" si="71"/>
        <v>0</v>
      </c>
      <c r="O86" s="367">
        <v>0</v>
      </c>
      <c r="P86" s="367">
        <f>VLOOKUP($E86,Plan3!$A$492:$P$858,13,0)%</f>
        <v>0</v>
      </c>
      <c r="Q86" s="368">
        <f t="shared" si="72"/>
        <v>0</v>
      </c>
      <c r="R86" s="368">
        <f t="shared" si="73"/>
        <v>0</v>
      </c>
      <c r="S86" s="880">
        <v>4044.9534120000003</v>
      </c>
      <c r="T86" s="880">
        <f t="shared" si="74"/>
        <v>0</v>
      </c>
      <c r="U86" s="880">
        <f>IF($I86="",0,($S86-$T86)*(1+('Econômico Macro'!$R$12/100)))</f>
        <v>4114.9311060276004</v>
      </c>
      <c r="V86" s="880">
        <f t="shared" si="75"/>
        <v>4114.9311060276004</v>
      </c>
      <c r="W86" s="880">
        <f t="shared" si="76"/>
        <v>0</v>
      </c>
      <c r="X86" s="367">
        <f t="shared" si="51"/>
        <v>0</v>
      </c>
      <c r="Y86" s="367">
        <f t="shared" si="52"/>
        <v>0</v>
      </c>
      <c r="Z86" s="367">
        <f t="shared" si="53"/>
        <v>0</v>
      </c>
      <c r="AA86" s="367">
        <f t="shared" si="54"/>
        <v>0</v>
      </c>
      <c r="AB86" s="369" t="str">
        <f t="shared" si="55"/>
        <v>Não Iniciada</v>
      </c>
      <c r="AC86" s="365"/>
      <c r="AD86" s="368">
        <v>1</v>
      </c>
      <c r="AE86" s="368">
        <f t="shared" si="77"/>
        <v>-1</v>
      </c>
      <c r="AF86" s="365"/>
      <c r="AG86" s="863">
        <f t="shared" si="65"/>
        <v>0</v>
      </c>
      <c r="AH86" s="864">
        <f t="shared" si="78"/>
        <v>0</v>
      </c>
      <c r="AI86" s="863">
        <f t="shared" si="66"/>
        <v>0</v>
      </c>
      <c r="AJ86" s="864">
        <f t="shared" si="79"/>
        <v>0</v>
      </c>
      <c r="AK86" s="365"/>
      <c r="AL86" s="865">
        <f t="shared" si="67"/>
        <v>0</v>
      </c>
      <c r="AM86" s="866">
        <f t="shared" si="80"/>
        <v>0</v>
      </c>
      <c r="AN86" s="866">
        <f t="shared" si="81"/>
        <v>0</v>
      </c>
      <c r="AO86" s="866">
        <f t="shared" si="82"/>
        <v>0</v>
      </c>
      <c r="AP86" s="867">
        <f t="shared" si="83"/>
        <v>0</v>
      </c>
      <c r="AQ86" s="591">
        <f t="shared" si="68"/>
        <v>0</v>
      </c>
      <c r="AR86" s="868">
        <f>IF(AND($L86=0,$P86=0)=TRUE,VLOOKUP($E86,Plan3!$A$16:$CT$487,$E$7+3,0)/100,0)</f>
        <v>0</v>
      </c>
      <c r="AS86" s="868">
        <f>IF(AND($L86=0,$P86=0)=TRUE,VLOOKUP($E86,Plan3!$A$16:$CT$487,$E$7+6,0)/100,0)</f>
        <v>0</v>
      </c>
      <c r="AT86" s="868">
        <f>IF(AND($L86=0,$P86=0)=TRUE,VLOOKUP($E86,Plan3!$A$16:$CT$487,$E$7+9,0)/100,0)</f>
        <v>0</v>
      </c>
      <c r="AU86" s="868">
        <f>IF(AND($L86=0,$P86=0)=TRUE,VLOOKUP($E86,Plan3!$A$16:$CT$487,$E$7+12,0)/100,0)</f>
        <v>0</v>
      </c>
      <c r="AV86" s="841"/>
      <c r="AW86" s="869">
        <f t="shared" si="84"/>
        <v>0</v>
      </c>
      <c r="AX86" s="870">
        <f t="shared" si="85"/>
        <v>0</v>
      </c>
      <c r="AY86" s="871">
        <f t="shared" si="86"/>
        <v>0</v>
      </c>
      <c r="AZ86" s="237" t="str">
        <f t="shared" si="56"/>
        <v xml:space="preserve">07.001.000.001 </v>
      </c>
      <c r="BA86" s="365"/>
      <c r="BB86" s="365"/>
      <c r="BC86" s="365"/>
      <c r="BD86" s="365"/>
      <c r="BE86" s="365"/>
      <c r="BF86" s="365"/>
      <c r="BG86" s="365"/>
      <c r="BH86" s="365"/>
      <c r="BI86" s="365"/>
      <c r="BJ86" s="365"/>
      <c r="BK86" s="365"/>
      <c r="BL86" s="872">
        <f t="shared" si="57"/>
        <v>0</v>
      </c>
      <c r="BM86" s="873">
        <f t="shared" si="58"/>
        <v>0</v>
      </c>
      <c r="BN86" s="874">
        <f t="shared" si="87"/>
        <v>0</v>
      </c>
      <c r="BO86" s="875">
        <f t="shared" si="59"/>
        <v>0</v>
      </c>
      <c r="BP86" s="875">
        <f t="shared" si="60"/>
        <v>0</v>
      </c>
      <c r="BQ86" s="876">
        <f t="shared" si="88"/>
        <v>0</v>
      </c>
      <c r="BR86" s="877">
        <f t="shared" si="89"/>
        <v>0</v>
      </c>
      <c r="BS86" s="875">
        <f t="shared" si="61"/>
        <v>0</v>
      </c>
      <c r="BT86" s="875">
        <f t="shared" si="62"/>
        <v>0</v>
      </c>
      <c r="BU86" s="878">
        <f t="shared" si="90"/>
        <v>0</v>
      </c>
      <c r="CE86" s="486">
        <v>75</v>
      </c>
    </row>
    <row r="87" spans="1:83" s="177" customFormat="1" ht="21.95" customHeight="1" x14ac:dyDescent="0.2">
      <c r="A87" s="237">
        <f t="shared" si="63"/>
        <v>0</v>
      </c>
      <c r="B87" s="237">
        <f t="shared" si="64"/>
        <v>0</v>
      </c>
      <c r="C87" s="393">
        <f t="shared" si="49"/>
        <v>0</v>
      </c>
      <c r="D87" s="393" t="str">
        <f t="shared" si="50"/>
        <v xml:space="preserve">07 </v>
      </c>
      <c r="E87" s="959" t="s">
        <v>620</v>
      </c>
      <c r="F87" s="959" t="s">
        <v>778</v>
      </c>
      <c r="G87" s="959" t="s">
        <v>90</v>
      </c>
      <c r="H87" s="963">
        <v>2731.92</v>
      </c>
      <c r="I87" s="970">
        <v>21.100100000000001</v>
      </c>
      <c r="J87" s="962">
        <v>57643.79</v>
      </c>
      <c r="K87" s="367">
        <v>0</v>
      </c>
      <c r="L87" s="367">
        <f>IF($H87="",0,VLOOKUP($E87,Plan3!$A$16:$CT$384,$E$7,0)%)</f>
        <v>0</v>
      </c>
      <c r="M87" s="368">
        <f t="shared" si="70"/>
        <v>0</v>
      </c>
      <c r="N87" s="368">
        <f t="shared" si="71"/>
        <v>0</v>
      </c>
      <c r="O87" s="367">
        <v>0</v>
      </c>
      <c r="P87" s="367">
        <f>VLOOKUP($E87,Plan3!$A$492:$P$858,13,0)%</f>
        <v>0</v>
      </c>
      <c r="Q87" s="368">
        <f t="shared" si="72"/>
        <v>0</v>
      </c>
      <c r="R87" s="368">
        <f t="shared" si="73"/>
        <v>0</v>
      </c>
      <c r="S87" s="880">
        <v>58312.457964000001</v>
      </c>
      <c r="T87" s="880">
        <f t="shared" si="74"/>
        <v>0</v>
      </c>
      <c r="U87" s="880">
        <f>IF($I87="",0,($S87-$T87)*(1+('Econômico Macro'!$R$12/100)))</f>
        <v>59321.263486777207</v>
      </c>
      <c r="V87" s="880">
        <f t="shared" si="75"/>
        <v>59321.263486777207</v>
      </c>
      <c r="W87" s="880">
        <f t="shared" si="76"/>
        <v>0</v>
      </c>
      <c r="X87" s="367">
        <f t="shared" si="51"/>
        <v>0</v>
      </c>
      <c r="Y87" s="367">
        <f t="shared" si="52"/>
        <v>0</v>
      </c>
      <c r="Z87" s="367">
        <f t="shared" si="53"/>
        <v>0</v>
      </c>
      <c r="AA87" s="367">
        <f t="shared" si="54"/>
        <v>0</v>
      </c>
      <c r="AB87" s="369" t="str">
        <f t="shared" si="55"/>
        <v>Não Iniciada</v>
      </c>
      <c r="AC87" s="365"/>
      <c r="AD87" s="368">
        <v>1</v>
      </c>
      <c r="AE87" s="368">
        <f t="shared" si="77"/>
        <v>-1</v>
      </c>
      <c r="AF87" s="365"/>
      <c r="AG87" s="863">
        <f t="shared" si="65"/>
        <v>0</v>
      </c>
      <c r="AH87" s="864">
        <f t="shared" si="78"/>
        <v>0</v>
      </c>
      <c r="AI87" s="863">
        <f t="shared" si="66"/>
        <v>0</v>
      </c>
      <c r="AJ87" s="864">
        <f t="shared" si="79"/>
        <v>0</v>
      </c>
      <c r="AK87" s="365"/>
      <c r="AL87" s="865">
        <f t="shared" si="67"/>
        <v>0</v>
      </c>
      <c r="AM87" s="866">
        <f t="shared" si="80"/>
        <v>0</v>
      </c>
      <c r="AN87" s="866">
        <f t="shared" si="81"/>
        <v>0</v>
      </c>
      <c r="AO87" s="866">
        <f t="shared" si="82"/>
        <v>0</v>
      </c>
      <c r="AP87" s="867">
        <f t="shared" si="83"/>
        <v>0</v>
      </c>
      <c r="AQ87" s="591">
        <f t="shared" si="68"/>
        <v>0</v>
      </c>
      <c r="AR87" s="868">
        <f>IF(AND($L87=0,$P87=0)=TRUE,VLOOKUP($E87,Plan3!$A$16:$CT$487,$E$7+3,0)/100,0)</f>
        <v>0</v>
      </c>
      <c r="AS87" s="868">
        <f>IF(AND($L87=0,$P87=0)=TRUE,VLOOKUP($E87,Plan3!$A$16:$CT$487,$E$7+6,0)/100,0)</f>
        <v>0</v>
      </c>
      <c r="AT87" s="868">
        <f>IF(AND($L87=0,$P87=0)=TRUE,VLOOKUP($E87,Plan3!$A$16:$CT$487,$E$7+9,0)/100,0)</f>
        <v>0</v>
      </c>
      <c r="AU87" s="868">
        <f>IF(AND($L87=0,$P87=0)=TRUE,VLOOKUP($E87,Plan3!$A$16:$CT$487,$E$7+12,0)/100,0)</f>
        <v>0</v>
      </c>
      <c r="AV87" s="841"/>
      <c r="AW87" s="869">
        <f t="shared" si="84"/>
        <v>0</v>
      </c>
      <c r="AX87" s="870">
        <f t="shared" si="85"/>
        <v>0</v>
      </c>
      <c r="AY87" s="871">
        <f t="shared" si="86"/>
        <v>0</v>
      </c>
      <c r="AZ87" s="237" t="str">
        <f t="shared" si="56"/>
        <v xml:space="preserve">07.001.000.002 </v>
      </c>
      <c r="BA87" s="365"/>
      <c r="BB87" s="365"/>
      <c r="BC87" s="365"/>
      <c r="BD87" s="365"/>
      <c r="BE87" s="365"/>
      <c r="BF87" s="365"/>
      <c r="BG87" s="365"/>
      <c r="BH87" s="365"/>
      <c r="BI87" s="365"/>
      <c r="BJ87" s="365"/>
      <c r="BK87" s="365"/>
      <c r="BL87" s="872">
        <f t="shared" si="57"/>
        <v>0</v>
      </c>
      <c r="BM87" s="873">
        <f t="shared" si="58"/>
        <v>0</v>
      </c>
      <c r="BN87" s="874">
        <f t="shared" si="87"/>
        <v>0</v>
      </c>
      <c r="BO87" s="875">
        <f t="shared" si="59"/>
        <v>0</v>
      </c>
      <c r="BP87" s="875">
        <f t="shared" si="60"/>
        <v>0</v>
      </c>
      <c r="BQ87" s="876">
        <f t="shared" si="88"/>
        <v>0</v>
      </c>
      <c r="BR87" s="877">
        <f t="shared" si="89"/>
        <v>0</v>
      </c>
      <c r="BS87" s="875">
        <f t="shared" si="61"/>
        <v>0</v>
      </c>
      <c r="BT87" s="875">
        <f t="shared" si="62"/>
        <v>0</v>
      </c>
      <c r="BU87" s="878">
        <f t="shared" si="90"/>
        <v>0</v>
      </c>
      <c r="CE87" s="486">
        <v>76</v>
      </c>
    </row>
    <row r="88" spans="1:83" s="177" customFormat="1" ht="21.95" customHeight="1" x14ac:dyDescent="0.2">
      <c r="A88" s="237">
        <f t="shared" si="63"/>
        <v>0</v>
      </c>
      <c r="B88" s="237">
        <f t="shared" si="64"/>
        <v>0</v>
      </c>
      <c r="C88" s="393">
        <f t="shared" si="49"/>
        <v>0</v>
      </c>
      <c r="D88" s="393" t="str">
        <f t="shared" si="50"/>
        <v xml:space="preserve">07 </v>
      </c>
      <c r="E88" s="959" t="s">
        <v>621</v>
      </c>
      <c r="F88" s="959" t="s">
        <v>779</v>
      </c>
      <c r="G88" s="959" t="s">
        <v>90</v>
      </c>
      <c r="H88" s="965">
        <v>632.16999999999996</v>
      </c>
      <c r="I88" s="970">
        <v>31.061499999999999</v>
      </c>
      <c r="J88" s="962">
        <v>19636.150000000001</v>
      </c>
      <c r="K88" s="367">
        <v>0</v>
      </c>
      <c r="L88" s="367">
        <f>IF($H88="",0,VLOOKUP($E88,Plan3!$A$16:$CT$384,$E$7,0)%)</f>
        <v>0</v>
      </c>
      <c r="M88" s="368">
        <f t="shared" si="70"/>
        <v>0</v>
      </c>
      <c r="N88" s="368">
        <f t="shared" si="71"/>
        <v>0</v>
      </c>
      <c r="O88" s="367">
        <v>0</v>
      </c>
      <c r="P88" s="367">
        <f>VLOOKUP($E88,Plan3!$A$492:$P$858,13,0)%</f>
        <v>0</v>
      </c>
      <c r="Q88" s="368">
        <f t="shared" si="72"/>
        <v>0</v>
      </c>
      <c r="R88" s="368">
        <f t="shared" si="73"/>
        <v>0</v>
      </c>
      <c r="S88" s="880">
        <v>19863.929340000002</v>
      </c>
      <c r="T88" s="880">
        <f t="shared" si="74"/>
        <v>0</v>
      </c>
      <c r="U88" s="880">
        <f>IF($I88="",0,($S88-$T88)*(1+('Econômico Macro'!$R$12/100)))</f>
        <v>20207.575317582003</v>
      </c>
      <c r="V88" s="880">
        <f t="shared" si="75"/>
        <v>20207.575317582003</v>
      </c>
      <c r="W88" s="880">
        <f t="shared" si="76"/>
        <v>0</v>
      </c>
      <c r="X88" s="367">
        <f t="shared" si="51"/>
        <v>0</v>
      </c>
      <c r="Y88" s="367">
        <f t="shared" si="52"/>
        <v>0</v>
      </c>
      <c r="Z88" s="367">
        <f t="shared" si="53"/>
        <v>0</v>
      </c>
      <c r="AA88" s="367">
        <f t="shared" si="54"/>
        <v>0</v>
      </c>
      <c r="AB88" s="369" t="str">
        <f t="shared" si="55"/>
        <v>Não Iniciada</v>
      </c>
      <c r="AC88" s="365"/>
      <c r="AD88" s="368">
        <v>1</v>
      </c>
      <c r="AE88" s="368">
        <f t="shared" si="77"/>
        <v>-1</v>
      </c>
      <c r="AF88" s="365"/>
      <c r="AG88" s="863">
        <f t="shared" si="65"/>
        <v>0</v>
      </c>
      <c r="AH88" s="864">
        <f t="shared" si="78"/>
        <v>0</v>
      </c>
      <c r="AI88" s="863">
        <f t="shared" si="66"/>
        <v>0</v>
      </c>
      <c r="AJ88" s="864">
        <f t="shared" si="79"/>
        <v>0</v>
      </c>
      <c r="AK88" s="365"/>
      <c r="AL88" s="865">
        <f t="shared" si="67"/>
        <v>0</v>
      </c>
      <c r="AM88" s="866">
        <f t="shared" si="80"/>
        <v>0</v>
      </c>
      <c r="AN88" s="866">
        <f t="shared" si="81"/>
        <v>0</v>
      </c>
      <c r="AO88" s="866">
        <f t="shared" si="82"/>
        <v>0</v>
      </c>
      <c r="AP88" s="867">
        <f t="shared" si="83"/>
        <v>0</v>
      </c>
      <c r="AQ88" s="591">
        <f t="shared" si="68"/>
        <v>0</v>
      </c>
      <c r="AR88" s="868">
        <f>IF(AND($L88=0,$P88=0)=TRUE,VLOOKUP($E88,Plan3!$A$16:$CT$487,$E$7+3,0)/100,0)</f>
        <v>0</v>
      </c>
      <c r="AS88" s="868">
        <f>IF(AND($L88=0,$P88=0)=TRUE,VLOOKUP($E88,Plan3!$A$16:$CT$487,$E$7+6,0)/100,0)</f>
        <v>0</v>
      </c>
      <c r="AT88" s="868">
        <f>IF(AND($L88=0,$P88=0)=TRUE,VLOOKUP($E88,Plan3!$A$16:$CT$487,$E$7+9,0)/100,0)</f>
        <v>0</v>
      </c>
      <c r="AU88" s="868">
        <f>IF(AND($L88=0,$P88=0)=TRUE,VLOOKUP($E88,Plan3!$A$16:$CT$487,$E$7+12,0)/100,0)</f>
        <v>0</v>
      </c>
      <c r="AV88" s="841"/>
      <c r="AW88" s="869">
        <f t="shared" si="84"/>
        <v>0</v>
      </c>
      <c r="AX88" s="870">
        <f t="shared" si="85"/>
        <v>0</v>
      </c>
      <c r="AY88" s="871">
        <f t="shared" si="86"/>
        <v>0</v>
      </c>
      <c r="AZ88" s="237" t="str">
        <f t="shared" si="56"/>
        <v xml:space="preserve">07.001.000.003 </v>
      </c>
      <c r="BA88" s="365"/>
      <c r="BB88" s="365"/>
      <c r="BC88" s="365"/>
      <c r="BD88" s="365"/>
      <c r="BE88" s="365"/>
      <c r="BF88" s="365"/>
      <c r="BG88" s="365"/>
      <c r="BH88" s="365"/>
      <c r="BI88" s="365"/>
      <c r="BJ88" s="365"/>
      <c r="BK88" s="365"/>
      <c r="BL88" s="872">
        <f t="shared" si="57"/>
        <v>0</v>
      </c>
      <c r="BM88" s="873">
        <f t="shared" si="58"/>
        <v>0</v>
      </c>
      <c r="BN88" s="874">
        <f t="shared" si="87"/>
        <v>0</v>
      </c>
      <c r="BO88" s="875">
        <f t="shared" si="59"/>
        <v>0</v>
      </c>
      <c r="BP88" s="875">
        <f t="shared" si="60"/>
        <v>0</v>
      </c>
      <c r="BQ88" s="876">
        <f t="shared" si="88"/>
        <v>0</v>
      </c>
      <c r="BR88" s="877">
        <f t="shared" si="89"/>
        <v>0</v>
      </c>
      <c r="BS88" s="875">
        <f t="shared" si="61"/>
        <v>0</v>
      </c>
      <c r="BT88" s="875">
        <f t="shared" si="62"/>
        <v>0</v>
      </c>
      <c r="BU88" s="878">
        <f t="shared" si="90"/>
        <v>0</v>
      </c>
      <c r="CE88" s="486">
        <v>77</v>
      </c>
    </row>
    <row r="89" spans="1:83" s="177" customFormat="1" ht="21.95" customHeight="1" x14ac:dyDescent="0.2">
      <c r="A89" s="237">
        <f t="shared" si="63"/>
        <v>0</v>
      </c>
      <c r="B89" s="237">
        <f t="shared" si="64"/>
        <v>0</v>
      </c>
      <c r="C89" s="393">
        <f t="shared" si="49"/>
        <v>0</v>
      </c>
      <c r="D89" s="393" t="str">
        <f t="shared" si="50"/>
        <v xml:space="preserve">07 </v>
      </c>
      <c r="E89" s="959" t="s">
        <v>622</v>
      </c>
      <c r="F89" s="959" t="s">
        <v>469</v>
      </c>
      <c r="G89" s="959" t="s">
        <v>90</v>
      </c>
      <c r="H89" s="963">
        <v>3991.67</v>
      </c>
      <c r="I89" s="970">
        <v>12.57</v>
      </c>
      <c r="J89" s="962">
        <v>50175.29</v>
      </c>
      <c r="K89" s="367">
        <v>0</v>
      </c>
      <c r="L89" s="367">
        <f>IF($H89="",0,VLOOKUP($E89,Plan3!$A$16:$CT$384,$E$7,0)%)</f>
        <v>0</v>
      </c>
      <c r="M89" s="368">
        <f t="shared" si="70"/>
        <v>0</v>
      </c>
      <c r="N89" s="368">
        <f t="shared" si="71"/>
        <v>0</v>
      </c>
      <c r="O89" s="367">
        <v>0</v>
      </c>
      <c r="P89" s="367">
        <f>VLOOKUP($E89,Plan3!$A$492:$P$858,13,0)%</f>
        <v>0</v>
      </c>
      <c r="Q89" s="368">
        <f t="shared" si="72"/>
        <v>0</v>
      </c>
      <c r="R89" s="368">
        <f t="shared" si="73"/>
        <v>0</v>
      </c>
      <c r="S89" s="880">
        <v>50757.323364000003</v>
      </c>
      <c r="T89" s="880">
        <f t="shared" si="74"/>
        <v>0</v>
      </c>
      <c r="U89" s="880">
        <f>IF($I89="",0,($S89-$T89)*(1+('Econômico Macro'!$R$12/100)))</f>
        <v>51635.425058197208</v>
      </c>
      <c r="V89" s="880">
        <f t="shared" si="75"/>
        <v>51635.425058197208</v>
      </c>
      <c r="W89" s="880">
        <f t="shared" si="76"/>
        <v>0</v>
      </c>
      <c r="X89" s="367">
        <f t="shared" si="51"/>
        <v>0</v>
      </c>
      <c r="Y89" s="367">
        <f t="shared" si="52"/>
        <v>0</v>
      </c>
      <c r="Z89" s="367">
        <f t="shared" si="53"/>
        <v>0</v>
      </c>
      <c r="AA89" s="367">
        <f t="shared" si="54"/>
        <v>0</v>
      </c>
      <c r="AB89" s="369" t="str">
        <f t="shared" si="55"/>
        <v>Não Iniciada</v>
      </c>
      <c r="AC89" s="365"/>
      <c r="AD89" s="368">
        <v>1</v>
      </c>
      <c r="AE89" s="368">
        <f t="shared" si="77"/>
        <v>-1</v>
      </c>
      <c r="AF89" s="365"/>
      <c r="AG89" s="863">
        <f t="shared" si="65"/>
        <v>0</v>
      </c>
      <c r="AH89" s="864">
        <f t="shared" si="78"/>
        <v>0</v>
      </c>
      <c r="AI89" s="863">
        <f t="shared" si="66"/>
        <v>0</v>
      </c>
      <c r="AJ89" s="864">
        <f t="shared" si="79"/>
        <v>0</v>
      </c>
      <c r="AK89" s="365"/>
      <c r="AL89" s="865">
        <f t="shared" si="67"/>
        <v>0</v>
      </c>
      <c r="AM89" s="866">
        <f t="shared" si="80"/>
        <v>0</v>
      </c>
      <c r="AN89" s="866">
        <f t="shared" si="81"/>
        <v>0</v>
      </c>
      <c r="AO89" s="866">
        <f t="shared" si="82"/>
        <v>0</v>
      </c>
      <c r="AP89" s="867">
        <f t="shared" si="83"/>
        <v>0</v>
      </c>
      <c r="AQ89" s="591">
        <f t="shared" si="68"/>
        <v>0</v>
      </c>
      <c r="AR89" s="868">
        <f>IF(AND($L89=0,$P89=0)=TRUE,VLOOKUP($E89,Plan3!$A$16:$CT$487,$E$7+3,0)/100,0)</f>
        <v>0</v>
      </c>
      <c r="AS89" s="868">
        <f>IF(AND($L89=0,$P89=0)=TRUE,VLOOKUP($E89,Plan3!$A$16:$CT$487,$E$7+6,0)/100,0)</f>
        <v>0</v>
      </c>
      <c r="AT89" s="868">
        <f>IF(AND($L89=0,$P89=0)=TRUE,VLOOKUP($E89,Plan3!$A$16:$CT$487,$E$7+9,0)/100,0)</f>
        <v>0</v>
      </c>
      <c r="AU89" s="868">
        <f>IF(AND($L89=0,$P89=0)=TRUE,VLOOKUP($E89,Plan3!$A$16:$CT$487,$E$7+12,0)/100,0)</f>
        <v>0</v>
      </c>
      <c r="AV89" s="841"/>
      <c r="AW89" s="869">
        <f t="shared" si="84"/>
        <v>0</v>
      </c>
      <c r="AX89" s="870">
        <f t="shared" si="85"/>
        <v>0</v>
      </c>
      <c r="AY89" s="871">
        <f t="shared" si="86"/>
        <v>0</v>
      </c>
      <c r="AZ89" s="237" t="str">
        <f t="shared" si="56"/>
        <v xml:space="preserve">07.001.000.004 </v>
      </c>
      <c r="BA89" s="365"/>
      <c r="BB89" s="365"/>
      <c r="BC89" s="365"/>
      <c r="BD89" s="365"/>
      <c r="BE89" s="365"/>
      <c r="BF89" s="365"/>
      <c r="BG89" s="365"/>
      <c r="BH89" s="365"/>
      <c r="BI89" s="365"/>
      <c r="BJ89" s="365"/>
      <c r="BK89" s="365"/>
      <c r="BL89" s="872">
        <f t="shared" si="57"/>
        <v>0</v>
      </c>
      <c r="BM89" s="873">
        <f t="shared" si="58"/>
        <v>0</v>
      </c>
      <c r="BN89" s="874">
        <f t="shared" si="87"/>
        <v>0</v>
      </c>
      <c r="BO89" s="875">
        <f t="shared" si="59"/>
        <v>0</v>
      </c>
      <c r="BP89" s="875">
        <f t="shared" si="60"/>
        <v>0</v>
      </c>
      <c r="BQ89" s="876">
        <f t="shared" si="88"/>
        <v>0</v>
      </c>
      <c r="BR89" s="877">
        <f t="shared" si="89"/>
        <v>0</v>
      </c>
      <c r="BS89" s="875">
        <f t="shared" si="61"/>
        <v>0</v>
      </c>
      <c r="BT89" s="875">
        <f t="shared" si="62"/>
        <v>0</v>
      </c>
      <c r="BU89" s="878">
        <f t="shared" si="90"/>
        <v>0</v>
      </c>
      <c r="CE89" s="486">
        <v>78</v>
      </c>
    </row>
    <row r="90" spans="1:83" s="177" customFormat="1" ht="21.95" customHeight="1" x14ac:dyDescent="0.2">
      <c r="A90" s="237">
        <f t="shared" si="63"/>
        <v>0</v>
      </c>
      <c r="B90" s="237">
        <f t="shared" si="64"/>
        <v>0</v>
      </c>
      <c r="C90" s="393">
        <f t="shared" si="49"/>
        <v>0</v>
      </c>
      <c r="D90" s="393" t="str">
        <f t="shared" si="50"/>
        <v xml:space="preserve">07 </v>
      </c>
      <c r="E90" s="967" t="s">
        <v>623</v>
      </c>
      <c r="F90" s="967" t="s">
        <v>2229</v>
      </c>
      <c r="G90" s="967"/>
      <c r="H90" s="968"/>
      <c r="I90" s="968"/>
      <c r="J90" s="969">
        <v>21354.28</v>
      </c>
      <c r="K90" s="367">
        <v>0</v>
      </c>
      <c r="L90" s="367">
        <f>IF($H90="",0,VLOOKUP($E90,Plan3!$A$16:$CT$384,$E$7,0)%)</f>
        <v>0</v>
      </c>
      <c r="M90" s="368">
        <f t="shared" si="70"/>
        <v>0</v>
      </c>
      <c r="N90" s="368">
        <f t="shared" si="71"/>
        <v>0</v>
      </c>
      <c r="O90" s="367">
        <v>0</v>
      </c>
      <c r="P90" s="367">
        <f>VLOOKUP($E90,Plan3!$A$492:$P$858,13,0)%</f>
        <v>0</v>
      </c>
      <c r="Q90" s="368">
        <f t="shared" si="72"/>
        <v>0</v>
      </c>
      <c r="R90" s="368">
        <f t="shared" si="73"/>
        <v>0</v>
      </c>
      <c r="S90" s="880">
        <v>0</v>
      </c>
      <c r="T90" s="880">
        <f t="shared" si="74"/>
        <v>0</v>
      </c>
      <c r="U90" s="880">
        <f>IF($I90="",0,($S90-$T90)*(1+('Econômico Macro'!$R$12/100)))</f>
        <v>0</v>
      </c>
      <c r="V90" s="880">
        <f t="shared" si="75"/>
        <v>0</v>
      </c>
      <c r="W90" s="880">
        <f t="shared" si="76"/>
        <v>0</v>
      </c>
      <c r="X90" s="367">
        <f t="shared" si="51"/>
        <v>0</v>
      </c>
      <c r="Y90" s="367">
        <f t="shared" si="52"/>
        <v>0</v>
      </c>
      <c r="Z90" s="367">
        <f t="shared" si="53"/>
        <v>0</v>
      </c>
      <c r="AA90" s="367">
        <f t="shared" si="54"/>
        <v>0</v>
      </c>
      <c r="AB90" s="369" t="str">
        <f t="shared" si="55"/>
        <v>Não Iniciada</v>
      </c>
      <c r="AC90" s="365"/>
      <c r="AD90" s="368">
        <v>1</v>
      </c>
      <c r="AE90" s="368">
        <f t="shared" si="77"/>
        <v>-1</v>
      </c>
      <c r="AF90" s="365"/>
      <c r="AG90" s="863">
        <f t="shared" si="65"/>
        <v>0</v>
      </c>
      <c r="AH90" s="864">
        <f t="shared" si="78"/>
        <v>0</v>
      </c>
      <c r="AI90" s="863">
        <f t="shared" si="66"/>
        <v>0</v>
      </c>
      <c r="AJ90" s="864">
        <f t="shared" si="79"/>
        <v>0</v>
      </c>
      <c r="AK90" s="365"/>
      <c r="AL90" s="865">
        <f t="shared" si="67"/>
        <v>0</v>
      </c>
      <c r="AM90" s="866">
        <f t="shared" si="80"/>
        <v>0</v>
      </c>
      <c r="AN90" s="866">
        <f t="shared" si="81"/>
        <v>0</v>
      </c>
      <c r="AO90" s="866">
        <f t="shared" si="82"/>
        <v>0</v>
      </c>
      <c r="AP90" s="867">
        <f t="shared" si="83"/>
        <v>0</v>
      </c>
      <c r="AQ90" s="591"/>
      <c r="AR90" s="868"/>
      <c r="AS90" s="868"/>
      <c r="AT90" s="868"/>
      <c r="AU90" s="868"/>
      <c r="AV90" s="841"/>
      <c r="AW90" s="869"/>
      <c r="AX90" s="870"/>
      <c r="AY90" s="871"/>
      <c r="AZ90" s="237" t="str">
        <f t="shared" si="56"/>
        <v xml:space="preserve">07.002 </v>
      </c>
      <c r="BA90" s="365"/>
      <c r="BB90" s="365"/>
      <c r="BC90" s="365"/>
      <c r="BD90" s="365"/>
      <c r="BE90" s="365"/>
      <c r="BF90" s="365"/>
      <c r="BG90" s="365"/>
      <c r="BH90" s="365"/>
      <c r="BI90" s="365"/>
      <c r="BJ90" s="365"/>
      <c r="BK90" s="365"/>
      <c r="BL90" s="872">
        <f t="shared" si="57"/>
        <v>0</v>
      </c>
      <c r="BM90" s="873">
        <f t="shared" si="58"/>
        <v>0</v>
      </c>
      <c r="BN90" s="874">
        <f t="shared" si="87"/>
        <v>0</v>
      </c>
      <c r="BO90" s="875">
        <f t="shared" si="59"/>
        <v>0</v>
      </c>
      <c r="BP90" s="875">
        <f t="shared" si="60"/>
        <v>0</v>
      </c>
      <c r="BQ90" s="876">
        <f t="shared" si="88"/>
        <v>0</v>
      </c>
      <c r="BR90" s="877">
        <f t="shared" si="89"/>
        <v>0</v>
      </c>
      <c r="BS90" s="875">
        <f t="shared" si="61"/>
        <v>0</v>
      </c>
      <c r="BT90" s="875">
        <f t="shared" si="62"/>
        <v>0</v>
      </c>
      <c r="BU90" s="878">
        <f t="shared" si="90"/>
        <v>0</v>
      </c>
      <c r="CE90" s="486">
        <v>79</v>
      </c>
    </row>
    <row r="91" spans="1:83" s="177" customFormat="1" ht="21.95" customHeight="1" x14ac:dyDescent="0.2">
      <c r="A91" s="237">
        <f t="shared" si="63"/>
        <v>0</v>
      </c>
      <c r="B91" s="237">
        <f t="shared" si="64"/>
        <v>0</v>
      </c>
      <c r="C91" s="393">
        <f t="shared" si="49"/>
        <v>0</v>
      </c>
      <c r="D91" s="393" t="str">
        <f t="shared" si="50"/>
        <v xml:space="preserve">07 </v>
      </c>
      <c r="E91" s="959" t="s">
        <v>624</v>
      </c>
      <c r="F91" s="959" t="s">
        <v>473</v>
      </c>
      <c r="G91" s="959" t="s">
        <v>90</v>
      </c>
      <c r="H91" s="965">
        <v>188.95</v>
      </c>
      <c r="I91" s="970">
        <v>52.879199999999997</v>
      </c>
      <c r="J91" s="964">
        <v>9991.52</v>
      </c>
      <c r="K91" s="367">
        <v>0</v>
      </c>
      <c r="L91" s="367">
        <f>IF($H91="",0,VLOOKUP($E91,Plan3!$A$16:$CT$384,$E$7,0)%)</f>
        <v>0</v>
      </c>
      <c r="M91" s="368">
        <f t="shared" si="70"/>
        <v>0</v>
      </c>
      <c r="N91" s="368">
        <f t="shared" si="71"/>
        <v>0</v>
      </c>
      <c r="O91" s="367">
        <v>0</v>
      </c>
      <c r="P91" s="367">
        <f>VLOOKUP($E91,Plan3!$A$492:$P$858,13,0)%</f>
        <v>0</v>
      </c>
      <c r="Q91" s="368">
        <f t="shared" si="72"/>
        <v>0</v>
      </c>
      <c r="R91" s="368">
        <f t="shared" si="73"/>
        <v>0</v>
      </c>
      <c r="S91" s="880">
        <v>10107.421632000001</v>
      </c>
      <c r="T91" s="880">
        <f t="shared" si="74"/>
        <v>0</v>
      </c>
      <c r="U91" s="880">
        <f>IF($I91="",0,($S91-$T91)*(1+('Econômico Macro'!$R$12/100)))</f>
        <v>10282.280026233602</v>
      </c>
      <c r="V91" s="880">
        <f t="shared" si="75"/>
        <v>10282.280026233602</v>
      </c>
      <c r="W91" s="880">
        <f t="shared" si="76"/>
        <v>0</v>
      </c>
      <c r="X91" s="367">
        <f t="shared" si="51"/>
        <v>0</v>
      </c>
      <c r="Y91" s="367">
        <f t="shared" si="52"/>
        <v>0</v>
      </c>
      <c r="Z91" s="367">
        <f t="shared" si="53"/>
        <v>0</v>
      </c>
      <c r="AA91" s="367">
        <f t="shared" si="54"/>
        <v>0</v>
      </c>
      <c r="AB91" s="369" t="str">
        <f t="shared" si="55"/>
        <v>Não Iniciada</v>
      </c>
      <c r="AC91" s="365"/>
      <c r="AD91" s="368">
        <v>1</v>
      </c>
      <c r="AE91" s="368">
        <f t="shared" si="77"/>
        <v>-1</v>
      </c>
      <c r="AF91" s="365"/>
      <c r="AG91" s="863">
        <f t="shared" si="65"/>
        <v>0</v>
      </c>
      <c r="AH91" s="864">
        <f t="shared" si="78"/>
        <v>0</v>
      </c>
      <c r="AI91" s="863">
        <f t="shared" si="66"/>
        <v>0</v>
      </c>
      <c r="AJ91" s="864">
        <f t="shared" si="79"/>
        <v>0</v>
      </c>
      <c r="AK91" s="365"/>
      <c r="AL91" s="865">
        <f t="shared" si="67"/>
        <v>0</v>
      </c>
      <c r="AM91" s="866">
        <f t="shared" si="80"/>
        <v>0</v>
      </c>
      <c r="AN91" s="866">
        <f t="shared" si="81"/>
        <v>0</v>
      </c>
      <c r="AO91" s="866">
        <f t="shared" si="82"/>
        <v>0</v>
      </c>
      <c r="AP91" s="867">
        <f t="shared" si="83"/>
        <v>0</v>
      </c>
      <c r="AQ91" s="591">
        <f t="shared" si="68"/>
        <v>0</v>
      </c>
      <c r="AR91" s="868">
        <f>IF(AND($L91=0,$P91=0)=TRUE,VLOOKUP($E91,Plan3!$A$16:$CT$487,$E$7+3,0)/100,0)</f>
        <v>0</v>
      </c>
      <c r="AS91" s="868">
        <f>IF(AND($L91=0,$P91=0)=TRUE,VLOOKUP($E91,Plan3!$A$16:$CT$487,$E$7+6,0)/100,0)</f>
        <v>0</v>
      </c>
      <c r="AT91" s="868">
        <f>IF(AND($L91=0,$P91=0)=TRUE,VLOOKUP($E91,Plan3!$A$16:$CT$487,$E$7+9,0)/100,0)</f>
        <v>0</v>
      </c>
      <c r="AU91" s="868">
        <f>IF(AND($L91=0,$P91=0)=TRUE,VLOOKUP($E91,Plan3!$A$16:$CT$487,$E$7+12,0)/100,0)</f>
        <v>0</v>
      </c>
      <c r="AV91" s="841"/>
      <c r="AW91" s="869">
        <f t="shared" si="84"/>
        <v>0</v>
      </c>
      <c r="AX91" s="870">
        <f t="shared" si="85"/>
        <v>0</v>
      </c>
      <c r="AY91" s="871">
        <f t="shared" si="86"/>
        <v>0</v>
      </c>
      <c r="AZ91" s="237" t="str">
        <f t="shared" si="56"/>
        <v xml:space="preserve">07.002.000.001 </v>
      </c>
      <c r="BA91" s="365"/>
      <c r="BB91" s="365"/>
      <c r="BC91" s="365"/>
      <c r="BD91" s="365"/>
      <c r="BE91" s="365"/>
      <c r="BF91" s="365"/>
      <c r="BG91" s="365"/>
      <c r="BH91" s="365"/>
      <c r="BI91" s="365"/>
      <c r="BJ91" s="365"/>
      <c r="BK91" s="365"/>
      <c r="BL91" s="872">
        <f t="shared" si="57"/>
        <v>0</v>
      </c>
      <c r="BM91" s="873">
        <f t="shared" si="58"/>
        <v>0</v>
      </c>
      <c r="BN91" s="874">
        <f t="shared" si="87"/>
        <v>0</v>
      </c>
      <c r="BO91" s="875">
        <f t="shared" si="59"/>
        <v>0</v>
      </c>
      <c r="BP91" s="875">
        <f t="shared" si="60"/>
        <v>0</v>
      </c>
      <c r="BQ91" s="876">
        <f t="shared" si="88"/>
        <v>0</v>
      </c>
      <c r="BR91" s="877">
        <f t="shared" si="89"/>
        <v>0</v>
      </c>
      <c r="BS91" s="875">
        <f t="shared" si="61"/>
        <v>0</v>
      </c>
      <c r="BT91" s="875">
        <f t="shared" si="62"/>
        <v>0</v>
      </c>
      <c r="BU91" s="878">
        <f t="shared" si="90"/>
        <v>0</v>
      </c>
      <c r="CE91" s="486">
        <v>80</v>
      </c>
    </row>
    <row r="92" spans="1:83" s="177" customFormat="1" ht="21.95" customHeight="1" x14ac:dyDescent="0.2">
      <c r="A92" s="237">
        <f t="shared" si="63"/>
        <v>0</v>
      </c>
      <c r="B92" s="237">
        <f t="shared" si="64"/>
        <v>0</v>
      </c>
      <c r="C92" s="393">
        <f t="shared" si="49"/>
        <v>0</v>
      </c>
      <c r="D92" s="393" t="str">
        <f t="shared" si="50"/>
        <v xml:space="preserve">07 </v>
      </c>
      <c r="E92" s="959" t="s">
        <v>2043</v>
      </c>
      <c r="F92" s="959" t="s">
        <v>2044</v>
      </c>
      <c r="G92" s="959" t="s">
        <v>90</v>
      </c>
      <c r="H92" s="965">
        <v>188.95</v>
      </c>
      <c r="I92" s="970">
        <v>22.8644</v>
      </c>
      <c r="J92" s="964">
        <v>4320.2299999999996</v>
      </c>
      <c r="K92" s="367">
        <v>0</v>
      </c>
      <c r="L92" s="367">
        <f>IF($H92="",0,VLOOKUP($E92,Plan3!$A$16:$CT$384,$E$7,0)%)</f>
        <v>0</v>
      </c>
      <c r="M92" s="368">
        <f t="shared" si="70"/>
        <v>0</v>
      </c>
      <c r="N92" s="368">
        <f t="shared" si="71"/>
        <v>0</v>
      </c>
      <c r="O92" s="367">
        <v>0</v>
      </c>
      <c r="P92" s="367">
        <f>VLOOKUP($E92,Plan3!$A$492:$P$858,13,0)%</f>
        <v>0</v>
      </c>
      <c r="Q92" s="368">
        <f t="shared" si="72"/>
        <v>0</v>
      </c>
      <c r="R92" s="368">
        <f t="shared" si="73"/>
        <v>0</v>
      </c>
      <c r="S92" s="880">
        <v>4370.3446679999997</v>
      </c>
      <c r="T92" s="880">
        <f t="shared" si="74"/>
        <v>0</v>
      </c>
      <c r="U92" s="880">
        <f>IF($I92="",0,($S92-$T92)*(1+('Econômico Macro'!$R$12/100)))</f>
        <v>4445.9516307563999</v>
      </c>
      <c r="V92" s="880">
        <f t="shared" si="75"/>
        <v>4445.9516307563999</v>
      </c>
      <c r="W92" s="880">
        <f t="shared" si="76"/>
        <v>0</v>
      </c>
      <c r="X92" s="367">
        <f t="shared" si="51"/>
        <v>0</v>
      </c>
      <c r="Y92" s="367">
        <f t="shared" si="52"/>
        <v>0</v>
      </c>
      <c r="Z92" s="367">
        <f t="shared" si="53"/>
        <v>0</v>
      </c>
      <c r="AA92" s="367">
        <f t="shared" si="54"/>
        <v>0</v>
      </c>
      <c r="AB92" s="369" t="str">
        <f t="shared" si="55"/>
        <v>Não Iniciada</v>
      </c>
      <c r="AC92" s="365"/>
      <c r="AD92" s="368">
        <v>1</v>
      </c>
      <c r="AE92" s="368">
        <f t="shared" si="77"/>
        <v>-1</v>
      </c>
      <c r="AF92" s="365"/>
      <c r="AG92" s="863">
        <f t="shared" si="65"/>
        <v>0</v>
      </c>
      <c r="AH92" s="864">
        <f t="shared" si="78"/>
        <v>0</v>
      </c>
      <c r="AI92" s="863">
        <f t="shared" si="66"/>
        <v>0</v>
      </c>
      <c r="AJ92" s="864">
        <f t="shared" si="79"/>
        <v>0</v>
      </c>
      <c r="AK92" s="365"/>
      <c r="AL92" s="865">
        <f t="shared" si="67"/>
        <v>0</v>
      </c>
      <c r="AM92" s="866">
        <f t="shared" si="80"/>
        <v>0</v>
      </c>
      <c r="AN92" s="866">
        <f t="shared" si="81"/>
        <v>0</v>
      </c>
      <c r="AO92" s="866">
        <f t="shared" si="82"/>
        <v>0</v>
      </c>
      <c r="AP92" s="867">
        <f t="shared" si="83"/>
        <v>0</v>
      </c>
      <c r="AQ92" s="591">
        <f t="shared" si="68"/>
        <v>0</v>
      </c>
      <c r="AR92" s="868">
        <f>IF(AND($L92=0,$P92=0)=TRUE,VLOOKUP($E92,Plan3!$A$16:$CT$487,$E$7+3,0)/100,0)</f>
        <v>0</v>
      </c>
      <c r="AS92" s="868">
        <f>IF(AND($L92=0,$P92=0)=TRUE,VLOOKUP($E92,Plan3!$A$16:$CT$487,$E$7+6,0)/100,0)</f>
        <v>0</v>
      </c>
      <c r="AT92" s="868">
        <f>IF(AND($L92=0,$P92=0)=TRUE,VLOOKUP($E92,Plan3!$A$16:$CT$487,$E$7+9,0)/100,0)</f>
        <v>0</v>
      </c>
      <c r="AU92" s="868">
        <f>IF(AND($L92=0,$P92=0)=TRUE,VLOOKUP($E92,Plan3!$A$16:$CT$487,$E$7+12,0)/100,0)</f>
        <v>0</v>
      </c>
      <c r="AV92" s="841"/>
      <c r="AW92" s="869">
        <f t="shared" si="84"/>
        <v>0</v>
      </c>
      <c r="AX92" s="870">
        <f t="shared" si="85"/>
        <v>0</v>
      </c>
      <c r="AY92" s="871">
        <f t="shared" si="86"/>
        <v>0</v>
      </c>
      <c r="AZ92" s="237" t="str">
        <f t="shared" si="56"/>
        <v xml:space="preserve">07.002.000.002 </v>
      </c>
      <c r="BA92" s="365"/>
      <c r="BB92" s="365"/>
      <c r="BC92" s="365"/>
      <c r="BD92" s="365"/>
      <c r="BE92" s="365"/>
      <c r="BF92" s="365"/>
      <c r="BG92" s="365"/>
      <c r="BH92" s="365"/>
      <c r="BI92" s="365"/>
      <c r="BJ92" s="365"/>
      <c r="BK92" s="365"/>
      <c r="BL92" s="872">
        <f t="shared" si="57"/>
        <v>0</v>
      </c>
      <c r="BM92" s="873">
        <f t="shared" si="58"/>
        <v>0</v>
      </c>
      <c r="BN92" s="874">
        <f t="shared" si="87"/>
        <v>0</v>
      </c>
      <c r="BO92" s="875">
        <f t="shared" si="59"/>
        <v>0</v>
      </c>
      <c r="BP92" s="875">
        <f t="shared" si="60"/>
        <v>0</v>
      </c>
      <c r="BQ92" s="876">
        <f t="shared" si="88"/>
        <v>0</v>
      </c>
      <c r="BR92" s="877">
        <f t="shared" si="89"/>
        <v>0</v>
      </c>
      <c r="BS92" s="875">
        <f t="shared" si="61"/>
        <v>0</v>
      </c>
      <c r="BT92" s="875">
        <f t="shared" si="62"/>
        <v>0</v>
      </c>
      <c r="BU92" s="878">
        <f t="shared" si="90"/>
        <v>0</v>
      </c>
      <c r="CE92" s="486">
        <v>81</v>
      </c>
    </row>
    <row r="93" spans="1:83" s="177" customFormat="1" ht="21.95" customHeight="1" x14ac:dyDescent="0.2">
      <c r="A93" s="237">
        <f t="shared" si="63"/>
        <v>0</v>
      </c>
      <c r="B93" s="237">
        <f t="shared" si="64"/>
        <v>0</v>
      </c>
      <c r="C93" s="393">
        <f t="shared" si="49"/>
        <v>0</v>
      </c>
      <c r="D93" s="393" t="str">
        <f t="shared" si="50"/>
        <v xml:space="preserve">07 </v>
      </c>
      <c r="E93" s="959" t="s">
        <v>2045</v>
      </c>
      <c r="F93" s="959" t="s">
        <v>2046</v>
      </c>
      <c r="G93" s="959" t="s">
        <v>90</v>
      </c>
      <c r="H93" s="970">
        <v>48.2</v>
      </c>
      <c r="I93" s="970">
        <v>54.453000000000003</v>
      </c>
      <c r="J93" s="964">
        <v>2624.63</v>
      </c>
      <c r="K93" s="367">
        <v>0</v>
      </c>
      <c r="L93" s="367">
        <f>IF($H93="",0,VLOOKUP($E93,Plan3!$A$16:$CT$384,$E$7,0)%)</f>
        <v>0</v>
      </c>
      <c r="M93" s="368">
        <f t="shared" si="70"/>
        <v>0</v>
      </c>
      <c r="N93" s="368">
        <f t="shared" si="71"/>
        <v>0</v>
      </c>
      <c r="O93" s="367">
        <v>0</v>
      </c>
      <c r="P93" s="367">
        <f>VLOOKUP($E93,Plan3!$A$492:$P$858,13,0)%</f>
        <v>0</v>
      </c>
      <c r="Q93" s="368">
        <f t="shared" si="72"/>
        <v>0</v>
      </c>
      <c r="R93" s="368">
        <f t="shared" si="73"/>
        <v>0</v>
      </c>
      <c r="S93" s="880">
        <v>2655.0757080000003</v>
      </c>
      <c r="T93" s="880">
        <f t="shared" si="74"/>
        <v>0</v>
      </c>
      <c r="U93" s="880">
        <f>IF($I93="",0,($S93-$T93)*(1+('Econômico Macro'!$R$12/100)))</f>
        <v>2701.0085177484007</v>
      </c>
      <c r="V93" s="880">
        <f t="shared" si="75"/>
        <v>2701.0085177484007</v>
      </c>
      <c r="W93" s="880">
        <f t="shared" si="76"/>
        <v>0</v>
      </c>
      <c r="X93" s="367">
        <f t="shared" si="51"/>
        <v>0</v>
      </c>
      <c r="Y93" s="367">
        <f t="shared" si="52"/>
        <v>0</v>
      </c>
      <c r="Z93" s="367">
        <f t="shared" si="53"/>
        <v>0</v>
      </c>
      <c r="AA93" s="367">
        <f t="shared" si="54"/>
        <v>0</v>
      </c>
      <c r="AB93" s="369" t="str">
        <f t="shared" si="55"/>
        <v>Não Iniciada</v>
      </c>
      <c r="AC93" s="365"/>
      <c r="AD93" s="368">
        <v>1</v>
      </c>
      <c r="AE93" s="368">
        <f t="shared" si="77"/>
        <v>-1</v>
      </c>
      <c r="AF93" s="365"/>
      <c r="AG93" s="863">
        <f t="shared" si="65"/>
        <v>0</v>
      </c>
      <c r="AH93" s="864">
        <f t="shared" si="78"/>
        <v>0</v>
      </c>
      <c r="AI93" s="863">
        <f t="shared" si="66"/>
        <v>0</v>
      </c>
      <c r="AJ93" s="864">
        <f t="shared" si="79"/>
        <v>0</v>
      </c>
      <c r="AK93" s="365"/>
      <c r="AL93" s="865">
        <f t="shared" si="67"/>
        <v>0</v>
      </c>
      <c r="AM93" s="866">
        <f t="shared" si="80"/>
        <v>0</v>
      </c>
      <c r="AN93" s="866">
        <f t="shared" si="81"/>
        <v>0</v>
      </c>
      <c r="AO93" s="866">
        <f t="shared" si="82"/>
        <v>0</v>
      </c>
      <c r="AP93" s="867">
        <f t="shared" si="83"/>
        <v>0</v>
      </c>
      <c r="AQ93" s="591">
        <f t="shared" si="68"/>
        <v>0</v>
      </c>
      <c r="AR93" s="868">
        <f>IF(AND($L93=0,$P93=0)=TRUE,VLOOKUP($E93,Plan3!$A$16:$CT$487,$E$7+3,0)/100,0)</f>
        <v>0</v>
      </c>
      <c r="AS93" s="868">
        <f>IF(AND($L93=0,$P93=0)=TRUE,VLOOKUP($E93,Plan3!$A$16:$CT$487,$E$7+6,0)/100,0)</f>
        <v>0</v>
      </c>
      <c r="AT93" s="868">
        <f>IF(AND($L93=0,$P93=0)=TRUE,VLOOKUP($E93,Plan3!$A$16:$CT$487,$E$7+9,0)/100,0)</f>
        <v>0</v>
      </c>
      <c r="AU93" s="868">
        <f>IF(AND($L93=0,$P93=0)=TRUE,VLOOKUP($E93,Plan3!$A$16:$CT$487,$E$7+12,0)/100,0)</f>
        <v>0</v>
      </c>
      <c r="AV93" s="841"/>
      <c r="AW93" s="869">
        <f t="shared" si="84"/>
        <v>0</v>
      </c>
      <c r="AX93" s="870">
        <f t="shared" si="85"/>
        <v>0</v>
      </c>
      <c r="AY93" s="871">
        <f t="shared" si="86"/>
        <v>0</v>
      </c>
      <c r="AZ93" s="237" t="str">
        <f t="shared" si="56"/>
        <v xml:space="preserve">07.002.000.003 </v>
      </c>
      <c r="BA93" s="365"/>
      <c r="BB93" s="365"/>
      <c r="BC93" s="365"/>
      <c r="BD93" s="365"/>
      <c r="BE93" s="365"/>
      <c r="BF93" s="365"/>
      <c r="BG93" s="365"/>
      <c r="BH93" s="365"/>
      <c r="BI93" s="365"/>
      <c r="BJ93" s="365"/>
      <c r="BK93" s="365"/>
      <c r="BL93" s="872">
        <f t="shared" si="57"/>
        <v>0</v>
      </c>
      <c r="BM93" s="873">
        <f t="shared" si="58"/>
        <v>0</v>
      </c>
      <c r="BN93" s="874">
        <f t="shared" si="87"/>
        <v>0</v>
      </c>
      <c r="BO93" s="875">
        <f t="shared" si="59"/>
        <v>0</v>
      </c>
      <c r="BP93" s="875">
        <f t="shared" si="60"/>
        <v>0</v>
      </c>
      <c r="BQ93" s="876">
        <f t="shared" si="88"/>
        <v>0</v>
      </c>
      <c r="BR93" s="877">
        <f t="shared" si="89"/>
        <v>0</v>
      </c>
      <c r="BS93" s="875">
        <f t="shared" si="61"/>
        <v>0</v>
      </c>
      <c r="BT93" s="875">
        <f t="shared" si="62"/>
        <v>0</v>
      </c>
      <c r="BU93" s="878">
        <f t="shared" si="90"/>
        <v>0</v>
      </c>
      <c r="CE93" s="486">
        <v>82</v>
      </c>
    </row>
    <row r="94" spans="1:83" s="177" customFormat="1" ht="21.95" customHeight="1" x14ac:dyDescent="0.2">
      <c r="A94" s="237">
        <f t="shared" si="63"/>
        <v>0</v>
      </c>
      <c r="B94" s="237">
        <f t="shared" si="64"/>
        <v>0</v>
      </c>
      <c r="C94" s="393">
        <f t="shared" si="49"/>
        <v>0</v>
      </c>
      <c r="D94" s="393" t="str">
        <f t="shared" si="50"/>
        <v xml:space="preserve">07 </v>
      </c>
      <c r="E94" s="959" t="s">
        <v>2047</v>
      </c>
      <c r="F94" s="959" t="s">
        <v>2048</v>
      </c>
      <c r="G94" s="959" t="s">
        <v>90</v>
      </c>
      <c r="H94" s="970">
        <v>48.2</v>
      </c>
      <c r="I94" s="970">
        <v>91.657600000000002</v>
      </c>
      <c r="J94" s="964">
        <v>4417.8999999999996</v>
      </c>
      <c r="K94" s="367">
        <v>0</v>
      </c>
      <c r="L94" s="367">
        <f>IF($H94="",0,VLOOKUP($E94,Plan3!$A$16:$CT$384,$E$7,0)%)</f>
        <v>0</v>
      </c>
      <c r="M94" s="368">
        <f t="shared" si="70"/>
        <v>0</v>
      </c>
      <c r="N94" s="368">
        <f t="shared" si="71"/>
        <v>0</v>
      </c>
      <c r="O94" s="367">
        <v>0</v>
      </c>
      <c r="P94" s="367">
        <f>VLOOKUP($E94,Plan3!$A$492:$P$858,13,0)%</f>
        <v>0</v>
      </c>
      <c r="Q94" s="368">
        <f t="shared" si="72"/>
        <v>0</v>
      </c>
      <c r="R94" s="368">
        <f t="shared" si="73"/>
        <v>0</v>
      </c>
      <c r="S94" s="880">
        <v>4469.1476400000001</v>
      </c>
      <c r="T94" s="880">
        <f t="shared" si="74"/>
        <v>0</v>
      </c>
      <c r="U94" s="880">
        <f>IF($I94="",0,($S94-$T94)*(1+('Econômico Macro'!$R$12/100)))</f>
        <v>4546.4638941720004</v>
      </c>
      <c r="V94" s="880">
        <f t="shared" si="75"/>
        <v>4546.4638941720004</v>
      </c>
      <c r="W94" s="880">
        <f t="shared" si="76"/>
        <v>0</v>
      </c>
      <c r="X94" s="367">
        <f t="shared" si="51"/>
        <v>0</v>
      </c>
      <c r="Y94" s="367">
        <f t="shared" si="52"/>
        <v>0</v>
      </c>
      <c r="Z94" s="367">
        <f t="shared" si="53"/>
        <v>0</v>
      </c>
      <c r="AA94" s="367">
        <f t="shared" si="54"/>
        <v>0</v>
      </c>
      <c r="AB94" s="369" t="str">
        <f t="shared" si="55"/>
        <v>Não Iniciada</v>
      </c>
      <c r="AC94" s="365"/>
      <c r="AD94" s="368">
        <v>1</v>
      </c>
      <c r="AE94" s="368">
        <f t="shared" si="77"/>
        <v>-1</v>
      </c>
      <c r="AF94" s="365"/>
      <c r="AG94" s="863">
        <f t="shared" si="65"/>
        <v>0</v>
      </c>
      <c r="AH94" s="864">
        <f t="shared" si="78"/>
        <v>0</v>
      </c>
      <c r="AI94" s="863">
        <f t="shared" si="66"/>
        <v>0</v>
      </c>
      <c r="AJ94" s="864">
        <f t="shared" si="79"/>
        <v>0</v>
      </c>
      <c r="AK94" s="365"/>
      <c r="AL94" s="865">
        <f t="shared" si="67"/>
        <v>0</v>
      </c>
      <c r="AM94" s="866">
        <f t="shared" si="80"/>
        <v>0</v>
      </c>
      <c r="AN94" s="866">
        <f t="shared" si="81"/>
        <v>0</v>
      </c>
      <c r="AO94" s="866">
        <f t="shared" si="82"/>
        <v>0</v>
      </c>
      <c r="AP94" s="867">
        <f t="shared" si="83"/>
        <v>0</v>
      </c>
      <c r="AQ94" s="591">
        <f t="shared" si="68"/>
        <v>0</v>
      </c>
      <c r="AR94" s="868">
        <f>IF(AND($L94=0,$P94=0)=TRUE,VLOOKUP($E94,Plan3!$A$16:$CT$487,$E$7+3,0)/100,0)</f>
        <v>0</v>
      </c>
      <c r="AS94" s="868">
        <f>IF(AND($L94=0,$P94=0)=TRUE,VLOOKUP($E94,Plan3!$A$16:$CT$487,$E$7+6,0)/100,0)</f>
        <v>0</v>
      </c>
      <c r="AT94" s="868">
        <f>IF(AND($L94=0,$P94=0)=TRUE,VLOOKUP($E94,Plan3!$A$16:$CT$487,$E$7+9,0)/100,0)</f>
        <v>0</v>
      </c>
      <c r="AU94" s="868">
        <f>IF(AND($L94=0,$P94=0)=TRUE,VLOOKUP($E94,Plan3!$A$16:$CT$487,$E$7+12,0)/100,0)</f>
        <v>0</v>
      </c>
      <c r="AV94" s="841"/>
      <c r="AW94" s="869">
        <f t="shared" si="84"/>
        <v>0</v>
      </c>
      <c r="AX94" s="870">
        <f t="shared" si="85"/>
        <v>0</v>
      </c>
      <c r="AY94" s="871">
        <f t="shared" si="86"/>
        <v>0</v>
      </c>
      <c r="AZ94" s="237" t="str">
        <f t="shared" si="56"/>
        <v xml:space="preserve">07.002.000.004 </v>
      </c>
      <c r="BA94" s="365"/>
      <c r="BB94" s="365"/>
      <c r="BC94" s="365"/>
      <c r="BD94" s="365"/>
      <c r="BE94" s="365"/>
      <c r="BF94" s="365"/>
      <c r="BG94" s="365"/>
      <c r="BH94" s="365"/>
      <c r="BI94" s="365"/>
      <c r="BJ94" s="365"/>
      <c r="BK94" s="365"/>
      <c r="BL94" s="872">
        <f t="shared" si="57"/>
        <v>0</v>
      </c>
      <c r="BM94" s="873">
        <f t="shared" si="58"/>
        <v>0</v>
      </c>
      <c r="BN94" s="874">
        <f t="shared" si="87"/>
        <v>0</v>
      </c>
      <c r="BO94" s="875">
        <f t="shared" si="59"/>
        <v>0</v>
      </c>
      <c r="BP94" s="875">
        <f t="shared" si="60"/>
        <v>0</v>
      </c>
      <c r="BQ94" s="876">
        <f t="shared" si="88"/>
        <v>0</v>
      </c>
      <c r="BR94" s="877">
        <f t="shared" si="89"/>
        <v>0</v>
      </c>
      <c r="BS94" s="875">
        <f t="shared" si="61"/>
        <v>0</v>
      </c>
      <c r="BT94" s="875">
        <f t="shared" si="62"/>
        <v>0</v>
      </c>
      <c r="BU94" s="878">
        <f t="shared" si="90"/>
        <v>0</v>
      </c>
      <c r="CE94" s="486">
        <v>83</v>
      </c>
    </row>
    <row r="95" spans="1:83" s="177" customFormat="1" ht="21.95" customHeight="1" x14ac:dyDescent="0.2">
      <c r="A95" s="237">
        <f t="shared" si="63"/>
        <v>0</v>
      </c>
      <c r="B95" s="237">
        <f t="shared" si="64"/>
        <v>0</v>
      </c>
      <c r="C95" s="393">
        <f t="shared" si="49"/>
        <v>0</v>
      </c>
      <c r="D95" s="393" t="str">
        <f t="shared" si="50"/>
        <v xml:space="preserve">07 </v>
      </c>
      <c r="E95" s="967" t="s">
        <v>625</v>
      </c>
      <c r="F95" s="967" t="s">
        <v>626</v>
      </c>
      <c r="G95" s="967"/>
      <c r="H95" s="968"/>
      <c r="I95" s="968"/>
      <c r="J95" s="969">
        <v>25695.18</v>
      </c>
      <c r="K95" s="367">
        <v>0</v>
      </c>
      <c r="L95" s="367">
        <f>IF($H95="",0,VLOOKUP($E95,Plan3!$A$16:$CT$384,$E$7,0)%)</f>
        <v>0</v>
      </c>
      <c r="M95" s="368">
        <f t="shared" si="70"/>
        <v>0</v>
      </c>
      <c r="N95" s="368">
        <f t="shared" si="71"/>
        <v>0</v>
      </c>
      <c r="O95" s="367">
        <v>0</v>
      </c>
      <c r="P95" s="367">
        <f>VLOOKUP($E95,Plan3!$A$492:$P$858,13,0)%</f>
        <v>0</v>
      </c>
      <c r="Q95" s="368">
        <f t="shared" si="72"/>
        <v>0</v>
      </c>
      <c r="R95" s="368">
        <f t="shared" si="73"/>
        <v>0</v>
      </c>
      <c r="S95" s="880">
        <v>0</v>
      </c>
      <c r="T95" s="880">
        <f t="shared" si="74"/>
        <v>0</v>
      </c>
      <c r="U95" s="880">
        <f>IF($I95="",0,($S95-$T95)*(1+('Econômico Macro'!$R$12/100)))</f>
        <v>0</v>
      </c>
      <c r="V95" s="880">
        <f t="shared" si="75"/>
        <v>0</v>
      </c>
      <c r="W95" s="880">
        <f t="shared" si="76"/>
        <v>0</v>
      </c>
      <c r="X95" s="367">
        <f t="shared" si="51"/>
        <v>0</v>
      </c>
      <c r="Y95" s="367">
        <f t="shared" si="52"/>
        <v>0</v>
      </c>
      <c r="Z95" s="367">
        <f t="shared" si="53"/>
        <v>0</v>
      </c>
      <c r="AA95" s="367">
        <f t="shared" si="54"/>
        <v>0</v>
      </c>
      <c r="AB95" s="369" t="str">
        <f t="shared" si="55"/>
        <v>Não Iniciada</v>
      </c>
      <c r="AC95" s="365"/>
      <c r="AD95" s="368">
        <v>1</v>
      </c>
      <c r="AE95" s="368">
        <f t="shared" si="77"/>
        <v>-1</v>
      </c>
      <c r="AF95" s="365"/>
      <c r="AG95" s="863">
        <f t="shared" si="65"/>
        <v>0</v>
      </c>
      <c r="AH95" s="864">
        <f t="shared" si="78"/>
        <v>0</v>
      </c>
      <c r="AI95" s="863">
        <f t="shared" si="66"/>
        <v>0</v>
      </c>
      <c r="AJ95" s="864">
        <f t="shared" si="79"/>
        <v>0</v>
      </c>
      <c r="AK95" s="365"/>
      <c r="AL95" s="865">
        <f t="shared" si="67"/>
        <v>0</v>
      </c>
      <c r="AM95" s="866">
        <f t="shared" si="80"/>
        <v>0</v>
      </c>
      <c r="AN95" s="866">
        <f t="shared" si="81"/>
        <v>0</v>
      </c>
      <c r="AO95" s="866">
        <f t="shared" si="82"/>
        <v>0</v>
      </c>
      <c r="AP95" s="867">
        <f t="shared" si="83"/>
        <v>0</v>
      </c>
      <c r="AQ95" s="591"/>
      <c r="AR95" s="868"/>
      <c r="AS95" s="868"/>
      <c r="AT95" s="868"/>
      <c r="AU95" s="868"/>
      <c r="AV95" s="841"/>
      <c r="AW95" s="869"/>
      <c r="AX95" s="870"/>
      <c r="AY95" s="871"/>
      <c r="AZ95" s="237" t="str">
        <f t="shared" si="56"/>
        <v xml:space="preserve">07.003 </v>
      </c>
      <c r="BA95" s="365"/>
      <c r="BB95" s="365"/>
      <c r="BC95" s="365"/>
      <c r="BD95" s="365"/>
      <c r="BE95" s="365"/>
      <c r="BF95" s="365"/>
      <c r="BG95" s="365"/>
      <c r="BH95" s="365"/>
      <c r="BI95" s="365"/>
      <c r="BJ95" s="365"/>
      <c r="BK95" s="365"/>
      <c r="BL95" s="872">
        <f t="shared" si="57"/>
        <v>0</v>
      </c>
      <c r="BM95" s="873">
        <f t="shared" si="58"/>
        <v>0</v>
      </c>
      <c r="BN95" s="874">
        <f t="shared" si="87"/>
        <v>0</v>
      </c>
      <c r="BO95" s="875">
        <f t="shared" si="59"/>
        <v>0</v>
      </c>
      <c r="BP95" s="875">
        <f t="shared" si="60"/>
        <v>0</v>
      </c>
      <c r="BQ95" s="876">
        <f t="shared" si="88"/>
        <v>0</v>
      </c>
      <c r="BR95" s="877">
        <f t="shared" si="89"/>
        <v>0</v>
      </c>
      <c r="BS95" s="875">
        <f t="shared" si="61"/>
        <v>0</v>
      </c>
      <c r="BT95" s="875">
        <f t="shared" si="62"/>
        <v>0</v>
      </c>
      <c r="BU95" s="878">
        <f t="shared" si="90"/>
        <v>0</v>
      </c>
      <c r="CE95" s="486">
        <v>84</v>
      </c>
    </row>
    <row r="96" spans="1:83" s="177" customFormat="1" ht="21.95" customHeight="1" x14ac:dyDescent="0.2">
      <c r="A96" s="237">
        <f t="shared" si="63"/>
        <v>0</v>
      </c>
      <c r="B96" s="237">
        <f t="shared" si="64"/>
        <v>0</v>
      </c>
      <c r="C96" s="393">
        <f t="shared" si="49"/>
        <v>0</v>
      </c>
      <c r="D96" s="393" t="str">
        <f t="shared" si="50"/>
        <v xml:space="preserve">07 </v>
      </c>
      <c r="E96" s="959" t="s">
        <v>627</v>
      </c>
      <c r="F96" s="959" t="s">
        <v>109</v>
      </c>
      <c r="G96" s="959" t="s">
        <v>94</v>
      </c>
      <c r="H96" s="960">
        <v>4.71</v>
      </c>
      <c r="I96" s="963">
        <v>1344</v>
      </c>
      <c r="J96" s="964">
        <v>6330.24</v>
      </c>
      <c r="K96" s="367">
        <v>0</v>
      </c>
      <c r="L96" s="367">
        <f>IF($H96="",0,VLOOKUP($E96,Plan3!$A$16:$CT$384,$E$7,0)%)</f>
        <v>0</v>
      </c>
      <c r="M96" s="368">
        <f t="shared" si="70"/>
        <v>0</v>
      </c>
      <c r="N96" s="368">
        <f t="shared" si="71"/>
        <v>0</v>
      </c>
      <c r="O96" s="367">
        <v>0</v>
      </c>
      <c r="P96" s="367">
        <f>VLOOKUP($E96,Plan3!$A$492:$P$858,13,0)%</f>
        <v>0</v>
      </c>
      <c r="Q96" s="368">
        <f t="shared" si="72"/>
        <v>0</v>
      </c>
      <c r="R96" s="368">
        <f t="shared" si="73"/>
        <v>0</v>
      </c>
      <c r="S96" s="880">
        <v>6403.6707839999999</v>
      </c>
      <c r="T96" s="880">
        <f t="shared" si="74"/>
        <v>0</v>
      </c>
      <c r="U96" s="880">
        <f>IF($I96="",0,($S96-$T96)*(1+('Econômico Macro'!$R$12/100)))</f>
        <v>6514.4542885632009</v>
      </c>
      <c r="V96" s="880">
        <f t="shared" si="75"/>
        <v>6514.4542885632009</v>
      </c>
      <c r="W96" s="880">
        <f t="shared" si="76"/>
        <v>0</v>
      </c>
      <c r="X96" s="367">
        <f t="shared" si="51"/>
        <v>0</v>
      </c>
      <c r="Y96" s="367">
        <f t="shared" si="52"/>
        <v>0</v>
      </c>
      <c r="Z96" s="367">
        <f t="shared" si="53"/>
        <v>0</v>
      </c>
      <c r="AA96" s="367">
        <f t="shared" si="54"/>
        <v>0</v>
      </c>
      <c r="AB96" s="369" t="str">
        <f t="shared" si="55"/>
        <v>Não Iniciada</v>
      </c>
      <c r="AC96" s="365"/>
      <c r="AD96" s="368">
        <v>1</v>
      </c>
      <c r="AE96" s="368">
        <f t="shared" si="77"/>
        <v>-1</v>
      </c>
      <c r="AF96" s="365"/>
      <c r="AG96" s="863">
        <f t="shared" si="65"/>
        <v>0</v>
      </c>
      <c r="AH96" s="864">
        <f t="shared" si="78"/>
        <v>0</v>
      </c>
      <c r="AI96" s="863">
        <f t="shared" si="66"/>
        <v>0</v>
      </c>
      <c r="AJ96" s="864">
        <f t="shared" si="79"/>
        <v>0</v>
      </c>
      <c r="AK96" s="365"/>
      <c r="AL96" s="865">
        <f t="shared" si="67"/>
        <v>0</v>
      </c>
      <c r="AM96" s="866">
        <f t="shared" si="80"/>
        <v>0</v>
      </c>
      <c r="AN96" s="866">
        <f t="shared" si="81"/>
        <v>0</v>
      </c>
      <c r="AO96" s="866">
        <f t="shared" si="82"/>
        <v>0</v>
      </c>
      <c r="AP96" s="867">
        <f t="shared" si="83"/>
        <v>0</v>
      </c>
      <c r="AQ96" s="591">
        <f t="shared" si="68"/>
        <v>0</v>
      </c>
      <c r="AR96" s="868">
        <f>IF(AND($L96=0,$P96=0)=TRUE,VLOOKUP($E96,Plan3!$A$16:$CT$487,$E$7+3,0)/100,0)</f>
        <v>0</v>
      </c>
      <c r="AS96" s="868">
        <f>IF(AND($L96=0,$P96=0)=TRUE,VLOOKUP($E96,Plan3!$A$16:$CT$487,$E$7+6,0)/100,0)</f>
        <v>0</v>
      </c>
      <c r="AT96" s="868">
        <f>IF(AND($L96=0,$P96=0)=TRUE,VLOOKUP($E96,Plan3!$A$16:$CT$487,$E$7+9,0)/100,0)</f>
        <v>0</v>
      </c>
      <c r="AU96" s="868">
        <f>IF(AND($L96=0,$P96=0)=TRUE,VLOOKUP($E96,Plan3!$A$16:$CT$487,$E$7+12,0)/100,0)</f>
        <v>0</v>
      </c>
      <c r="AV96" s="841"/>
      <c r="AW96" s="869">
        <f t="shared" si="84"/>
        <v>0</v>
      </c>
      <c r="AX96" s="870">
        <f t="shared" si="85"/>
        <v>0</v>
      </c>
      <c r="AY96" s="871">
        <f t="shared" si="86"/>
        <v>0</v>
      </c>
      <c r="AZ96" s="237" t="str">
        <f t="shared" si="56"/>
        <v xml:space="preserve">07.003.000.001 </v>
      </c>
      <c r="BA96" s="365"/>
      <c r="BB96" s="365"/>
      <c r="BC96" s="365"/>
      <c r="BD96" s="365"/>
      <c r="BE96" s="365"/>
      <c r="BF96" s="365"/>
      <c r="BG96" s="365"/>
      <c r="BH96" s="365"/>
      <c r="BI96" s="365"/>
      <c r="BJ96" s="365"/>
      <c r="BK96" s="365"/>
      <c r="BL96" s="872">
        <f t="shared" si="57"/>
        <v>0</v>
      </c>
      <c r="BM96" s="873">
        <f t="shared" si="58"/>
        <v>0</v>
      </c>
      <c r="BN96" s="874">
        <f t="shared" si="87"/>
        <v>0</v>
      </c>
      <c r="BO96" s="875">
        <f t="shared" si="59"/>
        <v>0</v>
      </c>
      <c r="BP96" s="875">
        <f t="shared" si="60"/>
        <v>0</v>
      </c>
      <c r="BQ96" s="876">
        <f t="shared" si="88"/>
        <v>0</v>
      </c>
      <c r="BR96" s="877">
        <f t="shared" si="89"/>
        <v>0</v>
      </c>
      <c r="BS96" s="875">
        <f t="shared" si="61"/>
        <v>0</v>
      </c>
      <c r="BT96" s="875">
        <f t="shared" si="62"/>
        <v>0</v>
      </c>
      <c r="BU96" s="878">
        <f t="shared" si="90"/>
        <v>0</v>
      </c>
      <c r="CE96" s="486">
        <v>85</v>
      </c>
    </row>
    <row r="97" spans="1:83" s="177" customFormat="1" ht="21.95" customHeight="1" x14ac:dyDescent="0.2">
      <c r="A97" s="237">
        <f t="shared" si="63"/>
        <v>0</v>
      </c>
      <c r="B97" s="237">
        <f t="shared" si="64"/>
        <v>0</v>
      </c>
      <c r="C97" s="393">
        <f t="shared" si="49"/>
        <v>0</v>
      </c>
      <c r="D97" s="393" t="str">
        <f t="shared" si="50"/>
        <v xml:space="preserve">07 </v>
      </c>
      <c r="E97" s="959" t="s">
        <v>628</v>
      </c>
      <c r="F97" s="959" t="s">
        <v>1397</v>
      </c>
      <c r="G97" s="959" t="s">
        <v>15</v>
      </c>
      <c r="H97" s="963">
        <v>1572.72</v>
      </c>
      <c r="I97" s="960">
        <v>3.93</v>
      </c>
      <c r="J97" s="964">
        <v>6180.79</v>
      </c>
      <c r="K97" s="367">
        <v>0</v>
      </c>
      <c r="L97" s="367">
        <f>IF($H97="",0,VLOOKUP($E97,Plan3!$A$16:$CT$384,$E$7,0)%)</f>
        <v>0</v>
      </c>
      <c r="M97" s="368">
        <f t="shared" si="70"/>
        <v>0</v>
      </c>
      <c r="N97" s="368">
        <f t="shared" si="71"/>
        <v>0</v>
      </c>
      <c r="O97" s="367">
        <v>0</v>
      </c>
      <c r="P97" s="367">
        <f>VLOOKUP($E97,Plan3!$A$492:$P$858,13,0)%</f>
        <v>0</v>
      </c>
      <c r="Q97" s="368">
        <f t="shared" si="72"/>
        <v>0</v>
      </c>
      <c r="R97" s="368">
        <f t="shared" si="73"/>
        <v>0</v>
      </c>
      <c r="S97" s="880">
        <v>6252.4871640000001</v>
      </c>
      <c r="T97" s="880">
        <f t="shared" si="74"/>
        <v>0</v>
      </c>
      <c r="U97" s="880">
        <f>IF($I97="",0,($S97-$T97)*(1+('Econômico Macro'!$R$12/100)))</f>
        <v>6360.6551919372005</v>
      </c>
      <c r="V97" s="880">
        <f t="shared" si="75"/>
        <v>6360.6551919372005</v>
      </c>
      <c r="W97" s="880">
        <f t="shared" si="76"/>
        <v>0</v>
      </c>
      <c r="X97" s="367">
        <f t="shared" si="51"/>
        <v>0</v>
      </c>
      <c r="Y97" s="367">
        <f t="shared" si="52"/>
        <v>0</v>
      </c>
      <c r="Z97" s="367">
        <f t="shared" si="53"/>
        <v>0</v>
      </c>
      <c r="AA97" s="367">
        <f t="shared" si="54"/>
        <v>0</v>
      </c>
      <c r="AB97" s="369" t="str">
        <f t="shared" si="55"/>
        <v>Não Iniciada</v>
      </c>
      <c r="AC97" s="365"/>
      <c r="AD97" s="368">
        <v>1</v>
      </c>
      <c r="AE97" s="368">
        <f t="shared" si="77"/>
        <v>-1</v>
      </c>
      <c r="AF97" s="365"/>
      <c r="AG97" s="863">
        <f t="shared" si="65"/>
        <v>0</v>
      </c>
      <c r="AH97" s="864">
        <f t="shared" si="78"/>
        <v>0</v>
      </c>
      <c r="AI97" s="863">
        <f t="shared" si="66"/>
        <v>0</v>
      </c>
      <c r="AJ97" s="864">
        <f t="shared" si="79"/>
        <v>0</v>
      </c>
      <c r="AK97" s="365"/>
      <c r="AL97" s="865">
        <f t="shared" si="67"/>
        <v>0</v>
      </c>
      <c r="AM97" s="866">
        <f t="shared" si="80"/>
        <v>0</v>
      </c>
      <c r="AN97" s="866">
        <f t="shared" si="81"/>
        <v>0</v>
      </c>
      <c r="AO97" s="866">
        <f t="shared" si="82"/>
        <v>0</v>
      </c>
      <c r="AP97" s="867">
        <f t="shared" si="83"/>
        <v>0</v>
      </c>
      <c r="AQ97" s="591">
        <f t="shared" si="68"/>
        <v>0</v>
      </c>
      <c r="AR97" s="868">
        <f>IF(AND($L97=0,$P97=0)=TRUE,VLOOKUP($E97,Plan3!$A$16:$CT$487,$E$7+3,0)/100,0)</f>
        <v>0</v>
      </c>
      <c r="AS97" s="868">
        <f>IF(AND($L97=0,$P97=0)=TRUE,VLOOKUP($E97,Plan3!$A$16:$CT$487,$E$7+6,0)/100,0)</f>
        <v>0</v>
      </c>
      <c r="AT97" s="868">
        <f>IF(AND($L97=0,$P97=0)=TRUE,VLOOKUP($E97,Plan3!$A$16:$CT$487,$E$7+9,0)/100,0)</f>
        <v>0</v>
      </c>
      <c r="AU97" s="868">
        <f>IF(AND($L97=0,$P97=0)=TRUE,VLOOKUP($E97,Plan3!$A$16:$CT$487,$E$7+12,0)/100,0)</f>
        <v>0</v>
      </c>
      <c r="AV97" s="841"/>
      <c r="AW97" s="869">
        <f t="shared" si="84"/>
        <v>0</v>
      </c>
      <c r="AX97" s="870">
        <f t="shared" si="85"/>
        <v>0</v>
      </c>
      <c r="AY97" s="871">
        <f t="shared" si="86"/>
        <v>0</v>
      </c>
      <c r="AZ97" s="237" t="str">
        <f t="shared" si="56"/>
        <v xml:space="preserve">07.003.000.002 </v>
      </c>
      <c r="BA97" s="365"/>
      <c r="BB97" s="365"/>
      <c r="BC97" s="365"/>
      <c r="BD97" s="365"/>
      <c r="BE97" s="365"/>
      <c r="BF97" s="365"/>
      <c r="BG97" s="365"/>
      <c r="BH97" s="365"/>
      <c r="BI97" s="365"/>
      <c r="BJ97" s="365"/>
      <c r="BK97" s="365"/>
      <c r="BL97" s="872">
        <f t="shared" si="57"/>
        <v>0</v>
      </c>
      <c r="BM97" s="873">
        <f t="shared" si="58"/>
        <v>0</v>
      </c>
      <c r="BN97" s="874">
        <f t="shared" si="87"/>
        <v>0</v>
      </c>
      <c r="BO97" s="875">
        <f t="shared" si="59"/>
        <v>0</v>
      </c>
      <c r="BP97" s="875">
        <f t="shared" si="60"/>
        <v>0</v>
      </c>
      <c r="BQ97" s="876">
        <f t="shared" si="88"/>
        <v>0</v>
      </c>
      <c r="BR97" s="877">
        <f t="shared" si="89"/>
        <v>0</v>
      </c>
      <c r="BS97" s="875">
        <f t="shared" si="61"/>
        <v>0</v>
      </c>
      <c r="BT97" s="875">
        <f t="shared" si="62"/>
        <v>0</v>
      </c>
      <c r="BU97" s="878">
        <f t="shared" si="90"/>
        <v>0</v>
      </c>
      <c r="CE97" s="486">
        <v>86</v>
      </c>
    </row>
    <row r="98" spans="1:83" s="177" customFormat="1" ht="21.95" customHeight="1" x14ac:dyDescent="0.2">
      <c r="A98" s="237">
        <f t="shared" si="63"/>
        <v>0</v>
      </c>
      <c r="B98" s="237">
        <f t="shared" si="64"/>
        <v>0</v>
      </c>
      <c r="C98" s="393">
        <f t="shared" si="49"/>
        <v>0</v>
      </c>
      <c r="D98" s="393" t="str">
        <f t="shared" si="50"/>
        <v xml:space="preserve">07 </v>
      </c>
      <c r="E98" s="959" t="s">
        <v>629</v>
      </c>
      <c r="F98" s="959" t="s">
        <v>471</v>
      </c>
      <c r="G98" s="959" t="s">
        <v>94</v>
      </c>
      <c r="H98" s="970">
        <v>14.24</v>
      </c>
      <c r="I98" s="965">
        <v>925.8528</v>
      </c>
      <c r="J98" s="962">
        <v>13184.15</v>
      </c>
      <c r="K98" s="367">
        <v>0</v>
      </c>
      <c r="L98" s="367">
        <f>IF($H98="",0,VLOOKUP($E98,Plan3!$A$16:$CT$384,$E$7,0)%)</f>
        <v>0</v>
      </c>
      <c r="M98" s="368">
        <f t="shared" si="70"/>
        <v>0</v>
      </c>
      <c r="N98" s="368">
        <f t="shared" si="71"/>
        <v>0</v>
      </c>
      <c r="O98" s="367">
        <v>0</v>
      </c>
      <c r="P98" s="367">
        <f>VLOOKUP($E98,Plan3!$A$492:$P$858,13,0)%</f>
        <v>0</v>
      </c>
      <c r="Q98" s="368">
        <f t="shared" si="72"/>
        <v>0</v>
      </c>
      <c r="R98" s="368">
        <f t="shared" si="73"/>
        <v>0</v>
      </c>
      <c r="S98" s="880">
        <v>13337.086140000001</v>
      </c>
      <c r="T98" s="880">
        <f t="shared" si="74"/>
        <v>0</v>
      </c>
      <c r="U98" s="880">
        <f>IF($I98="",0,($S98-$T98)*(1+('Econômico Macro'!$R$12/100)))</f>
        <v>13567.817730222003</v>
      </c>
      <c r="V98" s="880">
        <f t="shared" si="75"/>
        <v>13567.817730222003</v>
      </c>
      <c r="W98" s="880">
        <f t="shared" si="76"/>
        <v>0</v>
      </c>
      <c r="X98" s="367">
        <f t="shared" si="51"/>
        <v>0</v>
      </c>
      <c r="Y98" s="367">
        <f t="shared" si="52"/>
        <v>0</v>
      </c>
      <c r="Z98" s="367">
        <f t="shared" si="53"/>
        <v>0</v>
      </c>
      <c r="AA98" s="367">
        <f t="shared" si="54"/>
        <v>0</v>
      </c>
      <c r="AB98" s="369" t="str">
        <f t="shared" si="55"/>
        <v>Não Iniciada</v>
      </c>
      <c r="AC98" s="365"/>
      <c r="AD98" s="368">
        <v>1</v>
      </c>
      <c r="AE98" s="368">
        <f t="shared" si="77"/>
        <v>-1</v>
      </c>
      <c r="AF98" s="365"/>
      <c r="AG98" s="863">
        <f t="shared" si="65"/>
        <v>0</v>
      </c>
      <c r="AH98" s="864">
        <f t="shared" si="78"/>
        <v>0</v>
      </c>
      <c r="AI98" s="863">
        <f t="shared" si="66"/>
        <v>0</v>
      </c>
      <c r="AJ98" s="864">
        <f t="shared" si="79"/>
        <v>0</v>
      </c>
      <c r="AK98" s="365"/>
      <c r="AL98" s="865">
        <f t="shared" si="67"/>
        <v>0</v>
      </c>
      <c r="AM98" s="866">
        <f t="shared" si="80"/>
        <v>0</v>
      </c>
      <c r="AN98" s="866">
        <f t="shared" si="81"/>
        <v>0</v>
      </c>
      <c r="AO98" s="866">
        <f t="shared" si="82"/>
        <v>0</v>
      </c>
      <c r="AP98" s="867">
        <f t="shared" si="83"/>
        <v>0</v>
      </c>
      <c r="AQ98" s="591">
        <f t="shared" si="68"/>
        <v>0</v>
      </c>
      <c r="AR98" s="868">
        <f>IF(AND($L98=0,$P98=0)=TRUE,VLOOKUP($E98,Plan3!$A$16:$CT$487,$E$7+3,0)/100,0)</f>
        <v>0</v>
      </c>
      <c r="AS98" s="868">
        <f>IF(AND($L98=0,$P98=0)=TRUE,VLOOKUP($E98,Plan3!$A$16:$CT$487,$E$7+6,0)/100,0)</f>
        <v>0</v>
      </c>
      <c r="AT98" s="868">
        <f>IF(AND($L98=0,$P98=0)=TRUE,VLOOKUP($E98,Plan3!$A$16:$CT$487,$E$7+9,0)/100,0)</f>
        <v>0</v>
      </c>
      <c r="AU98" s="868">
        <f>IF(AND($L98=0,$P98=0)=TRUE,VLOOKUP($E98,Plan3!$A$16:$CT$487,$E$7+12,0)/100,0)</f>
        <v>0</v>
      </c>
      <c r="AV98" s="841"/>
      <c r="AW98" s="869">
        <f t="shared" si="84"/>
        <v>0</v>
      </c>
      <c r="AX98" s="870">
        <f t="shared" si="85"/>
        <v>0</v>
      </c>
      <c r="AY98" s="871">
        <f t="shared" si="86"/>
        <v>0</v>
      </c>
      <c r="AZ98" s="237" t="str">
        <f t="shared" si="56"/>
        <v xml:space="preserve">07.003.000.003 </v>
      </c>
      <c r="BA98" s="365"/>
      <c r="BB98" s="365"/>
      <c r="BC98" s="365"/>
      <c r="BD98" s="365"/>
      <c r="BE98" s="365"/>
      <c r="BF98" s="365"/>
      <c r="BG98" s="365"/>
      <c r="BH98" s="365"/>
      <c r="BI98" s="365"/>
      <c r="BJ98" s="365"/>
      <c r="BK98" s="365"/>
      <c r="BL98" s="872">
        <f t="shared" si="57"/>
        <v>0</v>
      </c>
      <c r="BM98" s="873">
        <f t="shared" si="58"/>
        <v>0</v>
      </c>
      <c r="BN98" s="874">
        <f t="shared" si="87"/>
        <v>0</v>
      </c>
      <c r="BO98" s="875">
        <f t="shared" si="59"/>
        <v>0</v>
      </c>
      <c r="BP98" s="875">
        <f t="shared" si="60"/>
        <v>0</v>
      </c>
      <c r="BQ98" s="876">
        <f t="shared" si="88"/>
        <v>0</v>
      </c>
      <c r="BR98" s="877">
        <f t="shared" si="89"/>
        <v>0</v>
      </c>
      <c r="BS98" s="875">
        <f t="shared" si="61"/>
        <v>0</v>
      </c>
      <c r="BT98" s="875">
        <f t="shared" si="62"/>
        <v>0</v>
      </c>
      <c r="BU98" s="878">
        <f t="shared" si="90"/>
        <v>0</v>
      </c>
      <c r="CE98" s="486">
        <v>87</v>
      </c>
    </row>
    <row r="99" spans="1:83" s="177" customFormat="1" ht="21.95" customHeight="1" x14ac:dyDescent="0.2">
      <c r="A99" s="237">
        <f t="shared" si="63"/>
        <v>0</v>
      </c>
      <c r="B99" s="237">
        <f t="shared" si="64"/>
        <v>0</v>
      </c>
      <c r="C99" s="393">
        <f t="shared" si="49"/>
        <v>0</v>
      </c>
      <c r="D99" s="393" t="str">
        <f t="shared" si="50"/>
        <v xml:space="preserve">07 </v>
      </c>
      <c r="E99" s="967" t="s">
        <v>1398</v>
      </c>
      <c r="F99" s="967" t="s">
        <v>1399</v>
      </c>
      <c r="G99" s="967"/>
      <c r="H99" s="968"/>
      <c r="I99" s="968"/>
      <c r="J99" s="969">
        <v>38497</v>
      </c>
      <c r="K99" s="367">
        <v>0</v>
      </c>
      <c r="L99" s="367">
        <f>IF($H99="",0,VLOOKUP($E99,Plan3!$A$16:$CT$384,$E$7,0)%)</f>
        <v>0</v>
      </c>
      <c r="M99" s="368">
        <f t="shared" si="70"/>
        <v>0</v>
      </c>
      <c r="N99" s="368">
        <f t="shared" si="71"/>
        <v>0</v>
      </c>
      <c r="O99" s="367">
        <v>0</v>
      </c>
      <c r="P99" s="367">
        <f>VLOOKUP($E99,Plan3!$A$492:$P$858,13,0)%</f>
        <v>0</v>
      </c>
      <c r="Q99" s="368">
        <f t="shared" si="72"/>
        <v>0</v>
      </c>
      <c r="R99" s="368">
        <f t="shared" si="73"/>
        <v>0</v>
      </c>
      <c r="S99" s="880">
        <v>0</v>
      </c>
      <c r="T99" s="880">
        <f t="shared" si="74"/>
        <v>0</v>
      </c>
      <c r="U99" s="880">
        <f>IF($I99="",0,($S99-$T99)*(1+('Econômico Macro'!$R$12/100)))</f>
        <v>0</v>
      </c>
      <c r="V99" s="880">
        <f t="shared" si="75"/>
        <v>0</v>
      </c>
      <c r="W99" s="880">
        <f t="shared" si="76"/>
        <v>0</v>
      </c>
      <c r="X99" s="367">
        <f t="shared" si="51"/>
        <v>0</v>
      </c>
      <c r="Y99" s="367">
        <f t="shared" si="52"/>
        <v>0</v>
      </c>
      <c r="Z99" s="367">
        <f t="shared" si="53"/>
        <v>0</v>
      </c>
      <c r="AA99" s="367">
        <f t="shared" si="54"/>
        <v>0</v>
      </c>
      <c r="AB99" s="369" t="str">
        <f t="shared" si="55"/>
        <v>Não Iniciada</v>
      </c>
      <c r="AC99" s="365"/>
      <c r="AD99" s="368">
        <v>1</v>
      </c>
      <c r="AE99" s="368">
        <f t="shared" si="77"/>
        <v>-1</v>
      </c>
      <c r="AF99" s="365"/>
      <c r="AG99" s="863">
        <f t="shared" si="65"/>
        <v>0</v>
      </c>
      <c r="AH99" s="864">
        <f t="shared" si="78"/>
        <v>0</v>
      </c>
      <c r="AI99" s="863">
        <f t="shared" si="66"/>
        <v>0</v>
      </c>
      <c r="AJ99" s="864">
        <f t="shared" si="79"/>
        <v>0</v>
      </c>
      <c r="AK99" s="365"/>
      <c r="AL99" s="865">
        <f t="shared" si="67"/>
        <v>0</v>
      </c>
      <c r="AM99" s="866">
        <f t="shared" si="80"/>
        <v>0</v>
      </c>
      <c r="AN99" s="866">
        <f t="shared" si="81"/>
        <v>0</v>
      </c>
      <c r="AO99" s="866">
        <f t="shared" si="82"/>
        <v>0</v>
      </c>
      <c r="AP99" s="867">
        <f t="shared" si="83"/>
        <v>0</v>
      </c>
      <c r="AQ99" s="591"/>
      <c r="AR99" s="868"/>
      <c r="AS99" s="868"/>
      <c r="AT99" s="868"/>
      <c r="AU99" s="868"/>
      <c r="AV99" s="841"/>
      <c r="AW99" s="869"/>
      <c r="AX99" s="870"/>
      <c r="AY99" s="871"/>
      <c r="AZ99" s="237" t="str">
        <f t="shared" si="56"/>
        <v xml:space="preserve">07.004 </v>
      </c>
      <c r="BA99" s="365"/>
      <c r="BB99" s="365"/>
      <c r="BC99" s="365"/>
      <c r="BD99" s="365"/>
      <c r="BE99" s="365"/>
      <c r="BF99" s="365"/>
      <c r="BG99" s="365"/>
      <c r="BH99" s="365"/>
      <c r="BI99" s="365"/>
      <c r="BJ99" s="365"/>
      <c r="BK99" s="365"/>
      <c r="BL99" s="872">
        <f t="shared" si="57"/>
        <v>0</v>
      </c>
      <c r="BM99" s="873">
        <f t="shared" si="58"/>
        <v>0</v>
      </c>
      <c r="BN99" s="874">
        <f t="shared" si="87"/>
        <v>0</v>
      </c>
      <c r="BO99" s="875">
        <f t="shared" si="59"/>
        <v>0</v>
      </c>
      <c r="BP99" s="875">
        <f t="shared" si="60"/>
        <v>0</v>
      </c>
      <c r="BQ99" s="876">
        <f t="shared" si="88"/>
        <v>0</v>
      </c>
      <c r="BR99" s="877">
        <f t="shared" si="89"/>
        <v>0</v>
      </c>
      <c r="BS99" s="875">
        <f t="shared" si="61"/>
        <v>0</v>
      </c>
      <c r="BT99" s="875">
        <f t="shared" si="62"/>
        <v>0</v>
      </c>
      <c r="BU99" s="878">
        <f t="shared" si="90"/>
        <v>0</v>
      </c>
      <c r="CE99" s="486">
        <v>88</v>
      </c>
    </row>
    <row r="100" spans="1:83" s="177" customFormat="1" ht="21.95" customHeight="1" x14ac:dyDescent="0.2">
      <c r="A100" s="237">
        <f t="shared" si="63"/>
        <v>0</v>
      </c>
      <c r="B100" s="237">
        <f t="shared" si="64"/>
        <v>0</v>
      </c>
      <c r="C100" s="393">
        <f t="shared" si="49"/>
        <v>0</v>
      </c>
      <c r="D100" s="393" t="str">
        <f t="shared" si="50"/>
        <v xml:space="preserve">07 </v>
      </c>
      <c r="E100" s="959" t="s">
        <v>1400</v>
      </c>
      <c r="F100" s="959" t="s">
        <v>1401</v>
      </c>
      <c r="G100" s="959" t="s">
        <v>8</v>
      </c>
      <c r="H100" s="970">
        <v>10</v>
      </c>
      <c r="I100" s="965">
        <v>140</v>
      </c>
      <c r="J100" s="964">
        <v>1400</v>
      </c>
      <c r="K100" s="367">
        <v>0</v>
      </c>
      <c r="L100" s="367">
        <f>IF($H100="",0,VLOOKUP($E100,Plan3!$A$16:$CT$384,$E$7,0)%)</f>
        <v>0</v>
      </c>
      <c r="M100" s="368">
        <f t="shared" si="70"/>
        <v>0</v>
      </c>
      <c r="N100" s="368">
        <f t="shared" si="71"/>
        <v>0</v>
      </c>
      <c r="O100" s="367">
        <v>0</v>
      </c>
      <c r="P100" s="367">
        <f>VLOOKUP($E100,Plan3!$A$492:$P$858,13,0)%</f>
        <v>0</v>
      </c>
      <c r="Q100" s="368">
        <f t="shared" si="72"/>
        <v>0</v>
      </c>
      <c r="R100" s="368">
        <f t="shared" si="73"/>
        <v>0</v>
      </c>
      <c r="S100" s="880">
        <v>1416.24</v>
      </c>
      <c r="T100" s="880">
        <f t="shared" si="74"/>
        <v>0</v>
      </c>
      <c r="U100" s="880">
        <f>IF($I100="",0,($S100-$T100)*(1+('Econômico Macro'!$R$12/100)))</f>
        <v>1440.7409520000001</v>
      </c>
      <c r="V100" s="880">
        <f t="shared" si="75"/>
        <v>1440.7409520000001</v>
      </c>
      <c r="W100" s="880">
        <f t="shared" si="76"/>
        <v>0</v>
      </c>
      <c r="X100" s="367">
        <f t="shared" si="51"/>
        <v>0</v>
      </c>
      <c r="Y100" s="367">
        <f t="shared" si="52"/>
        <v>0</v>
      </c>
      <c r="Z100" s="367">
        <f t="shared" si="53"/>
        <v>0</v>
      </c>
      <c r="AA100" s="367">
        <f t="shared" si="54"/>
        <v>0</v>
      </c>
      <c r="AB100" s="369" t="str">
        <f t="shared" si="55"/>
        <v>Não Iniciada</v>
      </c>
      <c r="AC100" s="365"/>
      <c r="AD100" s="368">
        <v>1</v>
      </c>
      <c r="AE100" s="368">
        <f t="shared" si="77"/>
        <v>-1</v>
      </c>
      <c r="AF100" s="365"/>
      <c r="AG100" s="863">
        <f t="shared" si="65"/>
        <v>0</v>
      </c>
      <c r="AH100" s="864">
        <f t="shared" si="78"/>
        <v>0</v>
      </c>
      <c r="AI100" s="863">
        <f t="shared" si="66"/>
        <v>0</v>
      </c>
      <c r="AJ100" s="864">
        <f t="shared" si="79"/>
        <v>0</v>
      </c>
      <c r="AK100" s="365"/>
      <c r="AL100" s="865">
        <f t="shared" si="67"/>
        <v>0</v>
      </c>
      <c r="AM100" s="866">
        <f t="shared" si="80"/>
        <v>0</v>
      </c>
      <c r="AN100" s="866">
        <f t="shared" si="81"/>
        <v>0</v>
      </c>
      <c r="AO100" s="866">
        <f t="shared" si="82"/>
        <v>0</v>
      </c>
      <c r="AP100" s="867">
        <f t="shared" si="83"/>
        <v>0</v>
      </c>
      <c r="AQ100" s="591">
        <f t="shared" si="68"/>
        <v>0</v>
      </c>
      <c r="AR100" s="868">
        <f>IF(AND($L100=0,$P100=0)=TRUE,VLOOKUP($E100,Plan3!$A$16:$CT$487,$E$7+3,0)/100,0)</f>
        <v>0</v>
      </c>
      <c r="AS100" s="868">
        <f>IF(AND($L100=0,$P100=0)=TRUE,VLOOKUP($E100,Plan3!$A$16:$CT$487,$E$7+6,0)/100,0)</f>
        <v>0</v>
      </c>
      <c r="AT100" s="868">
        <f>IF(AND($L100=0,$P100=0)=TRUE,VLOOKUP($E100,Plan3!$A$16:$CT$487,$E$7+9,0)/100,0)</f>
        <v>0</v>
      </c>
      <c r="AU100" s="868">
        <f>IF(AND($L100=0,$P100=0)=TRUE,VLOOKUP($E100,Plan3!$A$16:$CT$487,$E$7+12,0)/100,0)</f>
        <v>0</v>
      </c>
      <c r="AV100" s="841"/>
      <c r="AW100" s="869">
        <f t="shared" si="84"/>
        <v>0</v>
      </c>
      <c r="AX100" s="870">
        <f t="shared" si="85"/>
        <v>0</v>
      </c>
      <c r="AY100" s="871">
        <f t="shared" si="86"/>
        <v>0</v>
      </c>
      <c r="AZ100" s="237" t="str">
        <f t="shared" si="56"/>
        <v xml:space="preserve">07.004.000.001 </v>
      </c>
      <c r="BA100" s="365"/>
      <c r="BB100" s="365"/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872">
        <f t="shared" si="57"/>
        <v>0</v>
      </c>
      <c r="BM100" s="873">
        <f t="shared" si="58"/>
        <v>0</v>
      </c>
      <c r="BN100" s="874">
        <f t="shared" si="87"/>
        <v>0</v>
      </c>
      <c r="BO100" s="875">
        <f t="shared" si="59"/>
        <v>0</v>
      </c>
      <c r="BP100" s="875">
        <f t="shared" si="60"/>
        <v>0</v>
      </c>
      <c r="BQ100" s="876">
        <f t="shared" si="88"/>
        <v>0</v>
      </c>
      <c r="BR100" s="877">
        <f t="shared" si="89"/>
        <v>0</v>
      </c>
      <c r="BS100" s="875">
        <f t="shared" si="61"/>
        <v>0</v>
      </c>
      <c r="BT100" s="875">
        <f t="shared" si="62"/>
        <v>0</v>
      </c>
      <c r="BU100" s="878">
        <f t="shared" si="90"/>
        <v>0</v>
      </c>
      <c r="CE100" s="486">
        <v>89</v>
      </c>
    </row>
    <row r="101" spans="1:83" s="177" customFormat="1" ht="21.95" customHeight="1" x14ac:dyDescent="0.2">
      <c r="A101" s="237">
        <f t="shared" si="63"/>
        <v>0</v>
      </c>
      <c r="B101" s="237">
        <f t="shared" si="64"/>
        <v>0</v>
      </c>
      <c r="C101" s="393">
        <f t="shared" si="49"/>
        <v>0</v>
      </c>
      <c r="D101" s="393" t="str">
        <f t="shared" si="50"/>
        <v xml:space="preserve">07 </v>
      </c>
      <c r="E101" s="959" t="s">
        <v>1402</v>
      </c>
      <c r="F101" s="959" t="s">
        <v>1403</v>
      </c>
      <c r="G101" s="959" t="s">
        <v>8</v>
      </c>
      <c r="H101" s="970">
        <v>46</v>
      </c>
      <c r="I101" s="965">
        <v>140</v>
      </c>
      <c r="J101" s="964">
        <v>6440</v>
      </c>
      <c r="K101" s="367">
        <v>0</v>
      </c>
      <c r="L101" s="367">
        <f>IF($H101="",0,VLOOKUP($E101,Plan3!$A$16:$CT$384,$E$7,0)%)</f>
        <v>0</v>
      </c>
      <c r="M101" s="368">
        <f t="shared" si="70"/>
        <v>0</v>
      </c>
      <c r="N101" s="368">
        <f t="shared" si="71"/>
        <v>0</v>
      </c>
      <c r="O101" s="367">
        <v>0</v>
      </c>
      <c r="P101" s="367">
        <f>VLOOKUP($E101,Plan3!$A$492:$P$858,13,0)%</f>
        <v>0</v>
      </c>
      <c r="Q101" s="368">
        <f t="shared" si="72"/>
        <v>0</v>
      </c>
      <c r="R101" s="368">
        <f t="shared" si="73"/>
        <v>0</v>
      </c>
      <c r="S101" s="880">
        <v>6514.7040000000006</v>
      </c>
      <c r="T101" s="880">
        <f t="shared" si="74"/>
        <v>0</v>
      </c>
      <c r="U101" s="880">
        <f>IF($I101="",0,($S101-$T101)*(1+('Econômico Macro'!$R$12/100)))</f>
        <v>6627.408379200001</v>
      </c>
      <c r="V101" s="880">
        <f t="shared" si="75"/>
        <v>6627.408379200001</v>
      </c>
      <c r="W101" s="880">
        <f t="shared" si="76"/>
        <v>0</v>
      </c>
      <c r="X101" s="367">
        <f t="shared" si="51"/>
        <v>0</v>
      </c>
      <c r="Y101" s="367">
        <f t="shared" si="52"/>
        <v>0</v>
      </c>
      <c r="Z101" s="367">
        <f t="shared" si="53"/>
        <v>0</v>
      </c>
      <c r="AA101" s="367">
        <f t="shared" si="54"/>
        <v>0</v>
      </c>
      <c r="AB101" s="369" t="str">
        <f t="shared" si="55"/>
        <v>Não Iniciada</v>
      </c>
      <c r="AC101" s="365"/>
      <c r="AD101" s="368">
        <v>1</v>
      </c>
      <c r="AE101" s="368">
        <f t="shared" si="77"/>
        <v>-1</v>
      </c>
      <c r="AF101" s="365"/>
      <c r="AG101" s="863">
        <f t="shared" si="65"/>
        <v>0</v>
      </c>
      <c r="AH101" s="864">
        <f t="shared" si="78"/>
        <v>0</v>
      </c>
      <c r="AI101" s="863">
        <f t="shared" si="66"/>
        <v>0</v>
      </c>
      <c r="AJ101" s="864">
        <f t="shared" si="79"/>
        <v>0</v>
      </c>
      <c r="AK101" s="365"/>
      <c r="AL101" s="865">
        <f t="shared" si="67"/>
        <v>0</v>
      </c>
      <c r="AM101" s="866">
        <f t="shared" si="80"/>
        <v>0</v>
      </c>
      <c r="AN101" s="866">
        <f t="shared" si="81"/>
        <v>0</v>
      </c>
      <c r="AO101" s="866">
        <f t="shared" si="82"/>
        <v>0</v>
      </c>
      <c r="AP101" s="867">
        <f t="shared" si="83"/>
        <v>0</v>
      </c>
      <c r="AQ101" s="591">
        <f t="shared" si="68"/>
        <v>0</v>
      </c>
      <c r="AR101" s="868">
        <f>IF(AND($L101=0,$P101=0)=TRUE,VLOOKUP($E101,Plan3!$A$16:$CT$487,$E$7+3,0)/100,0)</f>
        <v>0</v>
      </c>
      <c r="AS101" s="868">
        <f>IF(AND($L101=0,$P101=0)=TRUE,VLOOKUP($E101,Plan3!$A$16:$CT$487,$E$7+6,0)/100,0)</f>
        <v>0</v>
      </c>
      <c r="AT101" s="868">
        <f>IF(AND($L101=0,$P101=0)=TRUE,VLOOKUP($E101,Plan3!$A$16:$CT$487,$E$7+9,0)/100,0)</f>
        <v>0</v>
      </c>
      <c r="AU101" s="868">
        <f>IF(AND($L101=0,$P101=0)=TRUE,VLOOKUP($E101,Plan3!$A$16:$CT$487,$E$7+12,0)/100,0)</f>
        <v>0</v>
      </c>
      <c r="AV101" s="841"/>
      <c r="AW101" s="869">
        <f t="shared" si="84"/>
        <v>0</v>
      </c>
      <c r="AX101" s="870">
        <f t="shared" si="85"/>
        <v>0</v>
      </c>
      <c r="AY101" s="871">
        <f t="shared" si="86"/>
        <v>0</v>
      </c>
      <c r="AZ101" s="237" t="str">
        <f t="shared" si="56"/>
        <v xml:space="preserve">07.004.000.002 </v>
      </c>
      <c r="BA101" s="365"/>
      <c r="BB101" s="365"/>
      <c r="BC101" s="365"/>
      <c r="BD101" s="365"/>
      <c r="BE101" s="365"/>
      <c r="BF101" s="365"/>
      <c r="BG101" s="365"/>
      <c r="BH101" s="365"/>
      <c r="BI101" s="365"/>
      <c r="BJ101" s="365"/>
      <c r="BK101" s="365"/>
      <c r="BL101" s="872">
        <f t="shared" si="57"/>
        <v>0</v>
      </c>
      <c r="BM101" s="873">
        <f t="shared" si="58"/>
        <v>0</v>
      </c>
      <c r="BN101" s="874">
        <f t="shared" si="87"/>
        <v>0</v>
      </c>
      <c r="BO101" s="875">
        <f t="shared" si="59"/>
        <v>0</v>
      </c>
      <c r="BP101" s="875">
        <f t="shared" si="60"/>
        <v>0</v>
      </c>
      <c r="BQ101" s="876">
        <f t="shared" si="88"/>
        <v>0</v>
      </c>
      <c r="BR101" s="877">
        <f t="shared" si="89"/>
        <v>0</v>
      </c>
      <c r="BS101" s="875">
        <f t="shared" si="61"/>
        <v>0</v>
      </c>
      <c r="BT101" s="875">
        <f t="shared" si="62"/>
        <v>0</v>
      </c>
      <c r="BU101" s="878">
        <f t="shared" si="90"/>
        <v>0</v>
      </c>
      <c r="CE101" s="486">
        <v>90</v>
      </c>
    </row>
    <row r="102" spans="1:83" s="177" customFormat="1" ht="21.95" customHeight="1" x14ac:dyDescent="0.2">
      <c r="A102" s="237">
        <f t="shared" si="63"/>
        <v>0</v>
      </c>
      <c r="B102" s="237">
        <f t="shared" si="64"/>
        <v>0</v>
      </c>
      <c r="C102" s="393">
        <f t="shared" si="49"/>
        <v>0</v>
      </c>
      <c r="D102" s="393" t="str">
        <f t="shared" si="50"/>
        <v xml:space="preserve">07 </v>
      </c>
      <c r="E102" s="959" t="s">
        <v>2230</v>
      </c>
      <c r="F102" s="959" t="s">
        <v>2049</v>
      </c>
      <c r="G102" s="959" t="s">
        <v>90</v>
      </c>
      <c r="H102" s="970">
        <v>31.32</v>
      </c>
      <c r="I102" s="965">
        <v>350</v>
      </c>
      <c r="J102" s="962">
        <v>10962</v>
      </c>
      <c r="K102" s="367">
        <v>0</v>
      </c>
      <c r="L102" s="367">
        <f>IF($H102="",0,VLOOKUP($E102,Plan3!$A$16:$CT$384,$E$7,0)%)</f>
        <v>0</v>
      </c>
      <c r="M102" s="368">
        <f t="shared" si="70"/>
        <v>0</v>
      </c>
      <c r="N102" s="368">
        <f t="shared" si="71"/>
        <v>0</v>
      </c>
      <c r="O102" s="367">
        <v>0</v>
      </c>
      <c r="P102" s="367">
        <f>VLOOKUP($E102,Plan3!$A$492:$P$858,13,0)%</f>
        <v>0</v>
      </c>
      <c r="Q102" s="368">
        <f t="shared" si="72"/>
        <v>0</v>
      </c>
      <c r="R102" s="368">
        <f t="shared" si="73"/>
        <v>0</v>
      </c>
      <c r="S102" s="880">
        <v>11089.1592</v>
      </c>
      <c r="T102" s="880">
        <f t="shared" si="74"/>
        <v>0</v>
      </c>
      <c r="U102" s="880">
        <f>IF($I102="",0,($S102-$T102)*(1+('Econômico Macro'!$R$12/100)))</f>
        <v>11281.001654160002</v>
      </c>
      <c r="V102" s="880">
        <f t="shared" si="75"/>
        <v>11281.001654160002</v>
      </c>
      <c r="W102" s="880">
        <f t="shared" si="76"/>
        <v>0</v>
      </c>
      <c r="X102" s="367">
        <f t="shared" si="51"/>
        <v>0</v>
      </c>
      <c r="Y102" s="367">
        <f t="shared" si="52"/>
        <v>0</v>
      </c>
      <c r="Z102" s="367">
        <f t="shared" si="53"/>
        <v>0</v>
      </c>
      <c r="AA102" s="367">
        <f t="shared" si="54"/>
        <v>0</v>
      </c>
      <c r="AB102" s="369" t="str">
        <f t="shared" si="55"/>
        <v>Não Iniciada</v>
      </c>
      <c r="AC102" s="365"/>
      <c r="AD102" s="368">
        <v>1</v>
      </c>
      <c r="AE102" s="368">
        <f t="shared" si="77"/>
        <v>-1</v>
      </c>
      <c r="AF102" s="365"/>
      <c r="AG102" s="863">
        <f t="shared" si="65"/>
        <v>0</v>
      </c>
      <c r="AH102" s="864">
        <f t="shared" si="78"/>
        <v>0</v>
      </c>
      <c r="AI102" s="863">
        <f t="shared" si="66"/>
        <v>0</v>
      </c>
      <c r="AJ102" s="864">
        <f t="shared" si="79"/>
        <v>0</v>
      </c>
      <c r="AK102" s="365"/>
      <c r="AL102" s="865">
        <f t="shared" si="67"/>
        <v>0</v>
      </c>
      <c r="AM102" s="866">
        <f t="shared" si="80"/>
        <v>0</v>
      </c>
      <c r="AN102" s="866">
        <f t="shared" si="81"/>
        <v>0</v>
      </c>
      <c r="AO102" s="866">
        <f t="shared" si="82"/>
        <v>0</v>
      </c>
      <c r="AP102" s="867">
        <f t="shared" si="83"/>
        <v>0</v>
      </c>
      <c r="AQ102" s="591">
        <f t="shared" si="68"/>
        <v>0</v>
      </c>
      <c r="AR102" s="868">
        <f>IF(AND($L102=0,$P102=0)=TRUE,VLOOKUP($E102,Plan3!$A$16:$CT$487,$E$7+3,0)/100,0)</f>
        <v>0</v>
      </c>
      <c r="AS102" s="868">
        <f>IF(AND($L102=0,$P102=0)=TRUE,VLOOKUP($E102,Plan3!$A$16:$CT$487,$E$7+6,0)/100,0)</f>
        <v>0</v>
      </c>
      <c r="AT102" s="868">
        <f>IF(AND($L102=0,$P102=0)=TRUE,VLOOKUP($E102,Plan3!$A$16:$CT$487,$E$7+9,0)/100,0)</f>
        <v>0</v>
      </c>
      <c r="AU102" s="868">
        <f>IF(AND($L102=0,$P102=0)=TRUE,VLOOKUP($E102,Plan3!$A$16:$CT$487,$E$7+12,0)/100,0)</f>
        <v>0</v>
      </c>
      <c r="AV102" s="841"/>
      <c r="AW102" s="869">
        <f t="shared" si="84"/>
        <v>0</v>
      </c>
      <c r="AX102" s="870">
        <f t="shared" si="85"/>
        <v>0</v>
      </c>
      <c r="AY102" s="871">
        <f t="shared" si="86"/>
        <v>0</v>
      </c>
      <c r="AZ102" s="237" t="str">
        <f t="shared" si="56"/>
        <v xml:space="preserve">07.004.000.003 </v>
      </c>
      <c r="BA102" s="365"/>
      <c r="BB102" s="365"/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872">
        <f t="shared" si="57"/>
        <v>0</v>
      </c>
      <c r="BM102" s="873">
        <f t="shared" si="58"/>
        <v>0</v>
      </c>
      <c r="BN102" s="874">
        <f t="shared" si="87"/>
        <v>0</v>
      </c>
      <c r="BO102" s="875">
        <f t="shared" si="59"/>
        <v>0</v>
      </c>
      <c r="BP102" s="875">
        <f t="shared" si="60"/>
        <v>0</v>
      </c>
      <c r="BQ102" s="876">
        <f t="shared" si="88"/>
        <v>0</v>
      </c>
      <c r="BR102" s="877">
        <f t="shared" si="89"/>
        <v>0</v>
      </c>
      <c r="BS102" s="875">
        <f t="shared" si="61"/>
        <v>0</v>
      </c>
      <c r="BT102" s="875">
        <f t="shared" si="62"/>
        <v>0</v>
      </c>
      <c r="BU102" s="878">
        <f t="shared" si="90"/>
        <v>0</v>
      </c>
      <c r="CE102" s="486">
        <v>91</v>
      </c>
    </row>
    <row r="103" spans="1:83" s="177" customFormat="1" ht="21.95" customHeight="1" x14ac:dyDescent="0.2">
      <c r="A103" s="237">
        <f t="shared" si="63"/>
        <v>0</v>
      </c>
      <c r="B103" s="237">
        <f t="shared" si="64"/>
        <v>0</v>
      </c>
      <c r="C103" s="393">
        <f t="shared" si="49"/>
        <v>0</v>
      </c>
      <c r="D103" s="393" t="str">
        <f t="shared" si="50"/>
        <v xml:space="preserve">07 </v>
      </c>
      <c r="E103" s="959" t="s">
        <v>2231</v>
      </c>
      <c r="F103" s="959" t="s">
        <v>2232</v>
      </c>
      <c r="G103" s="959" t="s">
        <v>90</v>
      </c>
      <c r="H103" s="965">
        <v>151.5</v>
      </c>
      <c r="I103" s="965">
        <v>130</v>
      </c>
      <c r="J103" s="962">
        <v>19695</v>
      </c>
      <c r="K103" s="367">
        <v>0</v>
      </c>
      <c r="L103" s="367">
        <f>IF($H103="",0,VLOOKUP($E103,Plan3!$A$16:$CT$384,$E$7,0)%)</f>
        <v>0</v>
      </c>
      <c r="M103" s="368">
        <f t="shared" si="70"/>
        <v>0</v>
      </c>
      <c r="N103" s="368">
        <f t="shared" si="71"/>
        <v>0</v>
      </c>
      <c r="O103" s="367">
        <v>0</v>
      </c>
      <c r="P103" s="367">
        <f>VLOOKUP($E103,Plan3!$A$492:$P$858,13,0)%</f>
        <v>0</v>
      </c>
      <c r="Q103" s="368">
        <f t="shared" si="72"/>
        <v>0</v>
      </c>
      <c r="R103" s="368">
        <f t="shared" si="73"/>
        <v>0</v>
      </c>
      <c r="S103" s="880">
        <v>19923.462</v>
      </c>
      <c r="T103" s="880">
        <f t="shared" si="74"/>
        <v>0</v>
      </c>
      <c r="U103" s="880">
        <f>IF($I103="",0,($S103-$T103)*(1+('Econômico Macro'!$R$12/100)))</f>
        <v>20268.1378926</v>
      </c>
      <c r="V103" s="880">
        <f t="shared" si="75"/>
        <v>20268.1378926</v>
      </c>
      <c r="W103" s="880">
        <f t="shared" si="76"/>
        <v>0</v>
      </c>
      <c r="X103" s="367">
        <f t="shared" si="51"/>
        <v>0</v>
      </c>
      <c r="Y103" s="367">
        <f t="shared" si="52"/>
        <v>0</v>
      </c>
      <c r="Z103" s="367">
        <f t="shared" si="53"/>
        <v>0</v>
      </c>
      <c r="AA103" s="367">
        <f t="shared" si="54"/>
        <v>0</v>
      </c>
      <c r="AB103" s="369" t="str">
        <f t="shared" si="55"/>
        <v>Não Iniciada</v>
      </c>
      <c r="AC103" s="365"/>
      <c r="AD103" s="368">
        <v>1</v>
      </c>
      <c r="AE103" s="368">
        <f t="shared" si="77"/>
        <v>-1</v>
      </c>
      <c r="AF103" s="365"/>
      <c r="AG103" s="863">
        <f t="shared" si="65"/>
        <v>0</v>
      </c>
      <c r="AH103" s="864">
        <f t="shared" si="78"/>
        <v>0</v>
      </c>
      <c r="AI103" s="863">
        <f t="shared" si="66"/>
        <v>0</v>
      </c>
      <c r="AJ103" s="864">
        <f t="shared" si="79"/>
        <v>0</v>
      </c>
      <c r="AK103" s="365"/>
      <c r="AL103" s="865">
        <f t="shared" si="67"/>
        <v>0</v>
      </c>
      <c r="AM103" s="866">
        <f t="shared" si="80"/>
        <v>0</v>
      </c>
      <c r="AN103" s="866">
        <f t="shared" si="81"/>
        <v>0</v>
      </c>
      <c r="AO103" s="866">
        <f t="shared" si="82"/>
        <v>0</v>
      </c>
      <c r="AP103" s="867">
        <f t="shared" si="83"/>
        <v>0</v>
      </c>
      <c r="AQ103" s="591">
        <f t="shared" si="68"/>
        <v>0</v>
      </c>
      <c r="AR103" s="868">
        <f>IF(AND($L103=0,$P103=0)=TRUE,VLOOKUP($E103,Plan3!$A$16:$CT$487,$E$7+3,0)/100,0)</f>
        <v>0</v>
      </c>
      <c r="AS103" s="868">
        <f>IF(AND($L103=0,$P103=0)=TRUE,VLOOKUP($E103,Plan3!$A$16:$CT$487,$E$7+6,0)/100,0)</f>
        <v>0</v>
      </c>
      <c r="AT103" s="868">
        <f>IF(AND($L103=0,$P103=0)=TRUE,VLOOKUP($E103,Plan3!$A$16:$CT$487,$E$7+9,0)/100,0)</f>
        <v>0</v>
      </c>
      <c r="AU103" s="868">
        <f>IF(AND($L103=0,$P103=0)=TRUE,VLOOKUP($E103,Plan3!$A$16:$CT$487,$E$7+12,0)/100,0)</f>
        <v>0</v>
      </c>
      <c r="AV103" s="841"/>
      <c r="AW103" s="869">
        <f t="shared" si="84"/>
        <v>0</v>
      </c>
      <c r="AX103" s="870">
        <f t="shared" si="85"/>
        <v>0</v>
      </c>
      <c r="AY103" s="871">
        <f t="shared" si="86"/>
        <v>0</v>
      </c>
      <c r="AZ103" s="237" t="str">
        <f t="shared" si="56"/>
        <v xml:space="preserve">07.004.000.004 </v>
      </c>
      <c r="BA103" s="365"/>
      <c r="BB103" s="365"/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872">
        <f t="shared" si="57"/>
        <v>0</v>
      </c>
      <c r="BM103" s="873">
        <f t="shared" si="58"/>
        <v>0</v>
      </c>
      <c r="BN103" s="874">
        <f t="shared" si="87"/>
        <v>0</v>
      </c>
      <c r="BO103" s="875">
        <f t="shared" si="59"/>
        <v>0</v>
      </c>
      <c r="BP103" s="875">
        <f t="shared" si="60"/>
        <v>0</v>
      </c>
      <c r="BQ103" s="876">
        <f t="shared" si="88"/>
        <v>0</v>
      </c>
      <c r="BR103" s="877">
        <f t="shared" si="89"/>
        <v>0</v>
      </c>
      <c r="BS103" s="875">
        <f t="shared" si="61"/>
        <v>0</v>
      </c>
      <c r="BT103" s="875">
        <f t="shared" si="62"/>
        <v>0</v>
      </c>
      <c r="BU103" s="878">
        <f t="shared" si="90"/>
        <v>0</v>
      </c>
      <c r="CE103" s="486">
        <v>92</v>
      </c>
    </row>
    <row r="104" spans="1:83" s="177" customFormat="1" ht="21.95" customHeight="1" x14ac:dyDescent="0.2">
      <c r="A104" s="237">
        <f t="shared" si="63"/>
        <v>0</v>
      </c>
      <c r="B104" s="237">
        <f t="shared" si="64"/>
        <v>0</v>
      </c>
      <c r="C104" s="393" t="str">
        <f t="shared" si="49"/>
        <v xml:space="preserve">08 </v>
      </c>
      <c r="D104" s="393" t="str">
        <f t="shared" si="50"/>
        <v xml:space="preserve">08 </v>
      </c>
      <c r="E104" s="161" t="s">
        <v>110</v>
      </c>
      <c r="F104" s="161" t="s">
        <v>630</v>
      </c>
      <c r="G104" s="162"/>
      <c r="H104" s="162"/>
      <c r="I104" s="162"/>
      <c r="J104" s="163">
        <v>82737.070000000007</v>
      </c>
      <c r="K104" s="164">
        <v>0</v>
      </c>
      <c r="L104" s="164">
        <f t="array" ref="L104">SUM(IF($D105:$D$379=$E104,$L105:$L$379*$J105:$J$379))/$J104</f>
        <v>0</v>
      </c>
      <c r="M104" s="163"/>
      <c r="N104" s="163">
        <f>$L104*$J104</f>
        <v>0</v>
      </c>
      <c r="O104" s="164">
        <v>0</v>
      </c>
      <c r="P104" s="164">
        <f t="array" ref="P104">SUM(IF($D105:$D$379=$E104,$P105:$P$379*$J105:$J$379))/$J104</f>
        <v>0</v>
      </c>
      <c r="Q104" s="163">
        <f>$P104*$H104</f>
        <v>0</v>
      </c>
      <c r="R104" s="163">
        <f>$P104*$J104</f>
        <v>0</v>
      </c>
      <c r="S104" s="163">
        <v>83696.820011999982</v>
      </c>
      <c r="T104" s="163">
        <f>SUM(T105:T110)</f>
        <v>0</v>
      </c>
      <c r="U104" s="163"/>
      <c r="V104" s="163">
        <f t="shared" ref="V104:W104" si="92">SUM(V105:V110)</f>
        <v>85144.774998207606</v>
      </c>
      <c r="W104" s="163">
        <f t="shared" si="92"/>
        <v>0</v>
      </c>
      <c r="X104" s="164">
        <f t="shared" si="51"/>
        <v>0</v>
      </c>
      <c r="Y104" s="164">
        <f t="shared" si="52"/>
        <v>0</v>
      </c>
      <c r="Z104" s="164">
        <f t="shared" si="53"/>
        <v>0</v>
      </c>
      <c r="AA104" s="164">
        <f t="shared" si="54"/>
        <v>0</v>
      </c>
      <c r="AB104" s="201" t="str">
        <f t="shared" si="55"/>
        <v>Não Iniciada</v>
      </c>
      <c r="AC104" s="155" t="s">
        <v>763</v>
      </c>
      <c r="AD104" s="689">
        <v>0</v>
      </c>
      <c r="AE104" s="835">
        <f>Q104-AD104</f>
        <v>0</v>
      </c>
      <c r="AF104" s="155"/>
      <c r="AG104" s="207"/>
      <c r="AH104" s="208"/>
      <c r="AI104" s="207"/>
      <c r="AJ104" s="208"/>
      <c r="AK104" s="155"/>
      <c r="AL104" s="212"/>
      <c r="AM104" s="209"/>
      <c r="AN104" s="209"/>
      <c r="AO104" s="209"/>
      <c r="AP104" s="213"/>
      <c r="AQ104" s="401"/>
      <c r="AR104" s="247"/>
      <c r="AS104" s="247"/>
      <c r="AT104" s="247"/>
      <c r="AU104" s="247"/>
      <c r="AV104" s="155"/>
      <c r="AW104" s="250"/>
      <c r="AX104" s="248"/>
      <c r="AY104" s="402"/>
      <c r="AZ104" s="237" t="str">
        <f t="shared" si="56"/>
        <v xml:space="preserve">08 </v>
      </c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666" t="str">
        <f t="shared" si="57"/>
        <v xml:space="preserve">08 </v>
      </c>
      <c r="BM104" s="667">
        <f t="shared" si="58"/>
        <v>0</v>
      </c>
      <c r="BN104" s="668">
        <f>IF($BQ104=0,0,RANK($BQ104,$BQ$12:$BQ$379))</f>
        <v>0</v>
      </c>
      <c r="BO104" s="669">
        <f t="shared" si="59"/>
        <v>0</v>
      </c>
      <c r="BP104" s="669">
        <f t="shared" si="60"/>
        <v>0</v>
      </c>
      <c r="BQ104" s="670">
        <f>IF($BP104=0,0,$BP104/$BP$380)</f>
        <v>0</v>
      </c>
      <c r="BR104" s="671">
        <f>IF($BU104=0,0,RANK($BU104,$BU$12:$BU$379))</f>
        <v>0</v>
      </c>
      <c r="BS104" s="669">
        <f t="shared" si="61"/>
        <v>0</v>
      </c>
      <c r="BT104" s="669">
        <f t="shared" si="62"/>
        <v>0</v>
      </c>
      <c r="BU104" s="672">
        <f>IF($BT104=0,0,$BT104/$BT$380)</f>
        <v>0</v>
      </c>
      <c r="CE104" s="486">
        <v>93</v>
      </c>
    </row>
    <row r="105" spans="1:83" s="177" customFormat="1" ht="21.95" customHeight="1" x14ac:dyDescent="0.2">
      <c r="A105" s="237">
        <f t="shared" si="63"/>
        <v>0</v>
      </c>
      <c r="B105" s="237">
        <f t="shared" si="64"/>
        <v>0</v>
      </c>
      <c r="C105" s="393">
        <f t="shared" si="49"/>
        <v>0</v>
      </c>
      <c r="D105" s="393" t="str">
        <f t="shared" si="50"/>
        <v xml:space="preserve">08 </v>
      </c>
      <c r="E105" s="959" t="s">
        <v>631</v>
      </c>
      <c r="F105" s="959" t="s">
        <v>483</v>
      </c>
      <c r="G105" s="959" t="s">
        <v>90</v>
      </c>
      <c r="H105" s="965">
        <v>785.39</v>
      </c>
      <c r="I105" s="970">
        <v>68.696700000000007</v>
      </c>
      <c r="J105" s="962">
        <v>53953.7</v>
      </c>
      <c r="K105" s="367">
        <v>0</v>
      </c>
      <c r="L105" s="367">
        <f>IF($H105="",0,VLOOKUP($E105,Plan3!$A$16:$CT$384,$E$7,0)%)</f>
        <v>0</v>
      </c>
      <c r="M105" s="368">
        <f t="shared" si="70"/>
        <v>0</v>
      </c>
      <c r="N105" s="368">
        <f t="shared" si="71"/>
        <v>0</v>
      </c>
      <c r="O105" s="367">
        <v>0</v>
      </c>
      <c r="P105" s="367">
        <f>VLOOKUP($E105,Plan3!$A$492:$P$858,13,0)%</f>
        <v>0</v>
      </c>
      <c r="Q105" s="368">
        <f t="shared" si="72"/>
        <v>0</v>
      </c>
      <c r="R105" s="368">
        <f t="shared" si="73"/>
        <v>0</v>
      </c>
      <c r="S105" s="880">
        <v>54579.562919999997</v>
      </c>
      <c r="T105" s="880">
        <f t="shared" si="74"/>
        <v>0</v>
      </c>
      <c r="U105" s="880">
        <f>IF($I105="",0,($S105-$T105)*(1+('Econômico Macro'!$R$12/100)))</f>
        <v>55523.789358515998</v>
      </c>
      <c r="V105" s="880">
        <f t="shared" si="75"/>
        <v>55523.789358515998</v>
      </c>
      <c r="W105" s="880">
        <f t="shared" si="76"/>
        <v>0</v>
      </c>
      <c r="X105" s="367">
        <f t="shared" si="51"/>
        <v>0</v>
      </c>
      <c r="Y105" s="367">
        <f t="shared" si="52"/>
        <v>0</v>
      </c>
      <c r="Z105" s="367">
        <f t="shared" si="53"/>
        <v>0</v>
      </c>
      <c r="AA105" s="367">
        <f t="shared" si="54"/>
        <v>0</v>
      </c>
      <c r="AB105" s="369" t="str">
        <f t="shared" si="55"/>
        <v>Não Iniciada</v>
      </c>
      <c r="AC105" s="365"/>
      <c r="AD105" s="368">
        <v>1</v>
      </c>
      <c r="AE105" s="368">
        <f t="shared" si="77"/>
        <v>-1</v>
      </c>
      <c r="AF105" s="365"/>
      <c r="AG105" s="863">
        <f t="shared" si="65"/>
        <v>0</v>
      </c>
      <c r="AH105" s="864">
        <f t="shared" si="78"/>
        <v>0</v>
      </c>
      <c r="AI105" s="863">
        <f t="shared" si="66"/>
        <v>0</v>
      </c>
      <c r="AJ105" s="864">
        <f t="shared" si="79"/>
        <v>0</v>
      </c>
      <c r="AK105" s="365"/>
      <c r="AL105" s="865">
        <f t="shared" si="67"/>
        <v>0</v>
      </c>
      <c r="AM105" s="866">
        <f t="shared" si="80"/>
        <v>0</v>
      </c>
      <c r="AN105" s="866">
        <f t="shared" si="81"/>
        <v>0</v>
      </c>
      <c r="AO105" s="866">
        <f t="shared" si="82"/>
        <v>0</v>
      </c>
      <c r="AP105" s="867">
        <f t="shared" si="83"/>
        <v>0</v>
      </c>
      <c r="AQ105" s="591">
        <f t="shared" si="68"/>
        <v>0</v>
      </c>
      <c r="AR105" s="868">
        <f>IF(AND($L105=0,$P105=0)=TRUE,VLOOKUP($E105,Plan3!$A$16:$CT$487,$E$7+3,0)/100,0)</f>
        <v>0</v>
      </c>
      <c r="AS105" s="868">
        <f>IF(AND($L105=0,$P105=0)=TRUE,VLOOKUP($E105,Plan3!$A$16:$CT$487,$E$7+6,0)/100,0)</f>
        <v>0</v>
      </c>
      <c r="AT105" s="868">
        <f>IF(AND($L105=0,$P105=0)=TRUE,VLOOKUP($E105,Plan3!$A$16:$CT$487,$E$7+9,0)/100,0)</f>
        <v>0</v>
      </c>
      <c r="AU105" s="868">
        <f>IF(AND($L105=0,$P105=0)=TRUE,VLOOKUP($E105,Plan3!$A$16:$CT$487,$E$7+12,0)/100,0)</f>
        <v>0</v>
      </c>
      <c r="AV105" s="841"/>
      <c r="AW105" s="869">
        <f t="shared" si="84"/>
        <v>0</v>
      </c>
      <c r="AX105" s="870">
        <f t="shared" si="85"/>
        <v>0</v>
      </c>
      <c r="AY105" s="871">
        <f t="shared" si="86"/>
        <v>0</v>
      </c>
      <c r="AZ105" s="237" t="str">
        <f t="shared" si="56"/>
        <v xml:space="preserve">08.000.000.001 </v>
      </c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872">
        <f t="shared" si="57"/>
        <v>0</v>
      </c>
      <c r="BM105" s="873">
        <f t="shared" si="58"/>
        <v>0</v>
      </c>
      <c r="BN105" s="874">
        <f t="shared" si="87"/>
        <v>0</v>
      </c>
      <c r="BO105" s="875">
        <f t="shared" si="59"/>
        <v>0</v>
      </c>
      <c r="BP105" s="875">
        <f t="shared" si="60"/>
        <v>0</v>
      </c>
      <c r="BQ105" s="876">
        <f t="shared" si="88"/>
        <v>0</v>
      </c>
      <c r="BR105" s="877">
        <f t="shared" si="89"/>
        <v>0</v>
      </c>
      <c r="BS105" s="875">
        <f t="shared" si="61"/>
        <v>0</v>
      </c>
      <c r="BT105" s="875">
        <f t="shared" si="62"/>
        <v>0</v>
      </c>
      <c r="BU105" s="878">
        <f t="shared" si="90"/>
        <v>0</v>
      </c>
      <c r="CE105" s="486">
        <v>94</v>
      </c>
    </row>
    <row r="106" spans="1:83" s="177" customFormat="1" ht="21.95" customHeight="1" x14ac:dyDescent="0.2">
      <c r="A106" s="237">
        <f t="shared" si="63"/>
        <v>0</v>
      </c>
      <c r="B106" s="237">
        <f t="shared" si="64"/>
        <v>0</v>
      </c>
      <c r="C106" s="393">
        <f t="shared" si="49"/>
        <v>0</v>
      </c>
      <c r="D106" s="393" t="str">
        <f t="shared" si="50"/>
        <v xml:space="preserve">08 </v>
      </c>
      <c r="E106" s="959" t="s">
        <v>632</v>
      </c>
      <c r="F106" s="959" t="s">
        <v>486</v>
      </c>
      <c r="G106" s="959" t="s">
        <v>90</v>
      </c>
      <c r="H106" s="965">
        <v>559.57000000000005</v>
      </c>
      <c r="I106" s="960">
        <v>8</v>
      </c>
      <c r="J106" s="964">
        <v>4476.5600000000004</v>
      </c>
      <c r="K106" s="367">
        <v>0</v>
      </c>
      <c r="L106" s="367">
        <f>IF($H106="",0,VLOOKUP($E106,Plan3!$A$16:$CT$384,$E$7,0)%)</f>
        <v>0</v>
      </c>
      <c r="M106" s="368">
        <f t="shared" si="70"/>
        <v>0</v>
      </c>
      <c r="N106" s="368">
        <f t="shared" si="71"/>
        <v>0</v>
      </c>
      <c r="O106" s="367">
        <v>0</v>
      </c>
      <c r="P106" s="367">
        <f>VLOOKUP($E106,Plan3!$A$492:$P$858,13,0)%</f>
        <v>0</v>
      </c>
      <c r="Q106" s="368">
        <f t="shared" si="72"/>
        <v>0</v>
      </c>
      <c r="R106" s="368">
        <f t="shared" si="73"/>
        <v>0</v>
      </c>
      <c r="S106" s="880">
        <v>4528.488096000001</v>
      </c>
      <c r="T106" s="880">
        <f t="shared" si="74"/>
        <v>0</v>
      </c>
      <c r="U106" s="880">
        <f>IF($I106="",0,($S106-$T106)*(1+('Econômico Macro'!$R$12/100)))</f>
        <v>4606.8309400608014</v>
      </c>
      <c r="V106" s="880">
        <f t="shared" si="75"/>
        <v>4606.8309400608014</v>
      </c>
      <c r="W106" s="880">
        <f t="shared" si="76"/>
        <v>0</v>
      </c>
      <c r="X106" s="367">
        <f t="shared" si="51"/>
        <v>0</v>
      </c>
      <c r="Y106" s="367">
        <f t="shared" si="52"/>
        <v>0</v>
      </c>
      <c r="Z106" s="367">
        <f t="shared" si="53"/>
        <v>0</v>
      </c>
      <c r="AA106" s="367">
        <f t="shared" si="54"/>
        <v>0</v>
      </c>
      <c r="AB106" s="369" t="str">
        <f t="shared" si="55"/>
        <v>Não Iniciada</v>
      </c>
      <c r="AC106" s="365"/>
      <c r="AD106" s="368">
        <v>1</v>
      </c>
      <c r="AE106" s="368">
        <f t="shared" si="77"/>
        <v>-1</v>
      </c>
      <c r="AF106" s="365"/>
      <c r="AG106" s="863">
        <f t="shared" si="65"/>
        <v>0</v>
      </c>
      <c r="AH106" s="864">
        <f t="shared" si="78"/>
        <v>0</v>
      </c>
      <c r="AI106" s="863">
        <f t="shared" si="66"/>
        <v>0</v>
      </c>
      <c r="AJ106" s="864">
        <f t="shared" si="79"/>
        <v>0</v>
      </c>
      <c r="AK106" s="365"/>
      <c r="AL106" s="865">
        <f t="shared" si="67"/>
        <v>0</v>
      </c>
      <c r="AM106" s="866">
        <f t="shared" si="80"/>
        <v>0</v>
      </c>
      <c r="AN106" s="866">
        <f t="shared" si="81"/>
        <v>0</v>
      </c>
      <c r="AO106" s="866">
        <f t="shared" si="82"/>
        <v>0</v>
      </c>
      <c r="AP106" s="867">
        <f t="shared" si="83"/>
        <v>0</v>
      </c>
      <c r="AQ106" s="591">
        <f t="shared" si="68"/>
        <v>0</v>
      </c>
      <c r="AR106" s="868">
        <f>IF(AND($L106=0,$P106=0)=TRUE,VLOOKUP($E106,Plan3!$A$16:$CT$487,$E$7+3,0)/100,0)</f>
        <v>0</v>
      </c>
      <c r="AS106" s="868">
        <f>IF(AND($L106=0,$P106=0)=TRUE,VLOOKUP($E106,Plan3!$A$16:$CT$487,$E$7+6,0)/100,0)</f>
        <v>0</v>
      </c>
      <c r="AT106" s="868">
        <f>IF(AND($L106=0,$P106=0)=TRUE,VLOOKUP($E106,Plan3!$A$16:$CT$487,$E$7+9,0)/100,0)</f>
        <v>0</v>
      </c>
      <c r="AU106" s="868">
        <f>IF(AND($L106=0,$P106=0)=TRUE,VLOOKUP($E106,Plan3!$A$16:$CT$487,$E$7+12,0)/100,0)</f>
        <v>0</v>
      </c>
      <c r="AV106" s="841"/>
      <c r="AW106" s="869">
        <f t="shared" si="84"/>
        <v>0</v>
      </c>
      <c r="AX106" s="870">
        <f t="shared" si="85"/>
        <v>0</v>
      </c>
      <c r="AY106" s="871">
        <f t="shared" si="86"/>
        <v>0</v>
      </c>
      <c r="AZ106" s="237" t="str">
        <f t="shared" si="56"/>
        <v xml:space="preserve">08.000.000.002 </v>
      </c>
      <c r="BA106" s="365"/>
      <c r="BB106" s="365"/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872">
        <f t="shared" si="57"/>
        <v>0</v>
      </c>
      <c r="BM106" s="873">
        <f t="shared" si="58"/>
        <v>0</v>
      </c>
      <c r="BN106" s="874">
        <f t="shared" si="87"/>
        <v>0</v>
      </c>
      <c r="BO106" s="875">
        <f t="shared" si="59"/>
        <v>0</v>
      </c>
      <c r="BP106" s="875">
        <f t="shared" si="60"/>
        <v>0</v>
      </c>
      <c r="BQ106" s="876">
        <f t="shared" si="88"/>
        <v>0</v>
      </c>
      <c r="BR106" s="877">
        <f t="shared" si="89"/>
        <v>0</v>
      </c>
      <c r="BS106" s="875">
        <f t="shared" si="61"/>
        <v>0</v>
      </c>
      <c r="BT106" s="875">
        <f t="shared" si="62"/>
        <v>0</v>
      </c>
      <c r="BU106" s="878">
        <f t="shared" si="90"/>
        <v>0</v>
      </c>
      <c r="CE106" s="486">
        <v>95</v>
      </c>
    </row>
    <row r="107" spans="1:83" s="177" customFormat="1" ht="21.95" customHeight="1" x14ac:dyDescent="0.2">
      <c r="A107" s="237">
        <f t="shared" si="63"/>
        <v>0</v>
      </c>
      <c r="B107" s="237">
        <f t="shared" si="64"/>
        <v>0</v>
      </c>
      <c r="C107" s="393">
        <f t="shared" si="49"/>
        <v>0</v>
      </c>
      <c r="D107" s="393" t="str">
        <f t="shared" si="50"/>
        <v xml:space="preserve">08 </v>
      </c>
      <c r="E107" s="959" t="s">
        <v>633</v>
      </c>
      <c r="F107" s="959" t="s">
        <v>1406</v>
      </c>
      <c r="G107" s="959" t="s">
        <v>90</v>
      </c>
      <c r="H107" s="970">
        <v>70.38</v>
      </c>
      <c r="I107" s="970">
        <v>32.515900000000002</v>
      </c>
      <c r="J107" s="964">
        <v>2288.46</v>
      </c>
      <c r="K107" s="367">
        <v>0</v>
      </c>
      <c r="L107" s="367">
        <f>IF($H107="",0,VLOOKUP($E107,Plan3!$A$16:$CT$384,$E$7,0)%)</f>
        <v>0</v>
      </c>
      <c r="M107" s="368">
        <f t="shared" si="70"/>
        <v>0</v>
      </c>
      <c r="N107" s="368">
        <f t="shared" si="71"/>
        <v>0</v>
      </c>
      <c r="O107" s="367">
        <v>0</v>
      </c>
      <c r="P107" s="367">
        <f>VLOOKUP($E107,Plan3!$A$492:$P$858,13,0)%</f>
        <v>0</v>
      </c>
      <c r="Q107" s="368">
        <f t="shared" si="72"/>
        <v>0</v>
      </c>
      <c r="R107" s="368">
        <f t="shared" si="73"/>
        <v>0</v>
      </c>
      <c r="S107" s="880">
        <v>2315.006136</v>
      </c>
      <c r="T107" s="880">
        <f t="shared" si="74"/>
        <v>0</v>
      </c>
      <c r="U107" s="880">
        <f>IF($I107="",0,($S107-$T107)*(1+('Econômico Macro'!$R$12/100)))</f>
        <v>2355.0557421528001</v>
      </c>
      <c r="V107" s="880">
        <f t="shared" si="75"/>
        <v>2355.0557421528001</v>
      </c>
      <c r="W107" s="880">
        <f t="shared" si="76"/>
        <v>0</v>
      </c>
      <c r="X107" s="367">
        <f t="shared" si="51"/>
        <v>0</v>
      </c>
      <c r="Y107" s="367">
        <f t="shared" si="52"/>
        <v>0</v>
      </c>
      <c r="Z107" s="367">
        <f t="shared" si="53"/>
        <v>0</v>
      </c>
      <c r="AA107" s="367">
        <f t="shared" si="54"/>
        <v>0</v>
      </c>
      <c r="AB107" s="369" t="str">
        <f t="shared" si="55"/>
        <v>Não Iniciada</v>
      </c>
      <c r="AC107" s="365"/>
      <c r="AD107" s="368">
        <v>1</v>
      </c>
      <c r="AE107" s="368">
        <f t="shared" si="77"/>
        <v>-1</v>
      </c>
      <c r="AF107" s="365"/>
      <c r="AG107" s="863">
        <f t="shared" si="65"/>
        <v>0</v>
      </c>
      <c r="AH107" s="864">
        <f t="shared" si="78"/>
        <v>0</v>
      </c>
      <c r="AI107" s="863">
        <f t="shared" si="66"/>
        <v>0</v>
      </c>
      <c r="AJ107" s="864">
        <f t="shared" si="79"/>
        <v>0</v>
      </c>
      <c r="AK107" s="365"/>
      <c r="AL107" s="865">
        <f t="shared" si="67"/>
        <v>0</v>
      </c>
      <c r="AM107" s="866">
        <f t="shared" si="80"/>
        <v>0</v>
      </c>
      <c r="AN107" s="866">
        <f t="shared" si="81"/>
        <v>0</v>
      </c>
      <c r="AO107" s="866">
        <f t="shared" si="82"/>
        <v>0</v>
      </c>
      <c r="AP107" s="867">
        <f t="shared" si="83"/>
        <v>0</v>
      </c>
      <c r="AQ107" s="591">
        <f t="shared" si="68"/>
        <v>0</v>
      </c>
      <c r="AR107" s="868">
        <f>IF(AND($L107=0,$P107=0)=TRUE,VLOOKUP($E107,Plan3!$A$16:$CT$487,$E$7+3,0)/100,0)</f>
        <v>0</v>
      </c>
      <c r="AS107" s="868">
        <f>IF(AND($L107=0,$P107=0)=TRUE,VLOOKUP($E107,Plan3!$A$16:$CT$487,$E$7+6,0)/100,0)</f>
        <v>0</v>
      </c>
      <c r="AT107" s="868">
        <f>IF(AND($L107=0,$P107=0)=TRUE,VLOOKUP($E107,Plan3!$A$16:$CT$487,$E$7+9,0)/100,0)</f>
        <v>0</v>
      </c>
      <c r="AU107" s="868">
        <f>IF(AND($L107=0,$P107=0)=TRUE,VLOOKUP($E107,Plan3!$A$16:$CT$487,$E$7+12,0)/100,0)</f>
        <v>0</v>
      </c>
      <c r="AV107" s="841"/>
      <c r="AW107" s="869">
        <f t="shared" si="84"/>
        <v>0</v>
      </c>
      <c r="AX107" s="870">
        <f t="shared" si="85"/>
        <v>0</v>
      </c>
      <c r="AY107" s="871">
        <f t="shared" si="86"/>
        <v>0</v>
      </c>
      <c r="AZ107" s="237" t="str">
        <f t="shared" si="56"/>
        <v xml:space="preserve">08.000.000.003 </v>
      </c>
      <c r="BA107" s="365"/>
      <c r="BB107" s="365"/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872">
        <f t="shared" si="57"/>
        <v>0</v>
      </c>
      <c r="BM107" s="873">
        <f t="shared" si="58"/>
        <v>0</v>
      </c>
      <c r="BN107" s="874">
        <f t="shared" si="87"/>
        <v>0</v>
      </c>
      <c r="BO107" s="875">
        <f t="shared" si="59"/>
        <v>0</v>
      </c>
      <c r="BP107" s="875">
        <f t="shared" si="60"/>
        <v>0</v>
      </c>
      <c r="BQ107" s="876">
        <f t="shared" si="88"/>
        <v>0</v>
      </c>
      <c r="BR107" s="877">
        <f t="shared" si="89"/>
        <v>0</v>
      </c>
      <c r="BS107" s="875">
        <f t="shared" si="61"/>
        <v>0</v>
      </c>
      <c r="BT107" s="875">
        <f t="shared" si="62"/>
        <v>0</v>
      </c>
      <c r="BU107" s="878">
        <f t="shared" si="90"/>
        <v>0</v>
      </c>
      <c r="CE107" s="486">
        <v>96</v>
      </c>
    </row>
    <row r="108" spans="1:83" s="177" customFormat="1" ht="21.95" customHeight="1" x14ac:dyDescent="0.2">
      <c r="A108" s="237">
        <f t="shared" si="63"/>
        <v>0</v>
      </c>
      <c r="B108" s="237">
        <f t="shared" si="64"/>
        <v>0</v>
      </c>
      <c r="C108" s="393">
        <f t="shared" si="49"/>
        <v>0</v>
      </c>
      <c r="D108" s="393" t="str">
        <f t="shared" si="50"/>
        <v xml:space="preserve">08 </v>
      </c>
      <c r="E108" s="959" t="s">
        <v>634</v>
      </c>
      <c r="F108" s="959" t="s">
        <v>111</v>
      </c>
      <c r="G108" s="959" t="s">
        <v>90</v>
      </c>
      <c r="H108" s="970">
        <v>27.56</v>
      </c>
      <c r="I108" s="970">
        <v>12.29</v>
      </c>
      <c r="J108" s="966">
        <v>338.71</v>
      </c>
      <c r="K108" s="367">
        <v>0</v>
      </c>
      <c r="L108" s="367">
        <f>IF($H108="",0,VLOOKUP($E108,Plan3!$A$16:$CT$384,$E$7,0)%)</f>
        <v>0</v>
      </c>
      <c r="M108" s="368">
        <f t="shared" si="70"/>
        <v>0</v>
      </c>
      <c r="N108" s="368">
        <f t="shared" si="71"/>
        <v>0</v>
      </c>
      <c r="O108" s="367">
        <v>0</v>
      </c>
      <c r="P108" s="367">
        <f>VLOOKUP($E108,Plan3!$A$492:$P$858,13,0)%</f>
        <v>0</v>
      </c>
      <c r="Q108" s="368">
        <f t="shared" si="72"/>
        <v>0</v>
      </c>
      <c r="R108" s="368">
        <f t="shared" si="73"/>
        <v>0</v>
      </c>
      <c r="S108" s="880">
        <v>342.63903599999998</v>
      </c>
      <c r="T108" s="880">
        <f t="shared" si="74"/>
        <v>0</v>
      </c>
      <c r="U108" s="880">
        <f>IF($I108="",0,($S108-$T108)*(1+('Econômico Macro'!$R$12/100)))</f>
        <v>348.56669132280001</v>
      </c>
      <c r="V108" s="880">
        <f t="shared" si="75"/>
        <v>348.56669132280001</v>
      </c>
      <c r="W108" s="880">
        <f t="shared" si="76"/>
        <v>0</v>
      </c>
      <c r="X108" s="367">
        <f t="shared" si="51"/>
        <v>0</v>
      </c>
      <c r="Y108" s="367">
        <f t="shared" si="52"/>
        <v>0</v>
      </c>
      <c r="Z108" s="367">
        <f t="shared" si="53"/>
        <v>0</v>
      </c>
      <c r="AA108" s="367">
        <f t="shared" si="54"/>
        <v>0</v>
      </c>
      <c r="AB108" s="369" t="str">
        <f t="shared" si="55"/>
        <v>Não Iniciada</v>
      </c>
      <c r="AC108" s="365"/>
      <c r="AD108" s="368">
        <v>1</v>
      </c>
      <c r="AE108" s="368">
        <f t="shared" si="77"/>
        <v>-1</v>
      </c>
      <c r="AF108" s="365"/>
      <c r="AG108" s="863">
        <f t="shared" si="65"/>
        <v>0</v>
      </c>
      <c r="AH108" s="864">
        <f t="shared" si="78"/>
        <v>0</v>
      </c>
      <c r="AI108" s="863">
        <f t="shared" si="66"/>
        <v>0</v>
      </c>
      <c r="AJ108" s="864">
        <f t="shared" si="79"/>
        <v>0</v>
      </c>
      <c r="AK108" s="365"/>
      <c r="AL108" s="865">
        <f t="shared" si="67"/>
        <v>0</v>
      </c>
      <c r="AM108" s="866">
        <f t="shared" si="80"/>
        <v>0</v>
      </c>
      <c r="AN108" s="866">
        <f t="shared" si="81"/>
        <v>0</v>
      </c>
      <c r="AO108" s="866">
        <f t="shared" si="82"/>
        <v>0</v>
      </c>
      <c r="AP108" s="867">
        <f t="shared" si="83"/>
        <v>0</v>
      </c>
      <c r="AQ108" s="591">
        <f t="shared" si="68"/>
        <v>0</v>
      </c>
      <c r="AR108" s="868">
        <f>IF(AND($L108=0,$P108=0)=TRUE,VLOOKUP($E108,Plan3!$A$16:$CT$487,$E$7+3,0)/100,0)</f>
        <v>0</v>
      </c>
      <c r="AS108" s="868">
        <f>IF(AND($L108=0,$P108=0)=TRUE,VLOOKUP($E108,Plan3!$A$16:$CT$487,$E$7+6,0)/100,0)</f>
        <v>0</v>
      </c>
      <c r="AT108" s="868">
        <f>IF(AND($L108=0,$P108=0)=TRUE,VLOOKUP($E108,Plan3!$A$16:$CT$487,$E$7+9,0)/100,0)</f>
        <v>0</v>
      </c>
      <c r="AU108" s="868">
        <f>IF(AND($L108=0,$P108=0)=TRUE,VLOOKUP($E108,Plan3!$A$16:$CT$487,$E$7+12,0)/100,0)</f>
        <v>0</v>
      </c>
      <c r="AV108" s="841"/>
      <c r="AW108" s="869">
        <f t="shared" si="84"/>
        <v>0</v>
      </c>
      <c r="AX108" s="870">
        <f t="shared" si="85"/>
        <v>0</v>
      </c>
      <c r="AY108" s="871">
        <f t="shared" si="86"/>
        <v>0</v>
      </c>
      <c r="AZ108" s="237" t="str">
        <f t="shared" si="56"/>
        <v xml:space="preserve">08.000.000.004 </v>
      </c>
      <c r="BA108" s="365"/>
      <c r="BB108" s="365"/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872">
        <f t="shared" si="57"/>
        <v>0</v>
      </c>
      <c r="BM108" s="873">
        <f t="shared" si="58"/>
        <v>0</v>
      </c>
      <c r="BN108" s="874">
        <f t="shared" si="87"/>
        <v>0</v>
      </c>
      <c r="BO108" s="875">
        <f t="shared" si="59"/>
        <v>0</v>
      </c>
      <c r="BP108" s="875">
        <f t="shared" si="60"/>
        <v>0</v>
      </c>
      <c r="BQ108" s="876">
        <f t="shared" si="88"/>
        <v>0</v>
      </c>
      <c r="BR108" s="877">
        <f t="shared" si="89"/>
        <v>0</v>
      </c>
      <c r="BS108" s="875">
        <f t="shared" si="61"/>
        <v>0</v>
      </c>
      <c r="BT108" s="875">
        <f t="shared" si="62"/>
        <v>0</v>
      </c>
      <c r="BU108" s="878">
        <f t="shared" si="90"/>
        <v>0</v>
      </c>
      <c r="CE108" s="486">
        <v>97</v>
      </c>
    </row>
    <row r="109" spans="1:83" s="177" customFormat="1" ht="21.95" customHeight="1" x14ac:dyDescent="0.2">
      <c r="A109" s="237">
        <f t="shared" si="63"/>
        <v>0</v>
      </c>
      <c r="B109" s="237">
        <f t="shared" si="64"/>
        <v>0</v>
      </c>
      <c r="C109" s="393">
        <f t="shared" si="49"/>
        <v>0</v>
      </c>
      <c r="D109" s="393" t="str">
        <f t="shared" si="50"/>
        <v xml:space="preserve">08 </v>
      </c>
      <c r="E109" s="959" t="s">
        <v>635</v>
      </c>
      <c r="F109" s="959" t="s">
        <v>484</v>
      </c>
      <c r="G109" s="959" t="s">
        <v>90</v>
      </c>
      <c r="H109" s="965">
        <v>214.68</v>
      </c>
      <c r="I109" s="970">
        <v>81.255899999999997</v>
      </c>
      <c r="J109" s="962">
        <v>17444.009999999998</v>
      </c>
      <c r="K109" s="367">
        <v>0</v>
      </c>
      <c r="L109" s="367">
        <f>IF($H109="",0,VLOOKUP($E109,Plan3!$A$16:$CT$384,$E$7,0)%)</f>
        <v>0</v>
      </c>
      <c r="M109" s="368">
        <f t="shared" si="70"/>
        <v>0</v>
      </c>
      <c r="N109" s="368">
        <f t="shared" si="71"/>
        <v>0</v>
      </c>
      <c r="O109" s="367">
        <v>0</v>
      </c>
      <c r="P109" s="367">
        <f>VLOOKUP($E109,Plan3!$A$492:$P$858,13,0)%</f>
        <v>0</v>
      </c>
      <c r="Q109" s="368">
        <f t="shared" si="72"/>
        <v>0</v>
      </c>
      <c r="R109" s="368">
        <f t="shared" si="73"/>
        <v>0</v>
      </c>
      <c r="S109" s="880">
        <v>17646.360516000001</v>
      </c>
      <c r="T109" s="880">
        <f t="shared" si="74"/>
        <v>0</v>
      </c>
      <c r="U109" s="880">
        <f>IF($I109="",0,($S109-$T109)*(1+('Econômico Macro'!$R$12/100)))</f>
        <v>17951.642552926802</v>
      </c>
      <c r="V109" s="880">
        <f t="shared" si="75"/>
        <v>17951.642552926802</v>
      </c>
      <c r="W109" s="880">
        <f t="shared" si="76"/>
        <v>0</v>
      </c>
      <c r="X109" s="367">
        <f t="shared" si="51"/>
        <v>0</v>
      </c>
      <c r="Y109" s="367">
        <f t="shared" si="52"/>
        <v>0</v>
      </c>
      <c r="Z109" s="367">
        <f t="shared" si="53"/>
        <v>0</v>
      </c>
      <c r="AA109" s="367">
        <f t="shared" si="54"/>
        <v>0</v>
      </c>
      <c r="AB109" s="369" t="str">
        <f t="shared" si="55"/>
        <v>Não Iniciada</v>
      </c>
      <c r="AC109" s="365"/>
      <c r="AD109" s="368">
        <v>1</v>
      </c>
      <c r="AE109" s="368">
        <f t="shared" si="77"/>
        <v>-1</v>
      </c>
      <c r="AF109" s="365"/>
      <c r="AG109" s="863">
        <f t="shared" si="65"/>
        <v>0</v>
      </c>
      <c r="AH109" s="864">
        <f t="shared" si="78"/>
        <v>0</v>
      </c>
      <c r="AI109" s="863">
        <f t="shared" si="66"/>
        <v>0</v>
      </c>
      <c r="AJ109" s="864">
        <f t="shared" si="79"/>
        <v>0</v>
      </c>
      <c r="AK109" s="365"/>
      <c r="AL109" s="865">
        <f t="shared" si="67"/>
        <v>0</v>
      </c>
      <c r="AM109" s="866">
        <f t="shared" si="80"/>
        <v>0</v>
      </c>
      <c r="AN109" s="866">
        <f t="shared" si="81"/>
        <v>0</v>
      </c>
      <c r="AO109" s="866">
        <f t="shared" si="82"/>
        <v>0</v>
      </c>
      <c r="AP109" s="867">
        <f t="shared" si="83"/>
        <v>0</v>
      </c>
      <c r="AQ109" s="591">
        <f t="shared" si="68"/>
        <v>0</v>
      </c>
      <c r="AR109" s="868">
        <f>IF(AND($L109=0,$P109=0)=TRUE,VLOOKUP($E109,Plan3!$A$16:$CT$487,$E$7+3,0)/100,0)</f>
        <v>0</v>
      </c>
      <c r="AS109" s="868">
        <f>IF(AND($L109=0,$P109=0)=TRUE,VLOOKUP($E109,Plan3!$A$16:$CT$487,$E$7+6,0)/100,0)</f>
        <v>0</v>
      </c>
      <c r="AT109" s="868">
        <f>IF(AND($L109=0,$P109=0)=TRUE,VLOOKUP($E109,Plan3!$A$16:$CT$487,$E$7+9,0)/100,0)</f>
        <v>0</v>
      </c>
      <c r="AU109" s="868">
        <f>IF(AND($L109=0,$P109=0)=TRUE,VLOOKUP($E109,Plan3!$A$16:$CT$487,$E$7+12,0)/100,0)</f>
        <v>0</v>
      </c>
      <c r="AV109" s="841"/>
      <c r="AW109" s="869">
        <f t="shared" si="84"/>
        <v>0</v>
      </c>
      <c r="AX109" s="870">
        <f t="shared" si="85"/>
        <v>0</v>
      </c>
      <c r="AY109" s="871">
        <f t="shared" si="86"/>
        <v>0</v>
      </c>
      <c r="AZ109" s="237" t="str">
        <f t="shared" si="56"/>
        <v xml:space="preserve">08.000.000.005 </v>
      </c>
      <c r="BA109" s="365"/>
      <c r="BB109" s="365"/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872">
        <f t="shared" si="57"/>
        <v>0</v>
      </c>
      <c r="BM109" s="873">
        <f t="shared" si="58"/>
        <v>0</v>
      </c>
      <c r="BN109" s="874">
        <f t="shared" si="87"/>
        <v>0</v>
      </c>
      <c r="BO109" s="875">
        <f t="shared" si="59"/>
        <v>0</v>
      </c>
      <c r="BP109" s="875">
        <f t="shared" si="60"/>
        <v>0</v>
      </c>
      <c r="BQ109" s="876">
        <f t="shared" si="88"/>
        <v>0</v>
      </c>
      <c r="BR109" s="877">
        <f t="shared" si="89"/>
        <v>0</v>
      </c>
      <c r="BS109" s="875">
        <f t="shared" si="61"/>
        <v>0</v>
      </c>
      <c r="BT109" s="875">
        <f t="shared" si="62"/>
        <v>0</v>
      </c>
      <c r="BU109" s="878">
        <f t="shared" si="90"/>
        <v>0</v>
      </c>
      <c r="CE109" s="486">
        <v>98</v>
      </c>
    </row>
    <row r="110" spans="1:83" s="177" customFormat="1" ht="21.95" customHeight="1" x14ac:dyDescent="0.2">
      <c r="A110" s="237">
        <f t="shared" si="63"/>
        <v>0</v>
      </c>
      <c r="B110" s="237">
        <f t="shared" si="64"/>
        <v>0</v>
      </c>
      <c r="C110" s="393">
        <f t="shared" si="49"/>
        <v>0</v>
      </c>
      <c r="D110" s="393" t="str">
        <f t="shared" si="50"/>
        <v xml:space="preserve">08 </v>
      </c>
      <c r="E110" s="959" t="s">
        <v>1407</v>
      </c>
      <c r="F110" s="959" t="s">
        <v>1408</v>
      </c>
      <c r="G110" s="959" t="s">
        <v>90</v>
      </c>
      <c r="H110" s="970">
        <v>59.04</v>
      </c>
      <c r="I110" s="970">
        <v>71.741699999999994</v>
      </c>
      <c r="J110" s="964">
        <v>4235.63</v>
      </c>
      <c r="K110" s="367">
        <v>0</v>
      </c>
      <c r="L110" s="367">
        <f>IF($H110="",0,VLOOKUP($E110,Plan3!$A$16:$CT$384,$E$7,0)%)</f>
        <v>0</v>
      </c>
      <c r="M110" s="368">
        <f t="shared" si="70"/>
        <v>0</v>
      </c>
      <c r="N110" s="368">
        <f t="shared" si="71"/>
        <v>0</v>
      </c>
      <c r="O110" s="367">
        <v>0</v>
      </c>
      <c r="P110" s="367">
        <f>VLOOKUP($E110,Plan3!$A$492:$P$858,13,0)%</f>
        <v>0</v>
      </c>
      <c r="Q110" s="368">
        <f t="shared" si="72"/>
        <v>0</v>
      </c>
      <c r="R110" s="368">
        <f t="shared" si="73"/>
        <v>0</v>
      </c>
      <c r="S110" s="880">
        <v>4284.7633080000005</v>
      </c>
      <c r="T110" s="880">
        <f t="shared" si="74"/>
        <v>0</v>
      </c>
      <c r="U110" s="880">
        <f>IF($I110="",0,($S110-$T110)*(1+('Econômico Macro'!$R$12/100)))</f>
        <v>4358.889713228401</v>
      </c>
      <c r="V110" s="880">
        <f t="shared" si="75"/>
        <v>4358.889713228401</v>
      </c>
      <c r="W110" s="880">
        <f t="shared" si="76"/>
        <v>0</v>
      </c>
      <c r="X110" s="367">
        <f t="shared" si="51"/>
        <v>0</v>
      </c>
      <c r="Y110" s="367">
        <f t="shared" si="52"/>
        <v>0</v>
      </c>
      <c r="Z110" s="367">
        <f t="shared" si="53"/>
        <v>0</v>
      </c>
      <c r="AA110" s="367">
        <f t="shared" si="54"/>
        <v>0</v>
      </c>
      <c r="AB110" s="369" t="str">
        <f t="shared" si="55"/>
        <v>Não Iniciada</v>
      </c>
      <c r="AC110" s="365"/>
      <c r="AD110" s="368">
        <v>1</v>
      </c>
      <c r="AE110" s="368">
        <f t="shared" si="77"/>
        <v>-1</v>
      </c>
      <c r="AF110" s="365"/>
      <c r="AG110" s="863">
        <f t="shared" si="65"/>
        <v>0</v>
      </c>
      <c r="AH110" s="864">
        <f t="shared" si="78"/>
        <v>0</v>
      </c>
      <c r="AI110" s="863">
        <f t="shared" si="66"/>
        <v>0</v>
      </c>
      <c r="AJ110" s="864">
        <f t="shared" si="79"/>
        <v>0</v>
      </c>
      <c r="AK110" s="365"/>
      <c r="AL110" s="865">
        <f t="shared" si="67"/>
        <v>0</v>
      </c>
      <c r="AM110" s="866">
        <f t="shared" si="80"/>
        <v>0</v>
      </c>
      <c r="AN110" s="866">
        <f t="shared" si="81"/>
        <v>0</v>
      </c>
      <c r="AO110" s="866">
        <f t="shared" si="82"/>
        <v>0</v>
      </c>
      <c r="AP110" s="867">
        <f t="shared" si="83"/>
        <v>0</v>
      </c>
      <c r="AQ110" s="591">
        <f t="shared" si="68"/>
        <v>0</v>
      </c>
      <c r="AR110" s="868">
        <f>IF(AND($L110=0,$P110=0)=TRUE,VLOOKUP($E110,Plan3!$A$16:$CT$487,$E$7+3,0)/100,0)</f>
        <v>0</v>
      </c>
      <c r="AS110" s="868">
        <f>IF(AND($L110=0,$P110=0)=TRUE,VLOOKUP($E110,Plan3!$A$16:$CT$487,$E$7+6,0)/100,0)</f>
        <v>0</v>
      </c>
      <c r="AT110" s="868">
        <f>IF(AND($L110=0,$P110=0)=TRUE,VLOOKUP($E110,Plan3!$A$16:$CT$487,$E$7+9,0)/100,0)</f>
        <v>0</v>
      </c>
      <c r="AU110" s="868">
        <f>IF(AND($L110=0,$P110=0)=TRUE,VLOOKUP($E110,Plan3!$A$16:$CT$487,$E$7+12,0)/100,0)</f>
        <v>0</v>
      </c>
      <c r="AV110" s="841"/>
      <c r="AW110" s="869">
        <f t="shared" si="84"/>
        <v>0</v>
      </c>
      <c r="AX110" s="870">
        <f t="shared" si="85"/>
        <v>0</v>
      </c>
      <c r="AY110" s="871">
        <f t="shared" si="86"/>
        <v>0</v>
      </c>
      <c r="AZ110" s="237" t="str">
        <f t="shared" si="56"/>
        <v xml:space="preserve">08.000.000.006 </v>
      </c>
      <c r="BA110" s="365"/>
      <c r="BB110" s="365"/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872">
        <f t="shared" si="57"/>
        <v>0</v>
      </c>
      <c r="BM110" s="873">
        <f t="shared" si="58"/>
        <v>0</v>
      </c>
      <c r="BN110" s="874">
        <f t="shared" si="87"/>
        <v>0</v>
      </c>
      <c r="BO110" s="875">
        <f t="shared" si="59"/>
        <v>0</v>
      </c>
      <c r="BP110" s="875">
        <f t="shared" si="60"/>
        <v>0</v>
      </c>
      <c r="BQ110" s="876">
        <f t="shared" si="88"/>
        <v>0</v>
      </c>
      <c r="BR110" s="877">
        <f t="shared" si="89"/>
        <v>0</v>
      </c>
      <c r="BS110" s="875">
        <f t="shared" si="61"/>
        <v>0</v>
      </c>
      <c r="BT110" s="875">
        <f t="shared" si="62"/>
        <v>0</v>
      </c>
      <c r="BU110" s="878">
        <f t="shared" si="90"/>
        <v>0</v>
      </c>
      <c r="CE110" s="486">
        <v>99</v>
      </c>
    </row>
    <row r="111" spans="1:83" s="177" customFormat="1" ht="21.95" customHeight="1" x14ac:dyDescent="0.2">
      <c r="A111" s="237">
        <f t="shared" si="63"/>
        <v>0</v>
      </c>
      <c r="B111" s="237">
        <f t="shared" si="64"/>
        <v>0</v>
      </c>
      <c r="C111" s="393" t="str">
        <f t="shared" si="49"/>
        <v xml:space="preserve">09 </v>
      </c>
      <c r="D111" s="393" t="str">
        <f t="shared" si="50"/>
        <v xml:space="preserve">09 </v>
      </c>
      <c r="E111" s="161" t="s">
        <v>112</v>
      </c>
      <c r="F111" s="161" t="s">
        <v>636</v>
      </c>
      <c r="G111" s="162"/>
      <c r="H111" s="162"/>
      <c r="I111" s="162"/>
      <c r="J111" s="163">
        <v>344752.42</v>
      </c>
      <c r="K111" s="164">
        <v>0</v>
      </c>
      <c r="L111" s="164">
        <f t="array" ref="L111">SUM(IF($D112:$D$379=$E111,$L112:$L$379*$J112:$J$379))/$J111</f>
        <v>0</v>
      </c>
      <c r="M111" s="163"/>
      <c r="N111" s="163">
        <f>$L111*$J111</f>
        <v>0</v>
      </c>
      <c r="O111" s="164">
        <v>0</v>
      </c>
      <c r="P111" s="164">
        <f t="array" ref="P111">SUM(IF($D112:$D$379=$E111,$P112:$P$379*$J112:$J$379))/$J111</f>
        <v>0</v>
      </c>
      <c r="Q111" s="163">
        <f>$P111*$H111</f>
        <v>0</v>
      </c>
      <c r="R111" s="163">
        <f>$P111*$J111</f>
        <v>0</v>
      </c>
      <c r="S111" s="163">
        <v>348751.54807200009</v>
      </c>
      <c r="T111" s="163">
        <f>SUM(T112:T179)</f>
        <v>0</v>
      </c>
      <c r="U111" s="163"/>
      <c r="V111" s="163">
        <f t="shared" ref="V111:W111" si="93">SUM(V112:V179)</f>
        <v>354784.94985364575</v>
      </c>
      <c r="W111" s="163">
        <f t="shared" si="93"/>
        <v>0</v>
      </c>
      <c r="X111" s="164">
        <f t="shared" si="51"/>
        <v>0</v>
      </c>
      <c r="Y111" s="164">
        <f t="shared" si="52"/>
        <v>0</v>
      </c>
      <c r="Z111" s="164">
        <f t="shared" si="53"/>
        <v>0</v>
      </c>
      <c r="AA111" s="164">
        <f t="shared" si="54"/>
        <v>0</v>
      </c>
      <c r="AB111" s="201" t="str">
        <f t="shared" si="55"/>
        <v>Não Iniciada</v>
      </c>
      <c r="AC111" s="155" t="s">
        <v>763</v>
      </c>
      <c r="AD111" s="689">
        <v>0</v>
      </c>
      <c r="AE111" s="835">
        <f>Q111-AD111</f>
        <v>0</v>
      </c>
      <c r="AF111" s="155"/>
      <c r="AG111" s="207"/>
      <c r="AH111" s="208"/>
      <c r="AI111" s="207"/>
      <c r="AJ111" s="208"/>
      <c r="AK111" s="155"/>
      <c r="AL111" s="212"/>
      <c r="AM111" s="209"/>
      <c r="AN111" s="209"/>
      <c r="AO111" s="209"/>
      <c r="AP111" s="213"/>
      <c r="AQ111" s="401"/>
      <c r="AR111" s="247"/>
      <c r="AS111" s="247"/>
      <c r="AT111" s="247"/>
      <c r="AU111" s="247"/>
      <c r="AV111" s="155"/>
      <c r="AW111" s="250"/>
      <c r="AX111" s="248"/>
      <c r="AY111" s="402"/>
      <c r="AZ111" s="237" t="str">
        <f t="shared" si="56"/>
        <v xml:space="preserve">09 </v>
      </c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666" t="str">
        <f t="shared" si="57"/>
        <v xml:space="preserve">09 </v>
      </c>
      <c r="BM111" s="667">
        <f t="shared" si="58"/>
        <v>0</v>
      </c>
      <c r="BN111" s="668">
        <f>IF($BQ111=0,0,RANK($BQ111,$BQ$12:$BQ$379))</f>
        <v>0</v>
      </c>
      <c r="BO111" s="669">
        <f t="shared" si="59"/>
        <v>0</v>
      </c>
      <c r="BP111" s="669">
        <f t="shared" si="60"/>
        <v>0</v>
      </c>
      <c r="BQ111" s="670">
        <f>IF($BP111=0,0,$BP111/$BP$380)</f>
        <v>0</v>
      </c>
      <c r="BR111" s="671">
        <f>IF($BU111=0,0,RANK($BU111,$BU$12:$BU$379))</f>
        <v>0</v>
      </c>
      <c r="BS111" s="669">
        <f t="shared" si="61"/>
        <v>0</v>
      </c>
      <c r="BT111" s="669">
        <f t="shared" si="62"/>
        <v>0</v>
      </c>
      <c r="BU111" s="672">
        <f>IF($BT111=0,0,$BT111/$BT$380)</f>
        <v>0</v>
      </c>
      <c r="CE111" s="486">
        <v>100</v>
      </c>
    </row>
    <row r="112" spans="1:83" s="177" customFormat="1" ht="21.95" customHeight="1" x14ac:dyDescent="0.2">
      <c r="A112" s="237">
        <f t="shared" si="63"/>
        <v>0</v>
      </c>
      <c r="B112" s="237">
        <f t="shared" si="64"/>
        <v>0</v>
      </c>
      <c r="C112" s="393">
        <f t="shared" si="49"/>
        <v>0</v>
      </c>
      <c r="D112" s="393" t="str">
        <f t="shared" si="50"/>
        <v xml:space="preserve">09 </v>
      </c>
      <c r="E112" s="967" t="s">
        <v>113</v>
      </c>
      <c r="F112" s="967" t="s">
        <v>2050</v>
      </c>
      <c r="G112" s="967"/>
      <c r="H112" s="968"/>
      <c r="I112" s="968"/>
      <c r="J112" s="969">
        <v>66056.83</v>
      </c>
      <c r="K112" s="367">
        <v>0</v>
      </c>
      <c r="L112" s="367">
        <f>IF($H112="",0,VLOOKUP($E112,Plan3!$A$16:$CT$384,$E$7,0)%)</f>
        <v>0</v>
      </c>
      <c r="M112" s="368">
        <f t="shared" si="70"/>
        <v>0</v>
      </c>
      <c r="N112" s="368">
        <f t="shared" si="71"/>
        <v>0</v>
      </c>
      <c r="O112" s="367">
        <v>0</v>
      </c>
      <c r="P112" s="367">
        <f>VLOOKUP($E112,Plan3!$A$492:$P$858,13,0)%</f>
        <v>0</v>
      </c>
      <c r="Q112" s="368">
        <f t="shared" si="72"/>
        <v>0</v>
      </c>
      <c r="R112" s="368">
        <f t="shared" si="73"/>
        <v>0</v>
      </c>
      <c r="S112" s="880">
        <v>0</v>
      </c>
      <c r="T112" s="880">
        <f t="shared" si="74"/>
        <v>0</v>
      </c>
      <c r="U112" s="880">
        <f>IF($I112="",0,($S112-$T112)*(1+('Econômico Macro'!$R$12/100)))</f>
        <v>0</v>
      </c>
      <c r="V112" s="880">
        <f t="shared" si="75"/>
        <v>0</v>
      </c>
      <c r="W112" s="880">
        <f t="shared" si="76"/>
        <v>0</v>
      </c>
      <c r="X112" s="367">
        <f t="shared" si="51"/>
        <v>0</v>
      </c>
      <c r="Y112" s="367">
        <f t="shared" si="52"/>
        <v>0</v>
      </c>
      <c r="Z112" s="367">
        <f t="shared" si="53"/>
        <v>0</v>
      </c>
      <c r="AA112" s="367">
        <f t="shared" si="54"/>
        <v>0</v>
      </c>
      <c r="AB112" s="369" t="str">
        <f t="shared" si="55"/>
        <v>Não Iniciada</v>
      </c>
      <c r="AC112" s="365"/>
      <c r="AD112" s="368">
        <v>1</v>
      </c>
      <c r="AE112" s="368">
        <f t="shared" si="77"/>
        <v>-1</v>
      </c>
      <c r="AF112" s="365"/>
      <c r="AG112" s="863">
        <f t="shared" si="65"/>
        <v>0</v>
      </c>
      <c r="AH112" s="864">
        <f t="shared" si="78"/>
        <v>0</v>
      </c>
      <c r="AI112" s="863">
        <f t="shared" si="66"/>
        <v>0</v>
      </c>
      <c r="AJ112" s="864">
        <f t="shared" si="79"/>
        <v>0</v>
      </c>
      <c r="AK112" s="365"/>
      <c r="AL112" s="865">
        <f t="shared" si="67"/>
        <v>0</v>
      </c>
      <c r="AM112" s="866">
        <f t="shared" si="80"/>
        <v>0</v>
      </c>
      <c r="AN112" s="866">
        <f t="shared" si="81"/>
        <v>0</v>
      </c>
      <c r="AO112" s="866">
        <f t="shared" si="82"/>
        <v>0</v>
      </c>
      <c r="AP112" s="867">
        <f t="shared" si="83"/>
        <v>0</v>
      </c>
      <c r="AQ112" s="591"/>
      <c r="AR112" s="868"/>
      <c r="AS112" s="868"/>
      <c r="AT112" s="868"/>
      <c r="AU112" s="868"/>
      <c r="AV112" s="841"/>
      <c r="AW112" s="869"/>
      <c r="AX112" s="870"/>
      <c r="AY112" s="871"/>
      <c r="AZ112" s="237" t="str">
        <f t="shared" si="56"/>
        <v xml:space="preserve">09.001 </v>
      </c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872">
        <f t="shared" si="57"/>
        <v>0</v>
      </c>
      <c r="BM112" s="873">
        <f t="shared" si="58"/>
        <v>0</v>
      </c>
      <c r="BN112" s="874">
        <f t="shared" si="87"/>
        <v>0</v>
      </c>
      <c r="BO112" s="875">
        <f t="shared" si="59"/>
        <v>0</v>
      </c>
      <c r="BP112" s="875">
        <f t="shared" si="60"/>
        <v>0</v>
      </c>
      <c r="BQ112" s="876">
        <f t="shared" si="88"/>
        <v>0</v>
      </c>
      <c r="BR112" s="877">
        <f t="shared" si="89"/>
        <v>0</v>
      </c>
      <c r="BS112" s="875">
        <f t="shared" si="61"/>
        <v>0</v>
      </c>
      <c r="BT112" s="875">
        <f t="shared" si="62"/>
        <v>0</v>
      </c>
      <c r="BU112" s="878">
        <f t="shared" si="90"/>
        <v>0</v>
      </c>
      <c r="CE112" s="486">
        <v>101</v>
      </c>
    </row>
    <row r="113" spans="1:83" s="177" customFormat="1" ht="21.95" customHeight="1" x14ac:dyDescent="0.2">
      <c r="A113" s="237">
        <f t="shared" si="63"/>
        <v>0</v>
      </c>
      <c r="B113" s="237">
        <f t="shared" si="64"/>
        <v>0</v>
      </c>
      <c r="C113" s="393">
        <f t="shared" si="49"/>
        <v>0</v>
      </c>
      <c r="D113" s="393" t="str">
        <f t="shared" si="50"/>
        <v xml:space="preserve">09 </v>
      </c>
      <c r="E113" s="959" t="s">
        <v>2051</v>
      </c>
      <c r="F113" s="959" t="s">
        <v>464</v>
      </c>
      <c r="G113" s="959" t="s">
        <v>90</v>
      </c>
      <c r="H113" s="965">
        <v>177.65</v>
      </c>
      <c r="I113" s="960">
        <v>6.8266999999999998</v>
      </c>
      <c r="J113" s="964">
        <v>1212.76</v>
      </c>
      <c r="K113" s="367">
        <v>0</v>
      </c>
      <c r="L113" s="367">
        <f>IF($H113="",0,VLOOKUP($E113,Plan3!$A$16:$CT$384,$E$7,0)%)</f>
        <v>0</v>
      </c>
      <c r="M113" s="368">
        <f t="shared" si="70"/>
        <v>0</v>
      </c>
      <c r="N113" s="368">
        <f t="shared" si="71"/>
        <v>0</v>
      </c>
      <c r="O113" s="367">
        <v>0</v>
      </c>
      <c r="P113" s="367">
        <f>VLOOKUP($E113,Plan3!$A$492:$P$858,13,0)%</f>
        <v>0</v>
      </c>
      <c r="Q113" s="368">
        <f t="shared" si="72"/>
        <v>0</v>
      </c>
      <c r="R113" s="368">
        <f t="shared" si="73"/>
        <v>0</v>
      </c>
      <c r="S113" s="880">
        <v>1226.8280160000002</v>
      </c>
      <c r="T113" s="880">
        <f t="shared" si="74"/>
        <v>0</v>
      </c>
      <c r="U113" s="880">
        <f>IF($I113="",0,($S113-$T113)*(1+('Econômico Macro'!$R$12/100)))</f>
        <v>1248.0521406768003</v>
      </c>
      <c r="V113" s="880">
        <f t="shared" si="75"/>
        <v>1248.0521406768003</v>
      </c>
      <c r="W113" s="880">
        <f t="shared" si="76"/>
        <v>0</v>
      </c>
      <c r="X113" s="367">
        <f t="shared" si="51"/>
        <v>0</v>
      </c>
      <c r="Y113" s="367">
        <f t="shared" si="52"/>
        <v>0</v>
      </c>
      <c r="Z113" s="367">
        <f t="shared" si="53"/>
        <v>0</v>
      </c>
      <c r="AA113" s="367">
        <f t="shared" si="54"/>
        <v>0</v>
      </c>
      <c r="AB113" s="369" t="str">
        <f t="shared" si="55"/>
        <v>Não Iniciada</v>
      </c>
      <c r="AC113" s="365"/>
      <c r="AD113" s="368">
        <v>1</v>
      </c>
      <c r="AE113" s="368">
        <f t="shared" si="77"/>
        <v>-1</v>
      </c>
      <c r="AF113" s="365"/>
      <c r="AG113" s="863">
        <f t="shared" si="65"/>
        <v>0</v>
      </c>
      <c r="AH113" s="864">
        <f t="shared" si="78"/>
        <v>0</v>
      </c>
      <c r="AI113" s="863">
        <f t="shared" si="66"/>
        <v>0</v>
      </c>
      <c r="AJ113" s="864">
        <f t="shared" si="79"/>
        <v>0</v>
      </c>
      <c r="AK113" s="365"/>
      <c r="AL113" s="865">
        <f t="shared" si="67"/>
        <v>0</v>
      </c>
      <c r="AM113" s="866">
        <f t="shared" si="80"/>
        <v>0</v>
      </c>
      <c r="AN113" s="866">
        <f t="shared" si="81"/>
        <v>0</v>
      </c>
      <c r="AO113" s="866">
        <f t="shared" si="82"/>
        <v>0</v>
      </c>
      <c r="AP113" s="867">
        <f t="shared" si="83"/>
        <v>0</v>
      </c>
      <c r="AQ113" s="591">
        <f t="shared" si="68"/>
        <v>0</v>
      </c>
      <c r="AR113" s="868">
        <f>IF(AND($L113=0,$P113=0)=TRUE,VLOOKUP($E113,Plan3!$A$16:$CT$487,$E$7+3,0)/100,0)</f>
        <v>0</v>
      </c>
      <c r="AS113" s="868">
        <f>IF(AND($L113=0,$P113=0)=TRUE,VLOOKUP($E113,Plan3!$A$16:$CT$487,$E$7+6,0)/100,0)</f>
        <v>0</v>
      </c>
      <c r="AT113" s="868">
        <f>IF(AND($L113=0,$P113=0)=TRUE,VLOOKUP($E113,Plan3!$A$16:$CT$487,$E$7+9,0)/100,0)</f>
        <v>0</v>
      </c>
      <c r="AU113" s="868">
        <f>IF(AND($L113=0,$P113=0)=TRUE,VLOOKUP($E113,Plan3!$A$16:$CT$487,$E$7+12,0)/100,0)</f>
        <v>0</v>
      </c>
      <c r="AV113" s="841"/>
      <c r="AW113" s="869">
        <f t="shared" si="84"/>
        <v>0</v>
      </c>
      <c r="AX113" s="870">
        <f t="shared" si="85"/>
        <v>0</v>
      </c>
      <c r="AY113" s="871">
        <f t="shared" si="86"/>
        <v>0</v>
      </c>
      <c r="AZ113" s="237" t="str">
        <f t="shared" si="56"/>
        <v xml:space="preserve">09.001.000.001 </v>
      </c>
      <c r="BA113" s="365"/>
      <c r="BB113" s="365"/>
      <c r="BC113" s="365"/>
      <c r="BD113" s="365"/>
      <c r="BE113" s="365"/>
      <c r="BF113" s="365"/>
      <c r="BG113" s="365"/>
      <c r="BH113" s="365"/>
      <c r="BI113" s="365"/>
      <c r="BJ113" s="365"/>
      <c r="BK113" s="365"/>
      <c r="BL113" s="872">
        <f t="shared" si="57"/>
        <v>0</v>
      </c>
      <c r="BM113" s="873">
        <f t="shared" si="58"/>
        <v>0</v>
      </c>
      <c r="BN113" s="874">
        <f t="shared" si="87"/>
        <v>0</v>
      </c>
      <c r="BO113" s="875">
        <f t="shared" si="59"/>
        <v>0</v>
      </c>
      <c r="BP113" s="875">
        <f t="shared" si="60"/>
        <v>0</v>
      </c>
      <c r="BQ113" s="876">
        <f t="shared" si="88"/>
        <v>0</v>
      </c>
      <c r="BR113" s="877">
        <f t="shared" si="89"/>
        <v>0</v>
      </c>
      <c r="BS113" s="875">
        <f t="shared" si="61"/>
        <v>0</v>
      </c>
      <c r="BT113" s="875">
        <f t="shared" si="62"/>
        <v>0</v>
      </c>
      <c r="BU113" s="878">
        <f t="shared" si="90"/>
        <v>0</v>
      </c>
      <c r="CE113" s="486">
        <v>102</v>
      </c>
    </row>
    <row r="114" spans="1:83" s="177" customFormat="1" ht="21.95" customHeight="1" x14ac:dyDescent="0.2">
      <c r="A114" s="237">
        <f t="shared" si="63"/>
        <v>0</v>
      </c>
      <c r="B114" s="237">
        <f t="shared" si="64"/>
        <v>0</v>
      </c>
      <c r="C114" s="393">
        <f t="shared" si="49"/>
        <v>0</v>
      </c>
      <c r="D114" s="393" t="str">
        <f t="shared" si="50"/>
        <v xml:space="preserve">09 </v>
      </c>
      <c r="E114" s="959" t="s">
        <v>2052</v>
      </c>
      <c r="F114" s="959" t="s">
        <v>114</v>
      </c>
      <c r="G114" s="959" t="s">
        <v>90</v>
      </c>
      <c r="H114" s="965">
        <v>124.03</v>
      </c>
      <c r="I114" s="960">
        <v>5.8312999999999997</v>
      </c>
      <c r="J114" s="966">
        <v>723.25</v>
      </c>
      <c r="K114" s="367">
        <v>0</v>
      </c>
      <c r="L114" s="367">
        <f>IF($H114="",0,VLOOKUP($E114,Plan3!$A$16:$CT$384,$E$7,0)%)</f>
        <v>0</v>
      </c>
      <c r="M114" s="368">
        <f t="shared" si="70"/>
        <v>0</v>
      </c>
      <c r="N114" s="368">
        <f t="shared" si="71"/>
        <v>0</v>
      </c>
      <c r="O114" s="367">
        <v>0</v>
      </c>
      <c r="P114" s="367">
        <f>VLOOKUP($E114,Plan3!$A$492:$P$858,13,0)%</f>
        <v>0</v>
      </c>
      <c r="Q114" s="368">
        <f t="shared" si="72"/>
        <v>0</v>
      </c>
      <c r="R114" s="368">
        <f t="shared" si="73"/>
        <v>0</v>
      </c>
      <c r="S114" s="880">
        <v>731.63970000000006</v>
      </c>
      <c r="T114" s="880">
        <f t="shared" si="74"/>
        <v>0</v>
      </c>
      <c r="U114" s="880">
        <f>IF($I114="",0,($S114-$T114)*(1+('Econômico Macro'!$R$12/100)))</f>
        <v>744.29706681000016</v>
      </c>
      <c r="V114" s="880">
        <f t="shared" si="75"/>
        <v>744.29706681000016</v>
      </c>
      <c r="W114" s="880">
        <f t="shared" si="76"/>
        <v>0</v>
      </c>
      <c r="X114" s="367">
        <f t="shared" si="51"/>
        <v>0</v>
      </c>
      <c r="Y114" s="367">
        <f t="shared" si="52"/>
        <v>0</v>
      </c>
      <c r="Z114" s="367">
        <f t="shared" si="53"/>
        <v>0</v>
      </c>
      <c r="AA114" s="367">
        <f t="shared" si="54"/>
        <v>0</v>
      </c>
      <c r="AB114" s="369" t="str">
        <f t="shared" si="55"/>
        <v>Não Iniciada</v>
      </c>
      <c r="AC114" s="365"/>
      <c r="AD114" s="368">
        <v>1</v>
      </c>
      <c r="AE114" s="368">
        <f t="shared" si="77"/>
        <v>-1</v>
      </c>
      <c r="AF114" s="365"/>
      <c r="AG114" s="863">
        <f t="shared" si="65"/>
        <v>0</v>
      </c>
      <c r="AH114" s="864">
        <f t="shared" si="78"/>
        <v>0</v>
      </c>
      <c r="AI114" s="863">
        <f t="shared" si="66"/>
        <v>0</v>
      </c>
      <c r="AJ114" s="864">
        <f t="shared" si="79"/>
        <v>0</v>
      </c>
      <c r="AK114" s="365"/>
      <c r="AL114" s="865">
        <f t="shared" si="67"/>
        <v>0</v>
      </c>
      <c r="AM114" s="866">
        <f t="shared" si="80"/>
        <v>0</v>
      </c>
      <c r="AN114" s="866">
        <f t="shared" si="81"/>
        <v>0</v>
      </c>
      <c r="AO114" s="866">
        <f t="shared" si="82"/>
        <v>0</v>
      </c>
      <c r="AP114" s="867">
        <f t="shared" si="83"/>
        <v>0</v>
      </c>
      <c r="AQ114" s="591">
        <f t="shared" si="68"/>
        <v>0</v>
      </c>
      <c r="AR114" s="868">
        <f>IF(AND($L114=0,$P114=0)=TRUE,VLOOKUP($E114,Plan3!$A$16:$CT$487,$E$7+3,0)/100,0)</f>
        <v>0</v>
      </c>
      <c r="AS114" s="868">
        <f>IF(AND($L114=0,$P114=0)=TRUE,VLOOKUP($E114,Plan3!$A$16:$CT$487,$E$7+6,0)/100,0)</f>
        <v>0</v>
      </c>
      <c r="AT114" s="868">
        <f>IF(AND($L114=0,$P114=0)=TRUE,VLOOKUP($E114,Plan3!$A$16:$CT$487,$E$7+9,0)/100,0)</f>
        <v>0</v>
      </c>
      <c r="AU114" s="868">
        <f>IF(AND($L114=0,$P114=0)=TRUE,VLOOKUP($E114,Plan3!$A$16:$CT$487,$E$7+12,0)/100,0)</f>
        <v>0</v>
      </c>
      <c r="AV114" s="841"/>
      <c r="AW114" s="869">
        <f t="shared" si="84"/>
        <v>0</v>
      </c>
      <c r="AX114" s="870">
        <f t="shared" si="85"/>
        <v>0</v>
      </c>
      <c r="AY114" s="871">
        <f t="shared" si="86"/>
        <v>0</v>
      </c>
      <c r="AZ114" s="237" t="str">
        <f t="shared" si="56"/>
        <v xml:space="preserve">09.001.000.002 </v>
      </c>
      <c r="BA114" s="365"/>
      <c r="BB114" s="365"/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872">
        <f t="shared" si="57"/>
        <v>0</v>
      </c>
      <c r="BM114" s="873">
        <f t="shared" si="58"/>
        <v>0</v>
      </c>
      <c r="BN114" s="874">
        <f t="shared" si="87"/>
        <v>0</v>
      </c>
      <c r="BO114" s="875">
        <f t="shared" si="59"/>
        <v>0</v>
      </c>
      <c r="BP114" s="875">
        <f t="shared" si="60"/>
        <v>0</v>
      </c>
      <c r="BQ114" s="876">
        <f t="shared" si="88"/>
        <v>0</v>
      </c>
      <c r="BR114" s="877">
        <f t="shared" si="89"/>
        <v>0</v>
      </c>
      <c r="BS114" s="875">
        <f t="shared" si="61"/>
        <v>0</v>
      </c>
      <c r="BT114" s="875">
        <f t="shared" si="62"/>
        <v>0</v>
      </c>
      <c r="BU114" s="878">
        <f t="shared" si="90"/>
        <v>0</v>
      </c>
      <c r="CE114" s="486">
        <v>103</v>
      </c>
    </row>
    <row r="115" spans="1:83" s="177" customFormat="1" ht="21.95" customHeight="1" x14ac:dyDescent="0.2">
      <c r="A115" s="237">
        <f t="shared" si="63"/>
        <v>0</v>
      </c>
      <c r="B115" s="237">
        <f t="shared" si="64"/>
        <v>0</v>
      </c>
      <c r="C115" s="393">
        <f t="shared" si="49"/>
        <v>0</v>
      </c>
      <c r="D115" s="393" t="str">
        <f t="shared" si="50"/>
        <v xml:space="preserve">09 </v>
      </c>
      <c r="E115" s="959" t="s">
        <v>2053</v>
      </c>
      <c r="F115" s="959" t="s">
        <v>2233</v>
      </c>
      <c r="G115" s="959" t="s">
        <v>90</v>
      </c>
      <c r="H115" s="965">
        <v>169.73</v>
      </c>
      <c r="I115" s="970">
        <v>21.388300000000001</v>
      </c>
      <c r="J115" s="964">
        <v>3630.23</v>
      </c>
      <c r="K115" s="367">
        <v>0</v>
      </c>
      <c r="L115" s="367">
        <f>IF($H115="",0,VLOOKUP($E115,Plan3!$A$16:$CT$384,$E$7,0)%)</f>
        <v>0</v>
      </c>
      <c r="M115" s="368">
        <f t="shared" si="70"/>
        <v>0</v>
      </c>
      <c r="N115" s="368">
        <f t="shared" si="71"/>
        <v>0</v>
      </c>
      <c r="O115" s="367">
        <v>0</v>
      </c>
      <c r="P115" s="367">
        <f>VLOOKUP($E115,Plan3!$A$492:$P$858,13,0)%</f>
        <v>0</v>
      </c>
      <c r="Q115" s="368">
        <f t="shared" si="72"/>
        <v>0</v>
      </c>
      <c r="R115" s="368">
        <f t="shared" si="73"/>
        <v>0</v>
      </c>
      <c r="S115" s="880">
        <v>3672.3406680000003</v>
      </c>
      <c r="T115" s="880">
        <f t="shared" si="74"/>
        <v>0</v>
      </c>
      <c r="U115" s="880">
        <f>IF($I115="",0,($S115-$T115)*(1+('Econômico Macro'!$R$12/100)))</f>
        <v>3735.8721615564004</v>
      </c>
      <c r="V115" s="880">
        <f t="shared" si="75"/>
        <v>3735.8721615564004</v>
      </c>
      <c r="W115" s="880">
        <f t="shared" si="76"/>
        <v>0</v>
      </c>
      <c r="X115" s="367">
        <f t="shared" si="51"/>
        <v>0</v>
      </c>
      <c r="Y115" s="367">
        <f t="shared" si="52"/>
        <v>0</v>
      </c>
      <c r="Z115" s="367">
        <f t="shared" si="53"/>
        <v>0</v>
      </c>
      <c r="AA115" s="367">
        <f t="shared" si="54"/>
        <v>0</v>
      </c>
      <c r="AB115" s="369" t="str">
        <f t="shared" si="55"/>
        <v>Não Iniciada</v>
      </c>
      <c r="AC115" s="365"/>
      <c r="AD115" s="368">
        <v>1</v>
      </c>
      <c r="AE115" s="368">
        <f t="shared" si="77"/>
        <v>-1</v>
      </c>
      <c r="AF115" s="365"/>
      <c r="AG115" s="863">
        <f t="shared" si="65"/>
        <v>0</v>
      </c>
      <c r="AH115" s="864">
        <f t="shared" si="78"/>
        <v>0</v>
      </c>
      <c r="AI115" s="863">
        <f t="shared" si="66"/>
        <v>0</v>
      </c>
      <c r="AJ115" s="864">
        <f t="shared" si="79"/>
        <v>0</v>
      </c>
      <c r="AK115" s="365"/>
      <c r="AL115" s="865">
        <f t="shared" si="67"/>
        <v>0</v>
      </c>
      <c r="AM115" s="866">
        <f t="shared" si="80"/>
        <v>0</v>
      </c>
      <c r="AN115" s="866">
        <f t="shared" si="81"/>
        <v>0</v>
      </c>
      <c r="AO115" s="866">
        <f t="shared" si="82"/>
        <v>0</v>
      </c>
      <c r="AP115" s="867">
        <f t="shared" si="83"/>
        <v>0</v>
      </c>
      <c r="AQ115" s="591">
        <f t="shared" si="68"/>
        <v>0</v>
      </c>
      <c r="AR115" s="868">
        <f>IF(AND($L115=0,$P115=0)=TRUE,VLOOKUP($E115,Plan3!$A$16:$CT$487,$E$7+3,0)/100,0)</f>
        <v>0</v>
      </c>
      <c r="AS115" s="868">
        <f>IF(AND($L115=0,$P115=0)=TRUE,VLOOKUP($E115,Plan3!$A$16:$CT$487,$E$7+6,0)/100,0)</f>
        <v>0</v>
      </c>
      <c r="AT115" s="868">
        <f>IF(AND($L115=0,$P115=0)=TRUE,VLOOKUP($E115,Plan3!$A$16:$CT$487,$E$7+9,0)/100,0)</f>
        <v>0</v>
      </c>
      <c r="AU115" s="868">
        <f>IF(AND($L115=0,$P115=0)=TRUE,VLOOKUP($E115,Plan3!$A$16:$CT$487,$E$7+12,0)/100,0)</f>
        <v>0</v>
      </c>
      <c r="AV115" s="841"/>
      <c r="AW115" s="869">
        <f t="shared" si="84"/>
        <v>0</v>
      </c>
      <c r="AX115" s="870">
        <f t="shared" si="85"/>
        <v>0</v>
      </c>
      <c r="AY115" s="871">
        <f t="shared" si="86"/>
        <v>0</v>
      </c>
      <c r="AZ115" s="237" t="str">
        <f t="shared" si="56"/>
        <v xml:space="preserve">09.001.000.003 </v>
      </c>
      <c r="BA115" s="365"/>
      <c r="BB115" s="365"/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872">
        <f t="shared" si="57"/>
        <v>0</v>
      </c>
      <c r="BM115" s="873">
        <f t="shared" si="58"/>
        <v>0</v>
      </c>
      <c r="BN115" s="874">
        <f t="shared" si="87"/>
        <v>0</v>
      </c>
      <c r="BO115" s="875">
        <f t="shared" si="59"/>
        <v>0</v>
      </c>
      <c r="BP115" s="875">
        <f t="shared" si="60"/>
        <v>0</v>
      </c>
      <c r="BQ115" s="876">
        <f t="shared" si="88"/>
        <v>0</v>
      </c>
      <c r="BR115" s="877">
        <f t="shared" si="89"/>
        <v>0</v>
      </c>
      <c r="BS115" s="875">
        <f t="shared" si="61"/>
        <v>0</v>
      </c>
      <c r="BT115" s="875">
        <f t="shared" si="62"/>
        <v>0</v>
      </c>
      <c r="BU115" s="878">
        <f t="shared" si="90"/>
        <v>0</v>
      </c>
      <c r="CE115" s="486">
        <v>104</v>
      </c>
    </row>
    <row r="116" spans="1:83" s="177" customFormat="1" ht="21.95" customHeight="1" x14ac:dyDescent="0.2">
      <c r="A116" s="237">
        <f t="shared" si="63"/>
        <v>0</v>
      </c>
      <c r="B116" s="237">
        <f t="shared" si="64"/>
        <v>0</v>
      </c>
      <c r="C116" s="393">
        <f t="shared" si="49"/>
        <v>0</v>
      </c>
      <c r="D116" s="393" t="str">
        <f t="shared" si="50"/>
        <v xml:space="preserve">09 </v>
      </c>
      <c r="E116" s="959" t="s">
        <v>2054</v>
      </c>
      <c r="F116" s="959" t="s">
        <v>2234</v>
      </c>
      <c r="G116" s="959" t="s">
        <v>90</v>
      </c>
      <c r="H116" s="963">
        <v>1902.37</v>
      </c>
      <c r="I116" s="970">
        <v>22.600899999999999</v>
      </c>
      <c r="J116" s="962">
        <v>42995.28</v>
      </c>
      <c r="K116" s="367">
        <v>0</v>
      </c>
      <c r="L116" s="367">
        <f>IF($H116="",0,VLOOKUP($E116,Plan3!$A$16:$CT$384,$E$7,0)%)</f>
        <v>0</v>
      </c>
      <c r="M116" s="368">
        <f t="shared" si="70"/>
        <v>0</v>
      </c>
      <c r="N116" s="368">
        <f t="shared" si="71"/>
        <v>0</v>
      </c>
      <c r="O116" s="367">
        <v>0</v>
      </c>
      <c r="P116" s="367">
        <f>VLOOKUP($E116,Plan3!$A$492:$P$858,13,0)%</f>
        <v>0</v>
      </c>
      <c r="Q116" s="368">
        <f t="shared" si="72"/>
        <v>0</v>
      </c>
      <c r="R116" s="368">
        <f t="shared" si="73"/>
        <v>0</v>
      </c>
      <c r="S116" s="880">
        <v>43494.025247999998</v>
      </c>
      <c r="T116" s="880">
        <f t="shared" si="74"/>
        <v>0</v>
      </c>
      <c r="U116" s="880">
        <f>IF($I116="",0,($S116-$T116)*(1+('Econômico Macro'!$R$12/100)))</f>
        <v>44246.471884790401</v>
      </c>
      <c r="V116" s="880">
        <f t="shared" si="75"/>
        <v>44246.471884790401</v>
      </c>
      <c r="W116" s="880">
        <f t="shared" si="76"/>
        <v>0</v>
      </c>
      <c r="X116" s="367">
        <f t="shared" si="51"/>
        <v>0</v>
      </c>
      <c r="Y116" s="367">
        <f t="shared" si="52"/>
        <v>0</v>
      </c>
      <c r="Z116" s="367">
        <f t="shared" si="53"/>
        <v>0</v>
      </c>
      <c r="AA116" s="367">
        <f t="shared" si="54"/>
        <v>0</v>
      </c>
      <c r="AB116" s="369" t="str">
        <f t="shared" si="55"/>
        <v>Não Iniciada</v>
      </c>
      <c r="AC116" s="365"/>
      <c r="AD116" s="368">
        <v>1</v>
      </c>
      <c r="AE116" s="368">
        <f t="shared" si="77"/>
        <v>-1</v>
      </c>
      <c r="AF116" s="365"/>
      <c r="AG116" s="863">
        <f t="shared" si="65"/>
        <v>0</v>
      </c>
      <c r="AH116" s="864">
        <f t="shared" si="78"/>
        <v>0</v>
      </c>
      <c r="AI116" s="863">
        <f t="shared" si="66"/>
        <v>0</v>
      </c>
      <c r="AJ116" s="864">
        <f t="shared" si="79"/>
        <v>0</v>
      </c>
      <c r="AK116" s="365"/>
      <c r="AL116" s="865">
        <f t="shared" si="67"/>
        <v>0</v>
      </c>
      <c r="AM116" s="866">
        <f t="shared" si="80"/>
        <v>0</v>
      </c>
      <c r="AN116" s="866">
        <f t="shared" si="81"/>
        <v>0</v>
      </c>
      <c r="AO116" s="866">
        <f t="shared" si="82"/>
        <v>0</v>
      </c>
      <c r="AP116" s="867">
        <f t="shared" si="83"/>
        <v>0</v>
      </c>
      <c r="AQ116" s="591">
        <f t="shared" si="68"/>
        <v>0</v>
      </c>
      <c r="AR116" s="868">
        <f>IF(AND($L116=0,$P116=0)=TRUE,VLOOKUP($E116,Plan3!$A$16:$CT$487,$E$7+3,0)/100,0)</f>
        <v>0</v>
      </c>
      <c r="AS116" s="868">
        <f>IF(AND($L116=0,$P116=0)=TRUE,VLOOKUP($E116,Plan3!$A$16:$CT$487,$E$7+6,0)/100,0)</f>
        <v>0</v>
      </c>
      <c r="AT116" s="868">
        <f>IF(AND($L116=0,$P116=0)=TRUE,VLOOKUP($E116,Plan3!$A$16:$CT$487,$E$7+9,0)/100,0)</f>
        <v>0</v>
      </c>
      <c r="AU116" s="868">
        <f>IF(AND($L116=0,$P116=0)=TRUE,VLOOKUP($E116,Plan3!$A$16:$CT$487,$E$7+12,0)/100,0)</f>
        <v>0</v>
      </c>
      <c r="AV116" s="841"/>
      <c r="AW116" s="869">
        <f t="shared" si="84"/>
        <v>0</v>
      </c>
      <c r="AX116" s="870">
        <f t="shared" si="85"/>
        <v>0</v>
      </c>
      <c r="AY116" s="871">
        <f t="shared" si="86"/>
        <v>0</v>
      </c>
      <c r="AZ116" s="237" t="str">
        <f t="shared" si="56"/>
        <v xml:space="preserve">09.001.000.004 </v>
      </c>
      <c r="BA116" s="365"/>
      <c r="BB116" s="365"/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872">
        <f t="shared" si="57"/>
        <v>0</v>
      </c>
      <c r="BM116" s="873">
        <f t="shared" si="58"/>
        <v>0</v>
      </c>
      <c r="BN116" s="874">
        <f t="shared" si="87"/>
        <v>0</v>
      </c>
      <c r="BO116" s="875">
        <f t="shared" si="59"/>
        <v>0</v>
      </c>
      <c r="BP116" s="875">
        <f t="shared" si="60"/>
        <v>0</v>
      </c>
      <c r="BQ116" s="876">
        <f t="shared" si="88"/>
        <v>0</v>
      </c>
      <c r="BR116" s="877">
        <f t="shared" si="89"/>
        <v>0</v>
      </c>
      <c r="BS116" s="875">
        <f t="shared" si="61"/>
        <v>0</v>
      </c>
      <c r="BT116" s="875">
        <f t="shared" si="62"/>
        <v>0</v>
      </c>
      <c r="BU116" s="878">
        <f t="shared" si="90"/>
        <v>0</v>
      </c>
      <c r="CE116" s="486">
        <v>105</v>
      </c>
    </row>
    <row r="117" spans="1:83" s="177" customFormat="1" ht="21.95" customHeight="1" x14ac:dyDescent="0.2">
      <c r="A117" s="237">
        <f t="shared" si="63"/>
        <v>0</v>
      </c>
      <c r="B117" s="237">
        <f t="shared" si="64"/>
        <v>0</v>
      </c>
      <c r="C117" s="393">
        <f t="shared" si="49"/>
        <v>0</v>
      </c>
      <c r="D117" s="393" t="str">
        <f t="shared" si="50"/>
        <v xml:space="preserve">09 </v>
      </c>
      <c r="E117" s="959" t="s">
        <v>2055</v>
      </c>
      <c r="F117" s="959" t="s">
        <v>2235</v>
      </c>
      <c r="G117" s="959" t="s">
        <v>90</v>
      </c>
      <c r="H117" s="965">
        <v>182.48</v>
      </c>
      <c r="I117" s="970">
        <v>26.500900000000001</v>
      </c>
      <c r="J117" s="964">
        <v>4835.88</v>
      </c>
      <c r="K117" s="367">
        <v>0</v>
      </c>
      <c r="L117" s="367">
        <f>IF($H117="",0,VLOOKUP($E117,Plan3!$A$16:$CT$384,$E$7,0)%)</f>
        <v>0</v>
      </c>
      <c r="M117" s="368">
        <f t="shared" si="70"/>
        <v>0</v>
      </c>
      <c r="N117" s="368">
        <f t="shared" si="71"/>
        <v>0</v>
      </c>
      <c r="O117" s="367">
        <v>0</v>
      </c>
      <c r="P117" s="367">
        <f>VLOOKUP($E117,Plan3!$A$492:$P$858,13,0)%</f>
        <v>0</v>
      </c>
      <c r="Q117" s="368">
        <f t="shared" si="72"/>
        <v>0</v>
      </c>
      <c r="R117" s="368">
        <f t="shared" si="73"/>
        <v>0</v>
      </c>
      <c r="S117" s="880">
        <v>4891.976208</v>
      </c>
      <c r="T117" s="880">
        <f t="shared" si="74"/>
        <v>0</v>
      </c>
      <c r="U117" s="880">
        <f>IF($I117="",0,($S117-$T117)*(1+('Econômico Macro'!$R$12/100)))</f>
        <v>4976.6073963984009</v>
      </c>
      <c r="V117" s="880">
        <f t="shared" si="75"/>
        <v>4976.6073963984009</v>
      </c>
      <c r="W117" s="880">
        <f t="shared" si="76"/>
        <v>0</v>
      </c>
      <c r="X117" s="367">
        <f t="shared" si="51"/>
        <v>0</v>
      </c>
      <c r="Y117" s="367">
        <f t="shared" si="52"/>
        <v>0</v>
      </c>
      <c r="Z117" s="367">
        <f t="shared" si="53"/>
        <v>0</v>
      </c>
      <c r="AA117" s="367">
        <f t="shared" si="54"/>
        <v>0</v>
      </c>
      <c r="AB117" s="369" t="str">
        <f t="shared" si="55"/>
        <v>Não Iniciada</v>
      </c>
      <c r="AC117" s="365"/>
      <c r="AD117" s="368">
        <v>1</v>
      </c>
      <c r="AE117" s="368">
        <f t="shared" si="77"/>
        <v>-1</v>
      </c>
      <c r="AF117" s="365"/>
      <c r="AG117" s="863">
        <f t="shared" si="65"/>
        <v>0</v>
      </c>
      <c r="AH117" s="864">
        <f t="shared" si="78"/>
        <v>0</v>
      </c>
      <c r="AI117" s="863">
        <f t="shared" si="66"/>
        <v>0</v>
      </c>
      <c r="AJ117" s="864">
        <f t="shared" si="79"/>
        <v>0</v>
      </c>
      <c r="AK117" s="365"/>
      <c r="AL117" s="865">
        <f t="shared" si="67"/>
        <v>0</v>
      </c>
      <c r="AM117" s="866">
        <f t="shared" si="80"/>
        <v>0</v>
      </c>
      <c r="AN117" s="866">
        <f t="shared" si="81"/>
        <v>0</v>
      </c>
      <c r="AO117" s="866">
        <f t="shared" si="82"/>
        <v>0</v>
      </c>
      <c r="AP117" s="867">
        <f t="shared" si="83"/>
        <v>0</v>
      </c>
      <c r="AQ117" s="591">
        <f t="shared" si="68"/>
        <v>0</v>
      </c>
      <c r="AR117" s="868">
        <f>IF(AND($L117=0,$P117=0)=TRUE,VLOOKUP($E117,Plan3!$A$16:$CT$487,$E$7+3,0)/100,0)</f>
        <v>0</v>
      </c>
      <c r="AS117" s="868">
        <f>IF(AND($L117=0,$P117=0)=TRUE,VLOOKUP($E117,Plan3!$A$16:$CT$487,$E$7+6,0)/100,0)</f>
        <v>0</v>
      </c>
      <c r="AT117" s="868">
        <f>IF(AND($L117=0,$P117=0)=TRUE,VLOOKUP($E117,Plan3!$A$16:$CT$487,$E$7+9,0)/100,0)</f>
        <v>0</v>
      </c>
      <c r="AU117" s="868">
        <f>IF(AND($L117=0,$P117=0)=TRUE,VLOOKUP($E117,Plan3!$A$16:$CT$487,$E$7+12,0)/100,0)</f>
        <v>0</v>
      </c>
      <c r="AV117" s="841"/>
      <c r="AW117" s="869">
        <f t="shared" si="84"/>
        <v>0</v>
      </c>
      <c r="AX117" s="870">
        <f t="shared" si="85"/>
        <v>0</v>
      </c>
      <c r="AY117" s="871">
        <f t="shared" si="86"/>
        <v>0</v>
      </c>
      <c r="AZ117" s="237" t="str">
        <f t="shared" si="56"/>
        <v xml:space="preserve">09.001.000.005 </v>
      </c>
      <c r="BA117" s="365"/>
      <c r="BB117" s="365"/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872">
        <f t="shared" si="57"/>
        <v>0</v>
      </c>
      <c r="BM117" s="873">
        <f t="shared" si="58"/>
        <v>0</v>
      </c>
      <c r="BN117" s="874">
        <f t="shared" si="87"/>
        <v>0</v>
      </c>
      <c r="BO117" s="875">
        <f t="shared" si="59"/>
        <v>0</v>
      </c>
      <c r="BP117" s="875">
        <f t="shared" si="60"/>
        <v>0</v>
      </c>
      <c r="BQ117" s="876">
        <f t="shared" si="88"/>
        <v>0</v>
      </c>
      <c r="BR117" s="877">
        <f t="shared" si="89"/>
        <v>0</v>
      </c>
      <c r="BS117" s="875">
        <f t="shared" si="61"/>
        <v>0</v>
      </c>
      <c r="BT117" s="875">
        <f t="shared" si="62"/>
        <v>0</v>
      </c>
      <c r="BU117" s="878">
        <f t="shared" si="90"/>
        <v>0</v>
      </c>
      <c r="CE117" s="486">
        <v>106</v>
      </c>
    </row>
    <row r="118" spans="1:83" s="177" customFormat="1" ht="21.95" customHeight="1" x14ac:dyDescent="0.2">
      <c r="A118" s="237">
        <f t="shared" si="63"/>
        <v>0</v>
      </c>
      <c r="B118" s="237">
        <f t="shared" si="64"/>
        <v>0</v>
      </c>
      <c r="C118" s="393">
        <f t="shared" si="49"/>
        <v>0</v>
      </c>
      <c r="D118" s="393" t="str">
        <f t="shared" si="50"/>
        <v xml:space="preserve">09 </v>
      </c>
      <c r="E118" s="959" t="s">
        <v>2056</v>
      </c>
      <c r="F118" s="959" t="s">
        <v>1412</v>
      </c>
      <c r="G118" s="959" t="s">
        <v>90</v>
      </c>
      <c r="H118" s="970">
        <v>26.04</v>
      </c>
      <c r="I118" s="970">
        <v>78.67</v>
      </c>
      <c r="J118" s="964">
        <v>2048.56</v>
      </c>
      <c r="K118" s="367">
        <v>0</v>
      </c>
      <c r="L118" s="367">
        <f>IF($H118="",0,VLOOKUP($E118,Plan3!$A$16:$CT$384,$E$7,0)%)</f>
        <v>0</v>
      </c>
      <c r="M118" s="368">
        <f t="shared" si="70"/>
        <v>0</v>
      </c>
      <c r="N118" s="368">
        <f t="shared" si="71"/>
        <v>0</v>
      </c>
      <c r="O118" s="367">
        <v>0</v>
      </c>
      <c r="P118" s="367">
        <f>VLOOKUP($E118,Plan3!$A$492:$P$858,13,0)%</f>
        <v>0</v>
      </c>
      <c r="Q118" s="368">
        <f t="shared" si="72"/>
        <v>0</v>
      </c>
      <c r="R118" s="368">
        <f t="shared" si="73"/>
        <v>0</v>
      </c>
      <c r="S118" s="880">
        <v>2072.323296</v>
      </c>
      <c r="T118" s="880">
        <f t="shared" si="74"/>
        <v>0</v>
      </c>
      <c r="U118" s="880">
        <f>IF($I118="",0,($S118-$T118)*(1+('Econômico Macro'!$R$12/100)))</f>
        <v>2108.1744890208001</v>
      </c>
      <c r="V118" s="880">
        <f t="shared" si="75"/>
        <v>2108.1744890208001</v>
      </c>
      <c r="W118" s="880">
        <f t="shared" si="76"/>
        <v>0</v>
      </c>
      <c r="X118" s="367">
        <f t="shared" si="51"/>
        <v>0</v>
      </c>
      <c r="Y118" s="367">
        <f t="shared" si="52"/>
        <v>0</v>
      </c>
      <c r="Z118" s="367">
        <f t="shared" si="53"/>
        <v>0</v>
      </c>
      <c r="AA118" s="367">
        <f t="shared" si="54"/>
        <v>0</v>
      </c>
      <c r="AB118" s="369" t="str">
        <f t="shared" si="55"/>
        <v>Não Iniciada</v>
      </c>
      <c r="AC118" s="365"/>
      <c r="AD118" s="368">
        <v>1</v>
      </c>
      <c r="AE118" s="368">
        <f t="shared" si="77"/>
        <v>-1</v>
      </c>
      <c r="AF118" s="365"/>
      <c r="AG118" s="863">
        <f t="shared" si="65"/>
        <v>0</v>
      </c>
      <c r="AH118" s="864">
        <f t="shared" si="78"/>
        <v>0</v>
      </c>
      <c r="AI118" s="863">
        <f t="shared" si="66"/>
        <v>0</v>
      </c>
      <c r="AJ118" s="864">
        <f t="shared" si="79"/>
        <v>0</v>
      </c>
      <c r="AK118" s="365"/>
      <c r="AL118" s="865">
        <f t="shared" si="67"/>
        <v>0</v>
      </c>
      <c r="AM118" s="866">
        <f t="shared" si="80"/>
        <v>0</v>
      </c>
      <c r="AN118" s="866">
        <f t="shared" si="81"/>
        <v>0</v>
      </c>
      <c r="AO118" s="866">
        <f t="shared" si="82"/>
        <v>0</v>
      </c>
      <c r="AP118" s="867">
        <f t="shared" si="83"/>
        <v>0</v>
      </c>
      <c r="AQ118" s="591">
        <f t="shared" si="68"/>
        <v>0</v>
      </c>
      <c r="AR118" s="868">
        <f>IF(AND($L118=0,$P118=0)=TRUE,VLOOKUP($E118,Plan3!$A$16:$CT$487,$E$7+3,0)/100,0)</f>
        <v>0</v>
      </c>
      <c r="AS118" s="868">
        <f>IF(AND($L118=0,$P118=0)=TRUE,VLOOKUP($E118,Plan3!$A$16:$CT$487,$E$7+6,0)/100,0)</f>
        <v>0</v>
      </c>
      <c r="AT118" s="868">
        <f>IF(AND($L118=0,$P118=0)=TRUE,VLOOKUP($E118,Plan3!$A$16:$CT$487,$E$7+9,0)/100,0)</f>
        <v>0</v>
      </c>
      <c r="AU118" s="868">
        <f>IF(AND($L118=0,$P118=0)=TRUE,VLOOKUP($E118,Plan3!$A$16:$CT$487,$E$7+12,0)/100,0)</f>
        <v>0</v>
      </c>
      <c r="AV118" s="841"/>
      <c r="AW118" s="869">
        <f t="shared" si="84"/>
        <v>0</v>
      </c>
      <c r="AX118" s="870">
        <f t="shared" si="85"/>
        <v>0</v>
      </c>
      <c r="AY118" s="871">
        <f t="shared" si="86"/>
        <v>0</v>
      </c>
      <c r="AZ118" s="237" t="str">
        <f t="shared" si="56"/>
        <v xml:space="preserve">09.001.000.006 </v>
      </c>
      <c r="BA118" s="365"/>
      <c r="BB118" s="365"/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872">
        <f t="shared" si="57"/>
        <v>0</v>
      </c>
      <c r="BM118" s="873">
        <f t="shared" si="58"/>
        <v>0</v>
      </c>
      <c r="BN118" s="874">
        <f t="shared" si="87"/>
        <v>0</v>
      </c>
      <c r="BO118" s="875">
        <f t="shared" si="59"/>
        <v>0</v>
      </c>
      <c r="BP118" s="875">
        <f t="shared" si="60"/>
        <v>0</v>
      </c>
      <c r="BQ118" s="876">
        <f t="shared" si="88"/>
        <v>0</v>
      </c>
      <c r="BR118" s="877">
        <f t="shared" si="89"/>
        <v>0</v>
      </c>
      <c r="BS118" s="875">
        <f t="shared" si="61"/>
        <v>0</v>
      </c>
      <c r="BT118" s="875">
        <f t="shared" si="62"/>
        <v>0</v>
      </c>
      <c r="BU118" s="878">
        <f t="shared" si="90"/>
        <v>0</v>
      </c>
      <c r="CE118" s="486">
        <v>107</v>
      </c>
    </row>
    <row r="119" spans="1:83" s="177" customFormat="1" ht="21.95" customHeight="1" x14ac:dyDescent="0.2">
      <c r="A119" s="237">
        <f t="shared" si="63"/>
        <v>0</v>
      </c>
      <c r="B119" s="237">
        <f t="shared" si="64"/>
        <v>0</v>
      </c>
      <c r="C119" s="393">
        <f t="shared" si="49"/>
        <v>0</v>
      </c>
      <c r="D119" s="393" t="str">
        <f t="shared" si="50"/>
        <v xml:space="preserve">09 </v>
      </c>
      <c r="E119" s="959" t="s">
        <v>2057</v>
      </c>
      <c r="F119" s="959" t="s">
        <v>2058</v>
      </c>
      <c r="G119" s="959" t="s">
        <v>90</v>
      </c>
      <c r="H119" s="965">
        <v>132.28</v>
      </c>
      <c r="I119" s="970">
        <v>20.137</v>
      </c>
      <c r="J119" s="964">
        <v>2663.72</v>
      </c>
      <c r="K119" s="367">
        <v>0</v>
      </c>
      <c r="L119" s="367">
        <f>IF($H119="",0,VLOOKUP($E119,Plan3!$A$16:$CT$384,$E$7,0)%)</f>
        <v>0</v>
      </c>
      <c r="M119" s="368">
        <f t="shared" si="70"/>
        <v>0</v>
      </c>
      <c r="N119" s="368">
        <f t="shared" si="71"/>
        <v>0</v>
      </c>
      <c r="O119" s="367">
        <v>0</v>
      </c>
      <c r="P119" s="367">
        <f>VLOOKUP($E119,Plan3!$A$492:$P$858,13,0)%</f>
        <v>0</v>
      </c>
      <c r="Q119" s="368">
        <f t="shared" si="72"/>
        <v>0</v>
      </c>
      <c r="R119" s="368">
        <f t="shared" si="73"/>
        <v>0</v>
      </c>
      <c r="S119" s="880">
        <v>2694.6191519999998</v>
      </c>
      <c r="T119" s="880">
        <f t="shared" si="74"/>
        <v>0</v>
      </c>
      <c r="U119" s="880">
        <f>IF($I119="",0,($S119-$T119)*(1+('Econômico Macro'!$R$12/100)))</f>
        <v>2741.2360633295998</v>
      </c>
      <c r="V119" s="880">
        <f t="shared" si="75"/>
        <v>2741.2360633295998</v>
      </c>
      <c r="W119" s="880">
        <f t="shared" si="76"/>
        <v>0</v>
      </c>
      <c r="X119" s="367">
        <f t="shared" si="51"/>
        <v>0</v>
      </c>
      <c r="Y119" s="367">
        <f t="shared" si="52"/>
        <v>0</v>
      </c>
      <c r="Z119" s="367">
        <f t="shared" si="53"/>
        <v>0</v>
      </c>
      <c r="AA119" s="367">
        <f t="shared" si="54"/>
        <v>0</v>
      </c>
      <c r="AB119" s="369" t="str">
        <f t="shared" si="55"/>
        <v>Não Iniciada</v>
      </c>
      <c r="AC119" s="365"/>
      <c r="AD119" s="368">
        <v>1</v>
      </c>
      <c r="AE119" s="368">
        <f t="shared" si="77"/>
        <v>-1</v>
      </c>
      <c r="AF119" s="365"/>
      <c r="AG119" s="863">
        <f t="shared" si="65"/>
        <v>0</v>
      </c>
      <c r="AH119" s="864">
        <f t="shared" si="78"/>
        <v>0</v>
      </c>
      <c r="AI119" s="863">
        <f t="shared" si="66"/>
        <v>0</v>
      </c>
      <c r="AJ119" s="864">
        <f t="shared" si="79"/>
        <v>0</v>
      </c>
      <c r="AK119" s="365"/>
      <c r="AL119" s="865">
        <f t="shared" si="67"/>
        <v>0</v>
      </c>
      <c r="AM119" s="866">
        <f t="shared" si="80"/>
        <v>0</v>
      </c>
      <c r="AN119" s="866">
        <f t="shared" si="81"/>
        <v>0</v>
      </c>
      <c r="AO119" s="866">
        <f t="shared" si="82"/>
        <v>0</v>
      </c>
      <c r="AP119" s="867">
        <f t="shared" si="83"/>
        <v>0</v>
      </c>
      <c r="AQ119" s="591">
        <f t="shared" si="68"/>
        <v>0</v>
      </c>
      <c r="AR119" s="868">
        <f>IF(AND($L119=0,$P119=0)=TRUE,VLOOKUP($E119,Plan3!$A$16:$CT$487,$E$7+3,0)/100,0)</f>
        <v>0</v>
      </c>
      <c r="AS119" s="868">
        <f>IF(AND($L119=0,$P119=0)=TRUE,VLOOKUP($E119,Plan3!$A$16:$CT$487,$E$7+6,0)/100,0)</f>
        <v>0</v>
      </c>
      <c r="AT119" s="868">
        <f>IF(AND($L119=0,$P119=0)=TRUE,VLOOKUP($E119,Plan3!$A$16:$CT$487,$E$7+9,0)/100,0)</f>
        <v>0</v>
      </c>
      <c r="AU119" s="868">
        <f>IF(AND($L119=0,$P119=0)=TRUE,VLOOKUP($E119,Plan3!$A$16:$CT$487,$E$7+12,0)/100,0)</f>
        <v>0</v>
      </c>
      <c r="AV119" s="841"/>
      <c r="AW119" s="869">
        <f t="shared" si="84"/>
        <v>0</v>
      </c>
      <c r="AX119" s="870">
        <f t="shared" si="85"/>
        <v>0</v>
      </c>
      <c r="AY119" s="871">
        <f t="shared" si="86"/>
        <v>0</v>
      </c>
      <c r="AZ119" s="237" t="str">
        <f t="shared" si="56"/>
        <v xml:space="preserve">09.001.000.007 </v>
      </c>
      <c r="BA119" s="365"/>
      <c r="BB119" s="365"/>
      <c r="BC119" s="365"/>
      <c r="BD119" s="365"/>
      <c r="BE119" s="365"/>
      <c r="BF119" s="365"/>
      <c r="BG119" s="365"/>
      <c r="BH119" s="365"/>
      <c r="BI119" s="365"/>
      <c r="BJ119" s="365"/>
      <c r="BK119" s="365"/>
      <c r="BL119" s="872">
        <f t="shared" si="57"/>
        <v>0</v>
      </c>
      <c r="BM119" s="873">
        <f t="shared" si="58"/>
        <v>0</v>
      </c>
      <c r="BN119" s="874">
        <f t="shared" si="87"/>
        <v>0</v>
      </c>
      <c r="BO119" s="875">
        <f t="shared" si="59"/>
        <v>0</v>
      </c>
      <c r="BP119" s="875">
        <f t="shared" si="60"/>
        <v>0</v>
      </c>
      <c r="BQ119" s="876">
        <f t="shared" si="88"/>
        <v>0</v>
      </c>
      <c r="BR119" s="877">
        <f t="shared" si="89"/>
        <v>0</v>
      </c>
      <c r="BS119" s="875">
        <f t="shared" si="61"/>
        <v>0</v>
      </c>
      <c r="BT119" s="875">
        <f t="shared" si="62"/>
        <v>0</v>
      </c>
      <c r="BU119" s="878">
        <f t="shared" si="90"/>
        <v>0</v>
      </c>
      <c r="CE119" s="486">
        <v>108</v>
      </c>
    </row>
    <row r="120" spans="1:83" s="177" customFormat="1" ht="21.95" customHeight="1" x14ac:dyDescent="0.2">
      <c r="A120" s="237">
        <f t="shared" si="63"/>
        <v>0</v>
      </c>
      <c r="B120" s="237">
        <f t="shared" si="64"/>
        <v>0</v>
      </c>
      <c r="C120" s="393">
        <f t="shared" si="49"/>
        <v>0</v>
      </c>
      <c r="D120" s="393" t="str">
        <f t="shared" si="50"/>
        <v xml:space="preserve">09 </v>
      </c>
      <c r="E120" s="959" t="s">
        <v>2059</v>
      </c>
      <c r="F120" s="959" t="s">
        <v>475</v>
      </c>
      <c r="G120" s="959" t="s">
        <v>90</v>
      </c>
      <c r="H120" s="965">
        <v>768.87</v>
      </c>
      <c r="I120" s="960">
        <v>7.35</v>
      </c>
      <c r="J120" s="964">
        <v>5651.19</v>
      </c>
      <c r="K120" s="367">
        <v>0</v>
      </c>
      <c r="L120" s="367">
        <f>IF($H120="",0,VLOOKUP($E120,Plan3!$A$16:$CT$384,$E$7,0)%)</f>
        <v>0</v>
      </c>
      <c r="M120" s="368">
        <f t="shared" si="70"/>
        <v>0</v>
      </c>
      <c r="N120" s="368">
        <f t="shared" si="71"/>
        <v>0</v>
      </c>
      <c r="O120" s="367">
        <v>0</v>
      </c>
      <c r="P120" s="367">
        <f>VLOOKUP($E120,Plan3!$A$492:$P$858,13,0)%</f>
        <v>0</v>
      </c>
      <c r="Q120" s="368">
        <f t="shared" si="72"/>
        <v>0</v>
      </c>
      <c r="R120" s="368">
        <f t="shared" si="73"/>
        <v>0</v>
      </c>
      <c r="S120" s="880">
        <v>5716.7438039999997</v>
      </c>
      <c r="T120" s="880">
        <f t="shared" si="74"/>
        <v>0</v>
      </c>
      <c r="U120" s="880">
        <f>IF($I120="",0,($S120-$T120)*(1+('Econômico Macro'!$R$12/100)))</f>
        <v>5815.6434718092005</v>
      </c>
      <c r="V120" s="880">
        <f t="shared" si="75"/>
        <v>5815.6434718092005</v>
      </c>
      <c r="W120" s="880">
        <f t="shared" si="76"/>
        <v>0</v>
      </c>
      <c r="X120" s="367">
        <f t="shared" si="51"/>
        <v>0</v>
      </c>
      <c r="Y120" s="367">
        <f t="shared" si="52"/>
        <v>0</v>
      </c>
      <c r="Z120" s="367">
        <f t="shared" si="53"/>
        <v>0</v>
      </c>
      <c r="AA120" s="367">
        <f t="shared" si="54"/>
        <v>0</v>
      </c>
      <c r="AB120" s="369" t="str">
        <f t="shared" si="55"/>
        <v>Não Iniciada</v>
      </c>
      <c r="AC120" s="365"/>
      <c r="AD120" s="368">
        <v>1</v>
      </c>
      <c r="AE120" s="368">
        <f t="shared" si="77"/>
        <v>-1</v>
      </c>
      <c r="AF120" s="365"/>
      <c r="AG120" s="863">
        <f t="shared" si="65"/>
        <v>0</v>
      </c>
      <c r="AH120" s="864">
        <f t="shared" si="78"/>
        <v>0</v>
      </c>
      <c r="AI120" s="863">
        <f t="shared" si="66"/>
        <v>0</v>
      </c>
      <c r="AJ120" s="864">
        <f t="shared" si="79"/>
        <v>0</v>
      </c>
      <c r="AK120" s="365"/>
      <c r="AL120" s="865">
        <f t="shared" si="67"/>
        <v>0</v>
      </c>
      <c r="AM120" s="866">
        <f t="shared" si="80"/>
        <v>0</v>
      </c>
      <c r="AN120" s="866">
        <f t="shared" si="81"/>
        <v>0</v>
      </c>
      <c r="AO120" s="866">
        <f t="shared" si="82"/>
        <v>0</v>
      </c>
      <c r="AP120" s="867">
        <f t="shared" si="83"/>
        <v>0</v>
      </c>
      <c r="AQ120" s="591">
        <f t="shared" si="68"/>
        <v>0</v>
      </c>
      <c r="AR120" s="868">
        <f>IF(AND($L120=0,$P120=0)=TRUE,VLOOKUP($E120,Plan3!$A$16:$CT$487,$E$7+3,0)/100,0)</f>
        <v>0</v>
      </c>
      <c r="AS120" s="868">
        <f>IF(AND($L120=0,$P120=0)=TRUE,VLOOKUP($E120,Plan3!$A$16:$CT$487,$E$7+6,0)/100,0)</f>
        <v>0</v>
      </c>
      <c r="AT120" s="868">
        <f>IF(AND($L120=0,$P120=0)=TRUE,VLOOKUP($E120,Plan3!$A$16:$CT$487,$E$7+9,0)/100,0)</f>
        <v>0</v>
      </c>
      <c r="AU120" s="868">
        <f>IF(AND($L120=0,$P120=0)=TRUE,VLOOKUP($E120,Plan3!$A$16:$CT$487,$E$7+12,0)/100,0)</f>
        <v>0</v>
      </c>
      <c r="AV120" s="841"/>
      <c r="AW120" s="869">
        <f t="shared" si="84"/>
        <v>0</v>
      </c>
      <c r="AX120" s="870">
        <f t="shared" si="85"/>
        <v>0</v>
      </c>
      <c r="AY120" s="871">
        <f t="shared" si="86"/>
        <v>0</v>
      </c>
      <c r="AZ120" s="237" t="str">
        <f t="shared" si="56"/>
        <v xml:space="preserve">09.001.000.008 </v>
      </c>
      <c r="BA120" s="365"/>
      <c r="BB120" s="365"/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872">
        <f t="shared" si="57"/>
        <v>0</v>
      </c>
      <c r="BM120" s="873">
        <f t="shared" si="58"/>
        <v>0</v>
      </c>
      <c r="BN120" s="874">
        <f t="shared" si="87"/>
        <v>0</v>
      </c>
      <c r="BO120" s="875">
        <f t="shared" si="59"/>
        <v>0</v>
      </c>
      <c r="BP120" s="875">
        <f t="shared" si="60"/>
        <v>0</v>
      </c>
      <c r="BQ120" s="876">
        <f t="shared" si="88"/>
        <v>0</v>
      </c>
      <c r="BR120" s="877">
        <f t="shared" si="89"/>
        <v>0</v>
      </c>
      <c r="BS120" s="875">
        <f t="shared" si="61"/>
        <v>0</v>
      </c>
      <c r="BT120" s="875">
        <f t="shared" si="62"/>
        <v>0</v>
      </c>
      <c r="BU120" s="878">
        <f t="shared" si="90"/>
        <v>0</v>
      </c>
      <c r="CE120" s="486">
        <v>109</v>
      </c>
    </row>
    <row r="121" spans="1:83" s="177" customFormat="1" ht="21.95" customHeight="1" x14ac:dyDescent="0.2">
      <c r="A121" s="237">
        <f t="shared" si="63"/>
        <v>0</v>
      </c>
      <c r="B121" s="237">
        <f t="shared" si="64"/>
        <v>0</v>
      </c>
      <c r="C121" s="393">
        <f t="shared" si="49"/>
        <v>0</v>
      </c>
      <c r="D121" s="393" t="str">
        <f t="shared" si="50"/>
        <v xml:space="preserve">09 </v>
      </c>
      <c r="E121" s="959" t="s">
        <v>2060</v>
      </c>
      <c r="F121" s="959" t="s">
        <v>2061</v>
      </c>
      <c r="G121" s="959" t="s">
        <v>90</v>
      </c>
      <c r="H121" s="970">
        <v>53</v>
      </c>
      <c r="I121" s="970">
        <v>43.32</v>
      </c>
      <c r="J121" s="964">
        <v>2295.96</v>
      </c>
      <c r="K121" s="367">
        <v>0</v>
      </c>
      <c r="L121" s="367">
        <f>IF($H121="",0,VLOOKUP($E121,Plan3!$A$16:$CT$384,$E$7,0)%)</f>
        <v>0</v>
      </c>
      <c r="M121" s="368">
        <f t="shared" si="70"/>
        <v>0</v>
      </c>
      <c r="N121" s="368">
        <f t="shared" si="71"/>
        <v>0</v>
      </c>
      <c r="O121" s="367">
        <v>0</v>
      </c>
      <c r="P121" s="367">
        <f>VLOOKUP($E121,Plan3!$A$492:$P$858,13,0)%</f>
        <v>0</v>
      </c>
      <c r="Q121" s="368">
        <f t="shared" si="72"/>
        <v>0</v>
      </c>
      <c r="R121" s="368">
        <f t="shared" si="73"/>
        <v>0</v>
      </c>
      <c r="S121" s="880">
        <v>2322.593136</v>
      </c>
      <c r="T121" s="880">
        <f t="shared" si="74"/>
        <v>0</v>
      </c>
      <c r="U121" s="880">
        <f>IF($I121="",0,($S121-$T121)*(1+('Econômico Macro'!$R$12/100)))</f>
        <v>2362.7739972528002</v>
      </c>
      <c r="V121" s="880">
        <f t="shared" si="75"/>
        <v>2362.7739972528002</v>
      </c>
      <c r="W121" s="880">
        <f t="shared" si="76"/>
        <v>0</v>
      </c>
      <c r="X121" s="367">
        <f t="shared" si="51"/>
        <v>0</v>
      </c>
      <c r="Y121" s="367">
        <f t="shared" si="52"/>
        <v>0</v>
      </c>
      <c r="Z121" s="367">
        <f t="shared" si="53"/>
        <v>0</v>
      </c>
      <c r="AA121" s="367">
        <f t="shared" si="54"/>
        <v>0</v>
      </c>
      <c r="AB121" s="369" t="str">
        <f t="shared" si="55"/>
        <v>Não Iniciada</v>
      </c>
      <c r="AC121" s="365"/>
      <c r="AD121" s="368">
        <v>1</v>
      </c>
      <c r="AE121" s="368">
        <f t="shared" si="77"/>
        <v>-1</v>
      </c>
      <c r="AF121" s="365"/>
      <c r="AG121" s="863">
        <f t="shared" si="65"/>
        <v>0</v>
      </c>
      <c r="AH121" s="864">
        <f t="shared" si="78"/>
        <v>0</v>
      </c>
      <c r="AI121" s="863">
        <f t="shared" si="66"/>
        <v>0</v>
      </c>
      <c r="AJ121" s="864">
        <f t="shared" si="79"/>
        <v>0</v>
      </c>
      <c r="AK121" s="365"/>
      <c r="AL121" s="865">
        <f t="shared" si="67"/>
        <v>0</v>
      </c>
      <c r="AM121" s="866">
        <f t="shared" si="80"/>
        <v>0</v>
      </c>
      <c r="AN121" s="866">
        <f t="shared" si="81"/>
        <v>0</v>
      </c>
      <c r="AO121" s="866">
        <f t="shared" si="82"/>
        <v>0</v>
      </c>
      <c r="AP121" s="867">
        <f t="shared" si="83"/>
        <v>0</v>
      </c>
      <c r="AQ121" s="591">
        <f t="shared" si="68"/>
        <v>0</v>
      </c>
      <c r="AR121" s="868">
        <f>IF(AND($L121=0,$P121=0)=TRUE,VLOOKUP($E121,Plan3!$A$16:$CT$487,$E$7+3,0)/100,0)</f>
        <v>0</v>
      </c>
      <c r="AS121" s="868">
        <f>IF(AND($L121=0,$P121=0)=TRUE,VLOOKUP($E121,Plan3!$A$16:$CT$487,$E$7+6,0)/100,0)</f>
        <v>0</v>
      </c>
      <c r="AT121" s="868">
        <f>IF(AND($L121=0,$P121=0)=TRUE,VLOOKUP($E121,Plan3!$A$16:$CT$487,$E$7+9,0)/100,0)</f>
        <v>0</v>
      </c>
      <c r="AU121" s="868">
        <f>IF(AND($L121=0,$P121=0)=TRUE,VLOOKUP($E121,Plan3!$A$16:$CT$487,$E$7+12,0)/100,0)</f>
        <v>0</v>
      </c>
      <c r="AV121" s="841"/>
      <c r="AW121" s="869">
        <f t="shared" si="84"/>
        <v>0</v>
      </c>
      <c r="AX121" s="870">
        <f t="shared" si="85"/>
        <v>0</v>
      </c>
      <c r="AY121" s="871">
        <f t="shared" si="86"/>
        <v>0</v>
      </c>
      <c r="AZ121" s="237" t="str">
        <f t="shared" si="56"/>
        <v xml:space="preserve">09.001.000.009 </v>
      </c>
      <c r="BA121" s="365"/>
      <c r="BB121" s="365"/>
      <c r="BC121" s="365"/>
      <c r="BD121" s="365"/>
      <c r="BE121" s="365"/>
      <c r="BF121" s="365"/>
      <c r="BG121" s="365"/>
      <c r="BH121" s="365"/>
      <c r="BI121" s="365"/>
      <c r="BJ121" s="365"/>
      <c r="BK121" s="365"/>
      <c r="BL121" s="872">
        <f t="shared" si="57"/>
        <v>0</v>
      </c>
      <c r="BM121" s="873">
        <f t="shared" si="58"/>
        <v>0</v>
      </c>
      <c r="BN121" s="874">
        <f t="shared" si="87"/>
        <v>0</v>
      </c>
      <c r="BO121" s="875">
        <f t="shared" si="59"/>
        <v>0</v>
      </c>
      <c r="BP121" s="875">
        <f t="shared" si="60"/>
        <v>0</v>
      </c>
      <c r="BQ121" s="876">
        <f t="shared" si="88"/>
        <v>0</v>
      </c>
      <c r="BR121" s="877">
        <f t="shared" si="89"/>
        <v>0</v>
      </c>
      <c r="BS121" s="875">
        <f t="shared" si="61"/>
        <v>0</v>
      </c>
      <c r="BT121" s="875">
        <f t="shared" si="62"/>
        <v>0</v>
      </c>
      <c r="BU121" s="878">
        <f t="shared" si="90"/>
        <v>0</v>
      </c>
      <c r="CE121" s="486">
        <v>110</v>
      </c>
    </row>
    <row r="122" spans="1:83" s="177" customFormat="1" ht="21.95" customHeight="1" x14ac:dyDescent="0.2">
      <c r="A122" s="237">
        <f t="shared" si="63"/>
        <v>0</v>
      </c>
      <c r="B122" s="237">
        <f t="shared" si="64"/>
        <v>0</v>
      </c>
      <c r="C122" s="393">
        <f t="shared" si="49"/>
        <v>0</v>
      </c>
      <c r="D122" s="393" t="str">
        <f t="shared" si="50"/>
        <v xml:space="preserve">09 </v>
      </c>
      <c r="E122" s="967" t="s">
        <v>118</v>
      </c>
      <c r="F122" s="967" t="s">
        <v>2062</v>
      </c>
      <c r="G122" s="967"/>
      <c r="H122" s="968"/>
      <c r="I122" s="968"/>
      <c r="J122" s="974">
        <v>1518.28</v>
      </c>
      <c r="K122" s="367">
        <v>0</v>
      </c>
      <c r="L122" s="367">
        <f>IF($H122="",0,VLOOKUP($E122,Plan3!$A$16:$CT$384,$E$7,0)%)</f>
        <v>0</v>
      </c>
      <c r="M122" s="368">
        <f t="shared" si="70"/>
        <v>0</v>
      </c>
      <c r="N122" s="368">
        <f t="shared" si="71"/>
        <v>0</v>
      </c>
      <c r="O122" s="367">
        <v>0</v>
      </c>
      <c r="P122" s="367">
        <f>VLOOKUP($E122,Plan3!$A$492:$P$858,13,0)%</f>
        <v>0</v>
      </c>
      <c r="Q122" s="368">
        <f t="shared" si="72"/>
        <v>0</v>
      </c>
      <c r="R122" s="368">
        <f t="shared" si="73"/>
        <v>0</v>
      </c>
      <c r="S122" s="880">
        <v>0</v>
      </c>
      <c r="T122" s="880">
        <f t="shared" si="74"/>
        <v>0</v>
      </c>
      <c r="U122" s="880">
        <f>IF($I122="",0,($S122-$T122)*(1+('Econômico Macro'!$R$12/100)))</f>
        <v>0</v>
      </c>
      <c r="V122" s="880">
        <f t="shared" si="75"/>
        <v>0</v>
      </c>
      <c r="W122" s="880">
        <f t="shared" si="76"/>
        <v>0</v>
      </c>
      <c r="X122" s="367">
        <f t="shared" si="51"/>
        <v>0</v>
      </c>
      <c r="Y122" s="367">
        <f t="shared" si="52"/>
        <v>0</v>
      </c>
      <c r="Z122" s="367">
        <f t="shared" si="53"/>
        <v>0</v>
      </c>
      <c r="AA122" s="367">
        <f t="shared" si="54"/>
        <v>0</v>
      </c>
      <c r="AB122" s="369" t="str">
        <f t="shared" si="55"/>
        <v>Não Iniciada</v>
      </c>
      <c r="AC122" s="365"/>
      <c r="AD122" s="368">
        <v>1</v>
      </c>
      <c r="AE122" s="368">
        <f t="shared" si="77"/>
        <v>-1</v>
      </c>
      <c r="AF122" s="365"/>
      <c r="AG122" s="863">
        <f t="shared" si="65"/>
        <v>0</v>
      </c>
      <c r="AH122" s="864">
        <f t="shared" si="78"/>
        <v>0</v>
      </c>
      <c r="AI122" s="863">
        <f t="shared" si="66"/>
        <v>0</v>
      </c>
      <c r="AJ122" s="864">
        <f t="shared" si="79"/>
        <v>0</v>
      </c>
      <c r="AK122" s="365"/>
      <c r="AL122" s="865">
        <f t="shared" si="67"/>
        <v>0</v>
      </c>
      <c r="AM122" s="866">
        <f t="shared" si="80"/>
        <v>0</v>
      </c>
      <c r="AN122" s="866">
        <f t="shared" si="81"/>
        <v>0</v>
      </c>
      <c r="AO122" s="866">
        <f t="shared" si="82"/>
        <v>0</v>
      </c>
      <c r="AP122" s="867">
        <f t="shared" si="83"/>
        <v>0</v>
      </c>
      <c r="AQ122" s="591"/>
      <c r="AR122" s="868"/>
      <c r="AS122" s="868"/>
      <c r="AT122" s="868"/>
      <c r="AU122" s="868"/>
      <c r="AV122" s="841"/>
      <c r="AW122" s="869"/>
      <c r="AX122" s="870"/>
      <c r="AY122" s="871"/>
      <c r="AZ122" s="237" t="str">
        <f t="shared" si="56"/>
        <v xml:space="preserve">09.002 </v>
      </c>
      <c r="BA122" s="365"/>
      <c r="BB122" s="365"/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872">
        <f t="shared" si="57"/>
        <v>0</v>
      </c>
      <c r="BM122" s="873">
        <f t="shared" si="58"/>
        <v>0</v>
      </c>
      <c r="BN122" s="874">
        <f t="shared" si="87"/>
        <v>0</v>
      </c>
      <c r="BO122" s="875">
        <f t="shared" si="59"/>
        <v>0</v>
      </c>
      <c r="BP122" s="875">
        <f t="shared" si="60"/>
        <v>0</v>
      </c>
      <c r="BQ122" s="876">
        <f t="shared" si="88"/>
        <v>0</v>
      </c>
      <c r="BR122" s="877">
        <f t="shared" si="89"/>
        <v>0</v>
      </c>
      <c r="BS122" s="875">
        <f t="shared" si="61"/>
        <v>0</v>
      </c>
      <c r="BT122" s="875">
        <f t="shared" si="62"/>
        <v>0</v>
      </c>
      <c r="BU122" s="878">
        <f t="shared" si="90"/>
        <v>0</v>
      </c>
      <c r="CE122" s="486">
        <v>111</v>
      </c>
    </row>
    <row r="123" spans="1:83" s="177" customFormat="1" ht="21.95" customHeight="1" x14ac:dyDescent="0.2">
      <c r="A123" s="237">
        <f t="shared" si="63"/>
        <v>0</v>
      </c>
      <c r="B123" s="237">
        <f t="shared" si="64"/>
        <v>0</v>
      </c>
      <c r="C123" s="393">
        <f t="shared" si="49"/>
        <v>0</v>
      </c>
      <c r="D123" s="393" t="str">
        <f t="shared" si="50"/>
        <v xml:space="preserve">09 </v>
      </c>
      <c r="E123" s="959" t="s">
        <v>119</v>
      </c>
      <c r="F123" s="959" t="s">
        <v>2236</v>
      </c>
      <c r="G123" s="959" t="s">
        <v>90</v>
      </c>
      <c r="H123" s="970">
        <v>23.17</v>
      </c>
      <c r="I123" s="970">
        <v>32.802</v>
      </c>
      <c r="J123" s="966">
        <v>760.02</v>
      </c>
      <c r="K123" s="367">
        <v>0</v>
      </c>
      <c r="L123" s="367">
        <f>IF($H123="",0,VLOOKUP($E123,Plan3!$A$16:$CT$384,$E$7,0)%)</f>
        <v>0</v>
      </c>
      <c r="M123" s="368">
        <f t="shared" si="70"/>
        <v>0</v>
      </c>
      <c r="N123" s="368">
        <f t="shared" si="71"/>
        <v>0</v>
      </c>
      <c r="O123" s="367">
        <v>0</v>
      </c>
      <c r="P123" s="367">
        <f>VLOOKUP($E123,Plan3!$A$492:$P$858,13,0)%</f>
        <v>0</v>
      </c>
      <c r="Q123" s="368">
        <f t="shared" si="72"/>
        <v>0</v>
      </c>
      <c r="R123" s="368">
        <f t="shared" si="73"/>
        <v>0</v>
      </c>
      <c r="S123" s="880">
        <v>768.836232</v>
      </c>
      <c r="T123" s="880">
        <f t="shared" si="74"/>
        <v>0</v>
      </c>
      <c r="U123" s="880">
        <f>IF($I123="",0,($S123-$T123)*(1+('Econômico Macro'!$R$12/100)))</f>
        <v>782.13709881360012</v>
      </c>
      <c r="V123" s="880">
        <f t="shared" si="75"/>
        <v>782.13709881360012</v>
      </c>
      <c r="W123" s="880">
        <f t="shared" si="76"/>
        <v>0</v>
      </c>
      <c r="X123" s="367">
        <f t="shared" si="51"/>
        <v>0</v>
      </c>
      <c r="Y123" s="367">
        <f t="shared" si="52"/>
        <v>0</v>
      </c>
      <c r="Z123" s="367">
        <f t="shared" si="53"/>
        <v>0</v>
      </c>
      <c r="AA123" s="367">
        <f t="shared" si="54"/>
        <v>0</v>
      </c>
      <c r="AB123" s="369" t="str">
        <f t="shared" si="55"/>
        <v>Não Iniciada</v>
      </c>
      <c r="AC123" s="365"/>
      <c r="AD123" s="368">
        <v>1</v>
      </c>
      <c r="AE123" s="368">
        <f t="shared" si="77"/>
        <v>-1</v>
      </c>
      <c r="AF123" s="365"/>
      <c r="AG123" s="863">
        <f t="shared" si="65"/>
        <v>0</v>
      </c>
      <c r="AH123" s="864">
        <f t="shared" si="78"/>
        <v>0</v>
      </c>
      <c r="AI123" s="863">
        <f t="shared" si="66"/>
        <v>0</v>
      </c>
      <c r="AJ123" s="864">
        <f t="shared" si="79"/>
        <v>0</v>
      </c>
      <c r="AK123" s="365"/>
      <c r="AL123" s="865">
        <f t="shared" si="67"/>
        <v>0</v>
      </c>
      <c r="AM123" s="866">
        <f t="shared" si="80"/>
        <v>0</v>
      </c>
      <c r="AN123" s="866">
        <f t="shared" si="81"/>
        <v>0</v>
      </c>
      <c r="AO123" s="866">
        <f t="shared" si="82"/>
        <v>0</v>
      </c>
      <c r="AP123" s="867">
        <f t="shared" si="83"/>
        <v>0</v>
      </c>
      <c r="AQ123" s="591">
        <f t="shared" si="68"/>
        <v>0</v>
      </c>
      <c r="AR123" s="868">
        <f>IF(AND($L123=0,$P123=0)=TRUE,VLOOKUP($E123,Plan3!$A$16:$CT$487,$E$7+3,0)/100,0)</f>
        <v>0</v>
      </c>
      <c r="AS123" s="868">
        <f>IF(AND($L123=0,$P123=0)=TRUE,VLOOKUP($E123,Plan3!$A$16:$CT$487,$E$7+6,0)/100,0)</f>
        <v>0</v>
      </c>
      <c r="AT123" s="868">
        <f>IF(AND($L123=0,$P123=0)=TRUE,VLOOKUP($E123,Plan3!$A$16:$CT$487,$E$7+9,0)/100,0)</f>
        <v>0</v>
      </c>
      <c r="AU123" s="868">
        <f>IF(AND($L123=0,$P123=0)=TRUE,VLOOKUP($E123,Plan3!$A$16:$CT$487,$E$7+12,0)/100,0)</f>
        <v>0</v>
      </c>
      <c r="AV123" s="841"/>
      <c r="AW123" s="869">
        <f t="shared" si="84"/>
        <v>0</v>
      </c>
      <c r="AX123" s="870">
        <f t="shared" si="85"/>
        <v>0</v>
      </c>
      <c r="AY123" s="871">
        <f t="shared" si="86"/>
        <v>0</v>
      </c>
      <c r="AZ123" s="237" t="str">
        <f t="shared" si="56"/>
        <v xml:space="preserve">09.002.000.001 </v>
      </c>
      <c r="BA123" s="365"/>
      <c r="BB123" s="365"/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872">
        <f t="shared" si="57"/>
        <v>0</v>
      </c>
      <c r="BM123" s="873">
        <f t="shared" si="58"/>
        <v>0</v>
      </c>
      <c r="BN123" s="874">
        <f t="shared" si="87"/>
        <v>0</v>
      </c>
      <c r="BO123" s="875">
        <f t="shared" si="59"/>
        <v>0</v>
      </c>
      <c r="BP123" s="875">
        <f t="shared" si="60"/>
        <v>0</v>
      </c>
      <c r="BQ123" s="876">
        <f t="shared" si="88"/>
        <v>0</v>
      </c>
      <c r="BR123" s="877">
        <f t="shared" si="89"/>
        <v>0</v>
      </c>
      <c r="BS123" s="875">
        <f t="shared" si="61"/>
        <v>0</v>
      </c>
      <c r="BT123" s="875">
        <f t="shared" si="62"/>
        <v>0</v>
      </c>
      <c r="BU123" s="878">
        <f t="shared" si="90"/>
        <v>0</v>
      </c>
      <c r="CE123" s="486">
        <v>112</v>
      </c>
    </row>
    <row r="124" spans="1:83" s="177" customFormat="1" ht="21.95" customHeight="1" x14ac:dyDescent="0.2">
      <c r="A124" s="237">
        <f t="shared" si="63"/>
        <v>0</v>
      </c>
      <c r="B124" s="237">
        <f t="shared" si="64"/>
        <v>0</v>
      </c>
      <c r="C124" s="393">
        <f t="shared" si="49"/>
        <v>0</v>
      </c>
      <c r="D124" s="393" t="str">
        <f t="shared" si="50"/>
        <v xml:space="preserve">09 </v>
      </c>
      <c r="E124" s="959" t="s">
        <v>120</v>
      </c>
      <c r="F124" s="959" t="s">
        <v>2063</v>
      </c>
      <c r="G124" s="959" t="s">
        <v>90</v>
      </c>
      <c r="H124" s="970">
        <v>23.17</v>
      </c>
      <c r="I124" s="970">
        <v>26.21</v>
      </c>
      <c r="J124" s="966">
        <v>607.29</v>
      </c>
      <c r="K124" s="367">
        <v>0</v>
      </c>
      <c r="L124" s="367">
        <f>IF($H124="",0,VLOOKUP($E124,Plan3!$A$16:$CT$384,$E$7,0)%)</f>
        <v>0</v>
      </c>
      <c r="M124" s="368">
        <f t="shared" si="70"/>
        <v>0</v>
      </c>
      <c r="N124" s="368">
        <f t="shared" si="71"/>
        <v>0</v>
      </c>
      <c r="O124" s="367">
        <v>0</v>
      </c>
      <c r="P124" s="367">
        <f>VLOOKUP($E124,Plan3!$A$492:$P$858,13,0)%</f>
        <v>0</v>
      </c>
      <c r="Q124" s="368">
        <f t="shared" si="72"/>
        <v>0</v>
      </c>
      <c r="R124" s="368">
        <f t="shared" si="73"/>
        <v>0</v>
      </c>
      <c r="S124" s="880">
        <v>614.334564</v>
      </c>
      <c r="T124" s="880">
        <f t="shared" si="74"/>
        <v>0</v>
      </c>
      <c r="U124" s="880">
        <f>IF($I124="",0,($S124-$T124)*(1+('Econômico Macro'!$R$12/100)))</f>
        <v>624.96255195720005</v>
      </c>
      <c r="V124" s="880">
        <f t="shared" si="75"/>
        <v>624.96255195720005</v>
      </c>
      <c r="W124" s="880">
        <f t="shared" si="76"/>
        <v>0</v>
      </c>
      <c r="X124" s="367">
        <f t="shared" si="51"/>
        <v>0</v>
      </c>
      <c r="Y124" s="367">
        <f t="shared" si="52"/>
        <v>0</v>
      </c>
      <c r="Z124" s="367">
        <f t="shared" si="53"/>
        <v>0</v>
      </c>
      <c r="AA124" s="367">
        <f t="shared" si="54"/>
        <v>0</v>
      </c>
      <c r="AB124" s="369" t="str">
        <f t="shared" si="55"/>
        <v>Não Iniciada</v>
      </c>
      <c r="AC124" s="365"/>
      <c r="AD124" s="368">
        <v>1</v>
      </c>
      <c r="AE124" s="368">
        <f t="shared" si="77"/>
        <v>-1</v>
      </c>
      <c r="AF124" s="365"/>
      <c r="AG124" s="863">
        <f t="shared" si="65"/>
        <v>0</v>
      </c>
      <c r="AH124" s="864">
        <f t="shared" si="78"/>
        <v>0</v>
      </c>
      <c r="AI124" s="863">
        <f t="shared" si="66"/>
        <v>0</v>
      </c>
      <c r="AJ124" s="864">
        <f t="shared" si="79"/>
        <v>0</v>
      </c>
      <c r="AK124" s="365"/>
      <c r="AL124" s="865">
        <f t="shared" si="67"/>
        <v>0</v>
      </c>
      <c r="AM124" s="866">
        <f t="shared" si="80"/>
        <v>0</v>
      </c>
      <c r="AN124" s="866">
        <f t="shared" si="81"/>
        <v>0</v>
      </c>
      <c r="AO124" s="866">
        <f t="shared" si="82"/>
        <v>0</v>
      </c>
      <c r="AP124" s="867">
        <f t="shared" si="83"/>
        <v>0</v>
      </c>
      <c r="AQ124" s="591">
        <f t="shared" si="68"/>
        <v>0</v>
      </c>
      <c r="AR124" s="868">
        <f>IF(AND($L124=0,$P124=0)=TRUE,VLOOKUP($E124,Plan3!$A$16:$CT$487,$E$7+3,0)/100,0)</f>
        <v>0</v>
      </c>
      <c r="AS124" s="868">
        <f>IF(AND($L124=0,$P124=0)=TRUE,VLOOKUP($E124,Plan3!$A$16:$CT$487,$E$7+6,0)/100,0)</f>
        <v>0</v>
      </c>
      <c r="AT124" s="868">
        <f>IF(AND($L124=0,$P124=0)=TRUE,VLOOKUP($E124,Plan3!$A$16:$CT$487,$E$7+9,0)/100,0)</f>
        <v>0</v>
      </c>
      <c r="AU124" s="868">
        <f>IF(AND($L124=0,$P124=0)=TRUE,VLOOKUP($E124,Plan3!$A$16:$CT$487,$E$7+12,0)/100,0)</f>
        <v>0</v>
      </c>
      <c r="AV124" s="841"/>
      <c r="AW124" s="869">
        <f t="shared" si="84"/>
        <v>0</v>
      </c>
      <c r="AX124" s="870">
        <f t="shared" si="85"/>
        <v>0</v>
      </c>
      <c r="AY124" s="871">
        <f t="shared" si="86"/>
        <v>0</v>
      </c>
      <c r="AZ124" s="237" t="str">
        <f t="shared" si="56"/>
        <v xml:space="preserve">09.002.000.002 </v>
      </c>
      <c r="BA124" s="365"/>
      <c r="BB124" s="365"/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872">
        <f t="shared" si="57"/>
        <v>0</v>
      </c>
      <c r="BM124" s="873">
        <f t="shared" si="58"/>
        <v>0</v>
      </c>
      <c r="BN124" s="874">
        <f t="shared" si="87"/>
        <v>0</v>
      </c>
      <c r="BO124" s="875">
        <f t="shared" si="59"/>
        <v>0</v>
      </c>
      <c r="BP124" s="875">
        <f t="shared" si="60"/>
        <v>0</v>
      </c>
      <c r="BQ124" s="876">
        <f t="shared" si="88"/>
        <v>0</v>
      </c>
      <c r="BR124" s="877">
        <f t="shared" si="89"/>
        <v>0</v>
      </c>
      <c r="BS124" s="875">
        <f t="shared" si="61"/>
        <v>0</v>
      </c>
      <c r="BT124" s="875">
        <f t="shared" si="62"/>
        <v>0</v>
      </c>
      <c r="BU124" s="878">
        <f t="shared" si="90"/>
        <v>0</v>
      </c>
      <c r="CE124" s="486">
        <v>113</v>
      </c>
    </row>
    <row r="125" spans="1:83" s="177" customFormat="1" ht="21.95" customHeight="1" x14ac:dyDescent="0.2">
      <c r="A125" s="237">
        <f t="shared" si="63"/>
        <v>0</v>
      </c>
      <c r="B125" s="237">
        <f t="shared" si="64"/>
        <v>0</v>
      </c>
      <c r="C125" s="393">
        <f t="shared" si="49"/>
        <v>0</v>
      </c>
      <c r="D125" s="393" t="str">
        <f t="shared" si="50"/>
        <v xml:space="preserve">09 </v>
      </c>
      <c r="E125" s="967" t="s">
        <v>2064</v>
      </c>
      <c r="F125" s="967" t="s">
        <v>2067</v>
      </c>
      <c r="G125" s="967"/>
      <c r="H125" s="968"/>
      <c r="I125" s="968"/>
      <c r="J125" s="975">
        <v>150.97</v>
      </c>
      <c r="K125" s="367">
        <v>0</v>
      </c>
      <c r="L125" s="367">
        <f>IF($H125="",0,VLOOKUP($E125,Plan3!$A$16:$CT$384,$E$7,0)%)</f>
        <v>0</v>
      </c>
      <c r="M125" s="368">
        <f t="shared" si="70"/>
        <v>0</v>
      </c>
      <c r="N125" s="368">
        <f t="shared" si="71"/>
        <v>0</v>
      </c>
      <c r="O125" s="367">
        <v>0</v>
      </c>
      <c r="P125" s="367">
        <f>VLOOKUP($E125,Plan3!$A$492:$P$858,13,0)%</f>
        <v>0</v>
      </c>
      <c r="Q125" s="368">
        <f t="shared" si="72"/>
        <v>0</v>
      </c>
      <c r="R125" s="368">
        <f t="shared" si="73"/>
        <v>0</v>
      </c>
      <c r="S125" s="880">
        <v>0</v>
      </c>
      <c r="T125" s="880">
        <f t="shared" si="74"/>
        <v>0</v>
      </c>
      <c r="U125" s="880">
        <f>IF($I125="",0,($S125-$T125)*(1+('Econômico Macro'!$R$12/100)))</f>
        <v>0</v>
      </c>
      <c r="V125" s="880">
        <f t="shared" si="75"/>
        <v>0</v>
      </c>
      <c r="W125" s="880">
        <f t="shared" si="76"/>
        <v>0</v>
      </c>
      <c r="X125" s="367">
        <f t="shared" si="51"/>
        <v>0</v>
      </c>
      <c r="Y125" s="367">
        <f t="shared" si="52"/>
        <v>0</v>
      </c>
      <c r="Z125" s="367">
        <f t="shared" si="53"/>
        <v>0</v>
      </c>
      <c r="AA125" s="367">
        <f t="shared" si="54"/>
        <v>0</v>
      </c>
      <c r="AB125" s="369" t="str">
        <f t="shared" si="55"/>
        <v>Não Iniciada</v>
      </c>
      <c r="AC125" s="365"/>
      <c r="AD125" s="368">
        <v>1</v>
      </c>
      <c r="AE125" s="368">
        <f t="shared" si="77"/>
        <v>-1</v>
      </c>
      <c r="AF125" s="365"/>
      <c r="AG125" s="863">
        <f t="shared" si="65"/>
        <v>0</v>
      </c>
      <c r="AH125" s="864">
        <f t="shared" si="78"/>
        <v>0</v>
      </c>
      <c r="AI125" s="863">
        <f t="shared" si="66"/>
        <v>0</v>
      </c>
      <c r="AJ125" s="864">
        <f t="shared" si="79"/>
        <v>0</v>
      </c>
      <c r="AK125" s="365"/>
      <c r="AL125" s="865">
        <f t="shared" si="67"/>
        <v>0</v>
      </c>
      <c r="AM125" s="866">
        <f t="shared" si="80"/>
        <v>0</v>
      </c>
      <c r="AN125" s="866">
        <f t="shared" si="81"/>
        <v>0</v>
      </c>
      <c r="AO125" s="866">
        <f t="shared" si="82"/>
        <v>0</v>
      </c>
      <c r="AP125" s="867">
        <f t="shared" si="83"/>
        <v>0</v>
      </c>
      <c r="AQ125" s="591"/>
      <c r="AR125" s="868"/>
      <c r="AS125" s="868"/>
      <c r="AT125" s="868"/>
      <c r="AU125" s="868"/>
      <c r="AV125" s="841"/>
      <c r="AW125" s="869"/>
      <c r="AX125" s="870"/>
      <c r="AY125" s="871"/>
      <c r="AZ125" s="237" t="str">
        <f t="shared" si="56"/>
        <v xml:space="preserve">09.002.001 </v>
      </c>
      <c r="BA125" s="365"/>
      <c r="BB125" s="365"/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872">
        <f t="shared" si="57"/>
        <v>0</v>
      </c>
      <c r="BM125" s="873">
        <f t="shared" si="58"/>
        <v>0</v>
      </c>
      <c r="BN125" s="874">
        <f t="shared" si="87"/>
        <v>0</v>
      </c>
      <c r="BO125" s="875">
        <f t="shared" si="59"/>
        <v>0</v>
      </c>
      <c r="BP125" s="875">
        <f t="shared" si="60"/>
        <v>0</v>
      </c>
      <c r="BQ125" s="876">
        <f t="shared" si="88"/>
        <v>0</v>
      </c>
      <c r="BR125" s="877">
        <f t="shared" si="89"/>
        <v>0</v>
      </c>
      <c r="BS125" s="875">
        <f t="shared" si="61"/>
        <v>0</v>
      </c>
      <c r="BT125" s="875">
        <f t="shared" si="62"/>
        <v>0</v>
      </c>
      <c r="BU125" s="878">
        <f t="shared" si="90"/>
        <v>0</v>
      </c>
      <c r="CE125" s="486">
        <v>114</v>
      </c>
    </row>
    <row r="126" spans="1:83" s="177" customFormat="1" ht="21.95" customHeight="1" x14ac:dyDescent="0.2">
      <c r="A126" s="237">
        <f t="shared" si="63"/>
        <v>0</v>
      </c>
      <c r="B126" s="237">
        <f t="shared" si="64"/>
        <v>0</v>
      </c>
      <c r="C126" s="393">
        <f t="shared" si="49"/>
        <v>0</v>
      </c>
      <c r="D126" s="393" t="str">
        <f t="shared" si="50"/>
        <v xml:space="preserve">09 </v>
      </c>
      <c r="E126" s="959" t="s">
        <v>2065</v>
      </c>
      <c r="F126" s="959" t="s">
        <v>2237</v>
      </c>
      <c r="G126" s="959" t="s">
        <v>90</v>
      </c>
      <c r="H126" s="970">
        <v>23.17</v>
      </c>
      <c r="I126" s="960">
        <v>1.3160000000000001</v>
      </c>
      <c r="J126" s="976">
        <v>30.49</v>
      </c>
      <c r="K126" s="367">
        <v>0</v>
      </c>
      <c r="L126" s="367">
        <f>IF($H126="",0,VLOOKUP($E126,Plan3!$A$16:$CT$384,$E$7,0)%)</f>
        <v>0</v>
      </c>
      <c r="M126" s="368">
        <f t="shared" si="70"/>
        <v>0</v>
      </c>
      <c r="N126" s="368">
        <f t="shared" si="71"/>
        <v>0</v>
      </c>
      <c r="O126" s="367">
        <v>0</v>
      </c>
      <c r="P126" s="367">
        <f>VLOOKUP($E126,Plan3!$A$492:$P$858,13,0)%</f>
        <v>0</v>
      </c>
      <c r="Q126" s="368">
        <f t="shared" si="72"/>
        <v>0</v>
      </c>
      <c r="R126" s="368">
        <f t="shared" si="73"/>
        <v>0</v>
      </c>
      <c r="S126" s="880">
        <v>30.843684</v>
      </c>
      <c r="T126" s="880">
        <f t="shared" si="74"/>
        <v>0</v>
      </c>
      <c r="U126" s="880">
        <f>IF($I126="",0,($S126-$T126)*(1+('Econômico Macro'!$R$12/100)))</f>
        <v>31.377279733200002</v>
      </c>
      <c r="V126" s="880">
        <f t="shared" si="75"/>
        <v>31.377279733200002</v>
      </c>
      <c r="W126" s="880">
        <f t="shared" si="76"/>
        <v>0</v>
      </c>
      <c r="X126" s="367">
        <f t="shared" si="51"/>
        <v>0</v>
      </c>
      <c r="Y126" s="367">
        <f t="shared" si="52"/>
        <v>0</v>
      </c>
      <c r="Z126" s="367">
        <f t="shared" si="53"/>
        <v>0</v>
      </c>
      <c r="AA126" s="367">
        <f t="shared" si="54"/>
        <v>0</v>
      </c>
      <c r="AB126" s="369" t="str">
        <f t="shared" si="55"/>
        <v>Não Iniciada</v>
      </c>
      <c r="AC126" s="365"/>
      <c r="AD126" s="368">
        <v>1</v>
      </c>
      <c r="AE126" s="368">
        <f t="shared" si="77"/>
        <v>-1</v>
      </c>
      <c r="AF126" s="365"/>
      <c r="AG126" s="863">
        <f t="shared" si="65"/>
        <v>0</v>
      </c>
      <c r="AH126" s="864">
        <f t="shared" si="78"/>
        <v>0</v>
      </c>
      <c r="AI126" s="863">
        <f t="shared" si="66"/>
        <v>0</v>
      </c>
      <c r="AJ126" s="864">
        <f t="shared" si="79"/>
        <v>0</v>
      </c>
      <c r="AK126" s="365"/>
      <c r="AL126" s="865">
        <f t="shared" si="67"/>
        <v>0</v>
      </c>
      <c r="AM126" s="866">
        <f t="shared" si="80"/>
        <v>0</v>
      </c>
      <c r="AN126" s="866">
        <f t="shared" si="81"/>
        <v>0</v>
      </c>
      <c r="AO126" s="866">
        <f t="shared" si="82"/>
        <v>0</v>
      </c>
      <c r="AP126" s="867">
        <f t="shared" si="83"/>
        <v>0</v>
      </c>
      <c r="AQ126" s="591">
        <f t="shared" si="68"/>
        <v>0</v>
      </c>
      <c r="AR126" s="868">
        <f>IF(AND($L126=0,$P126=0)=TRUE,VLOOKUP($E126,Plan3!$A$16:$CT$487,$E$7+3,0)/100,0)</f>
        <v>0</v>
      </c>
      <c r="AS126" s="868">
        <f>IF(AND($L126=0,$P126=0)=TRUE,VLOOKUP($E126,Plan3!$A$16:$CT$487,$E$7+6,0)/100,0)</f>
        <v>0</v>
      </c>
      <c r="AT126" s="868">
        <f>IF(AND($L126=0,$P126=0)=TRUE,VLOOKUP($E126,Plan3!$A$16:$CT$487,$E$7+9,0)/100,0)</f>
        <v>0</v>
      </c>
      <c r="AU126" s="868">
        <f>IF(AND($L126=0,$P126=0)=TRUE,VLOOKUP($E126,Plan3!$A$16:$CT$487,$E$7+12,0)/100,0)</f>
        <v>0</v>
      </c>
      <c r="AV126" s="841"/>
      <c r="AW126" s="869">
        <f t="shared" si="84"/>
        <v>0</v>
      </c>
      <c r="AX126" s="870">
        <f t="shared" si="85"/>
        <v>0</v>
      </c>
      <c r="AY126" s="871">
        <f t="shared" si="86"/>
        <v>0</v>
      </c>
      <c r="AZ126" s="237" t="str">
        <f t="shared" si="56"/>
        <v xml:space="preserve">09.002.001.001 </v>
      </c>
      <c r="BA126" s="365"/>
      <c r="BB126" s="365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872">
        <f t="shared" si="57"/>
        <v>0</v>
      </c>
      <c r="BM126" s="873">
        <f t="shared" si="58"/>
        <v>0</v>
      </c>
      <c r="BN126" s="874">
        <f t="shared" si="87"/>
        <v>0</v>
      </c>
      <c r="BO126" s="875">
        <f t="shared" si="59"/>
        <v>0</v>
      </c>
      <c r="BP126" s="875">
        <f t="shared" si="60"/>
        <v>0</v>
      </c>
      <c r="BQ126" s="876">
        <f t="shared" si="88"/>
        <v>0</v>
      </c>
      <c r="BR126" s="877">
        <f t="shared" si="89"/>
        <v>0</v>
      </c>
      <c r="BS126" s="875">
        <f t="shared" si="61"/>
        <v>0</v>
      </c>
      <c r="BT126" s="875">
        <f t="shared" si="62"/>
        <v>0</v>
      </c>
      <c r="BU126" s="878">
        <f t="shared" si="90"/>
        <v>0</v>
      </c>
      <c r="CE126" s="486">
        <v>115</v>
      </c>
    </row>
    <row r="127" spans="1:83" s="177" customFormat="1" ht="21.95" customHeight="1" x14ac:dyDescent="0.2">
      <c r="A127" s="237">
        <f t="shared" si="63"/>
        <v>0</v>
      </c>
      <c r="B127" s="237">
        <f t="shared" si="64"/>
        <v>0</v>
      </c>
      <c r="C127" s="393">
        <f t="shared" si="49"/>
        <v>0</v>
      </c>
      <c r="D127" s="393" t="str">
        <f t="shared" si="50"/>
        <v xml:space="preserve">09 </v>
      </c>
      <c r="E127" s="959" t="s">
        <v>2066</v>
      </c>
      <c r="F127" s="959" t="s">
        <v>2238</v>
      </c>
      <c r="G127" s="959" t="s">
        <v>90</v>
      </c>
      <c r="H127" s="970">
        <v>23.17</v>
      </c>
      <c r="I127" s="960">
        <v>5.2</v>
      </c>
      <c r="J127" s="966">
        <v>120.48</v>
      </c>
      <c r="K127" s="367">
        <v>0</v>
      </c>
      <c r="L127" s="367">
        <f>IF($H127="",0,VLOOKUP($E127,Plan3!$A$16:$CT$384,$E$7,0)%)</f>
        <v>0</v>
      </c>
      <c r="M127" s="368">
        <f t="shared" si="70"/>
        <v>0</v>
      </c>
      <c r="N127" s="368">
        <f t="shared" si="71"/>
        <v>0</v>
      </c>
      <c r="O127" s="367">
        <v>0</v>
      </c>
      <c r="P127" s="367">
        <f>VLOOKUP($E127,Plan3!$A$492:$P$858,13,0)%</f>
        <v>0</v>
      </c>
      <c r="Q127" s="368">
        <f t="shared" si="72"/>
        <v>0</v>
      </c>
      <c r="R127" s="368">
        <f t="shared" si="73"/>
        <v>0</v>
      </c>
      <c r="S127" s="880">
        <v>121.87756800000001</v>
      </c>
      <c r="T127" s="880">
        <f t="shared" si="74"/>
        <v>0</v>
      </c>
      <c r="U127" s="880">
        <f>IF($I127="",0,($S127-$T127)*(1+('Econômico Macro'!$R$12/100)))</f>
        <v>123.98604992640003</v>
      </c>
      <c r="V127" s="880">
        <f t="shared" si="75"/>
        <v>123.98604992640003</v>
      </c>
      <c r="W127" s="880">
        <f t="shared" si="76"/>
        <v>0</v>
      </c>
      <c r="X127" s="367">
        <f t="shared" si="51"/>
        <v>0</v>
      </c>
      <c r="Y127" s="367">
        <f t="shared" si="52"/>
        <v>0</v>
      </c>
      <c r="Z127" s="367">
        <f t="shared" si="53"/>
        <v>0</v>
      </c>
      <c r="AA127" s="367">
        <f t="shared" si="54"/>
        <v>0</v>
      </c>
      <c r="AB127" s="369" t="str">
        <f t="shared" si="55"/>
        <v>Não Iniciada</v>
      </c>
      <c r="AC127" s="365"/>
      <c r="AD127" s="368">
        <v>1</v>
      </c>
      <c r="AE127" s="368">
        <f t="shared" si="77"/>
        <v>-1</v>
      </c>
      <c r="AF127" s="365"/>
      <c r="AG127" s="863">
        <f t="shared" si="65"/>
        <v>0</v>
      </c>
      <c r="AH127" s="864">
        <f t="shared" si="78"/>
        <v>0</v>
      </c>
      <c r="AI127" s="863">
        <f t="shared" si="66"/>
        <v>0</v>
      </c>
      <c r="AJ127" s="864">
        <f t="shared" si="79"/>
        <v>0</v>
      </c>
      <c r="AK127" s="365"/>
      <c r="AL127" s="865">
        <f t="shared" si="67"/>
        <v>0</v>
      </c>
      <c r="AM127" s="866">
        <f t="shared" si="80"/>
        <v>0</v>
      </c>
      <c r="AN127" s="866">
        <f t="shared" si="81"/>
        <v>0</v>
      </c>
      <c r="AO127" s="866">
        <f t="shared" si="82"/>
        <v>0</v>
      </c>
      <c r="AP127" s="867">
        <f t="shared" si="83"/>
        <v>0</v>
      </c>
      <c r="AQ127" s="591">
        <f t="shared" si="68"/>
        <v>0</v>
      </c>
      <c r="AR127" s="868">
        <f>IF(AND($L127=0,$P127=0)=TRUE,VLOOKUP($E127,Plan3!$A$16:$CT$487,$E$7+3,0)/100,0)</f>
        <v>0</v>
      </c>
      <c r="AS127" s="868">
        <f>IF(AND($L127=0,$P127=0)=TRUE,VLOOKUP($E127,Plan3!$A$16:$CT$487,$E$7+6,0)/100,0)</f>
        <v>0</v>
      </c>
      <c r="AT127" s="868">
        <f>IF(AND($L127=0,$P127=0)=TRUE,VLOOKUP($E127,Plan3!$A$16:$CT$487,$E$7+9,0)/100,0)</f>
        <v>0</v>
      </c>
      <c r="AU127" s="868">
        <f>IF(AND($L127=0,$P127=0)=TRUE,VLOOKUP($E127,Plan3!$A$16:$CT$487,$E$7+12,0)/100,0)</f>
        <v>0</v>
      </c>
      <c r="AV127" s="841"/>
      <c r="AW127" s="869">
        <f t="shared" si="84"/>
        <v>0</v>
      </c>
      <c r="AX127" s="870">
        <f t="shared" si="85"/>
        <v>0</v>
      </c>
      <c r="AY127" s="871">
        <f t="shared" si="86"/>
        <v>0</v>
      </c>
      <c r="AZ127" s="237" t="str">
        <f t="shared" si="56"/>
        <v xml:space="preserve">09.002.001.002 </v>
      </c>
      <c r="BA127" s="365"/>
      <c r="BB127" s="365"/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872">
        <f t="shared" si="57"/>
        <v>0</v>
      </c>
      <c r="BM127" s="873">
        <f t="shared" si="58"/>
        <v>0</v>
      </c>
      <c r="BN127" s="874">
        <f t="shared" si="87"/>
        <v>0</v>
      </c>
      <c r="BO127" s="875">
        <f t="shared" si="59"/>
        <v>0</v>
      </c>
      <c r="BP127" s="875">
        <f t="shared" si="60"/>
        <v>0</v>
      </c>
      <c r="BQ127" s="876">
        <f t="shared" si="88"/>
        <v>0</v>
      </c>
      <c r="BR127" s="877">
        <f t="shared" si="89"/>
        <v>0</v>
      </c>
      <c r="BS127" s="875">
        <f t="shared" si="61"/>
        <v>0</v>
      </c>
      <c r="BT127" s="875">
        <f t="shared" si="62"/>
        <v>0</v>
      </c>
      <c r="BU127" s="878">
        <f t="shared" si="90"/>
        <v>0</v>
      </c>
      <c r="CE127" s="486">
        <v>116</v>
      </c>
    </row>
    <row r="128" spans="1:83" s="177" customFormat="1" ht="21.95" customHeight="1" x14ac:dyDescent="0.2">
      <c r="A128" s="237">
        <f t="shared" si="63"/>
        <v>0</v>
      </c>
      <c r="B128" s="237">
        <f t="shared" si="64"/>
        <v>0</v>
      </c>
      <c r="C128" s="393">
        <f t="shared" si="49"/>
        <v>0</v>
      </c>
      <c r="D128" s="393" t="str">
        <f t="shared" si="50"/>
        <v xml:space="preserve">09 </v>
      </c>
      <c r="E128" s="967" t="s">
        <v>121</v>
      </c>
      <c r="F128" s="967" t="s">
        <v>115</v>
      </c>
      <c r="G128" s="967"/>
      <c r="H128" s="968"/>
      <c r="I128" s="968"/>
      <c r="J128" s="971">
        <v>146901.59</v>
      </c>
      <c r="K128" s="367">
        <v>0</v>
      </c>
      <c r="L128" s="367">
        <f>IF($H128="",0,VLOOKUP($E128,Plan3!$A$16:$CT$384,$E$7,0)%)</f>
        <v>0</v>
      </c>
      <c r="M128" s="368">
        <f t="shared" si="70"/>
        <v>0</v>
      </c>
      <c r="N128" s="368">
        <f t="shared" si="71"/>
        <v>0</v>
      </c>
      <c r="O128" s="367">
        <v>0</v>
      </c>
      <c r="P128" s="367">
        <f>VLOOKUP($E128,Plan3!$A$492:$P$858,13,0)%</f>
        <v>0</v>
      </c>
      <c r="Q128" s="368">
        <f t="shared" si="72"/>
        <v>0</v>
      </c>
      <c r="R128" s="368">
        <f t="shared" si="73"/>
        <v>0</v>
      </c>
      <c r="S128" s="880">
        <v>0</v>
      </c>
      <c r="T128" s="880">
        <f t="shared" si="74"/>
        <v>0</v>
      </c>
      <c r="U128" s="880">
        <f>IF($I128="",0,($S128-$T128)*(1+('Econômico Macro'!$R$12/100)))</f>
        <v>0</v>
      </c>
      <c r="V128" s="880">
        <f t="shared" si="75"/>
        <v>0</v>
      </c>
      <c r="W128" s="880">
        <f t="shared" si="76"/>
        <v>0</v>
      </c>
      <c r="X128" s="367">
        <f t="shared" si="51"/>
        <v>0</v>
      </c>
      <c r="Y128" s="367">
        <f t="shared" si="52"/>
        <v>0</v>
      </c>
      <c r="Z128" s="367">
        <f t="shared" si="53"/>
        <v>0</v>
      </c>
      <c r="AA128" s="367">
        <f t="shared" si="54"/>
        <v>0</v>
      </c>
      <c r="AB128" s="369" t="str">
        <f t="shared" si="55"/>
        <v>Não Iniciada</v>
      </c>
      <c r="AC128" s="365"/>
      <c r="AD128" s="368">
        <v>1</v>
      </c>
      <c r="AE128" s="368">
        <f t="shared" si="77"/>
        <v>-1</v>
      </c>
      <c r="AF128" s="365"/>
      <c r="AG128" s="863">
        <f t="shared" si="65"/>
        <v>0</v>
      </c>
      <c r="AH128" s="864">
        <f t="shared" si="78"/>
        <v>0</v>
      </c>
      <c r="AI128" s="863">
        <f t="shared" si="66"/>
        <v>0</v>
      </c>
      <c r="AJ128" s="864">
        <f t="shared" si="79"/>
        <v>0</v>
      </c>
      <c r="AK128" s="365"/>
      <c r="AL128" s="865">
        <f t="shared" si="67"/>
        <v>0</v>
      </c>
      <c r="AM128" s="866">
        <f t="shared" si="80"/>
        <v>0</v>
      </c>
      <c r="AN128" s="866">
        <f t="shared" si="81"/>
        <v>0</v>
      </c>
      <c r="AO128" s="866">
        <f t="shared" si="82"/>
        <v>0</v>
      </c>
      <c r="AP128" s="867">
        <f t="shared" si="83"/>
        <v>0</v>
      </c>
      <c r="AQ128" s="591"/>
      <c r="AR128" s="868"/>
      <c r="AS128" s="868"/>
      <c r="AT128" s="868"/>
      <c r="AU128" s="868"/>
      <c r="AV128" s="841"/>
      <c r="AW128" s="869"/>
      <c r="AX128" s="870"/>
      <c r="AY128" s="871"/>
      <c r="AZ128" s="237" t="str">
        <f t="shared" si="56"/>
        <v xml:space="preserve">09.003 </v>
      </c>
      <c r="BA128" s="365"/>
      <c r="BB128" s="365"/>
      <c r="BC128" s="365"/>
      <c r="BD128" s="365"/>
      <c r="BE128" s="365"/>
      <c r="BF128" s="365"/>
      <c r="BG128" s="365"/>
      <c r="BH128" s="365"/>
      <c r="BI128" s="365"/>
      <c r="BJ128" s="365"/>
      <c r="BK128" s="365"/>
      <c r="BL128" s="872">
        <f t="shared" si="57"/>
        <v>0</v>
      </c>
      <c r="BM128" s="873">
        <f t="shared" si="58"/>
        <v>0</v>
      </c>
      <c r="BN128" s="874">
        <f t="shared" si="87"/>
        <v>0</v>
      </c>
      <c r="BO128" s="875">
        <f t="shared" si="59"/>
        <v>0</v>
      </c>
      <c r="BP128" s="875">
        <f t="shared" si="60"/>
        <v>0</v>
      </c>
      <c r="BQ128" s="876">
        <f t="shared" si="88"/>
        <v>0</v>
      </c>
      <c r="BR128" s="877">
        <f t="shared" si="89"/>
        <v>0</v>
      </c>
      <c r="BS128" s="875">
        <f t="shared" si="61"/>
        <v>0</v>
      </c>
      <c r="BT128" s="875">
        <f t="shared" si="62"/>
        <v>0</v>
      </c>
      <c r="BU128" s="878">
        <f t="shared" si="90"/>
        <v>0</v>
      </c>
      <c r="CE128" s="486">
        <v>117</v>
      </c>
    </row>
    <row r="129" spans="1:83" s="177" customFormat="1" ht="21.95" customHeight="1" x14ac:dyDescent="0.2">
      <c r="A129" s="237">
        <f t="shared" si="63"/>
        <v>0</v>
      </c>
      <c r="B129" s="237">
        <f t="shared" si="64"/>
        <v>0</v>
      </c>
      <c r="C129" s="393">
        <f t="shared" si="49"/>
        <v>0</v>
      </c>
      <c r="D129" s="393" t="str">
        <f t="shared" si="50"/>
        <v xml:space="preserve">09 </v>
      </c>
      <c r="E129" s="967" t="s">
        <v>2068</v>
      </c>
      <c r="F129" s="967" t="s">
        <v>1415</v>
      </c>
      <c r="G129" s="967"/>
      <c r="H129" s="968"/>
      <c r="I129" s="968"/>
      <c r="J129" s="971">
        <v>127583.35</v>
      </c>
      <c r="K129" s="367">
        <v>0</v>
      </c>
      <c r="L129" s="367">
        <f>IF($H129="",0,VLOOKUP($E129,Plan3!$A$16:$CT$384,$E$7,0)%)</f>
        <v>0</v>
      </c>
      <c r="M129" s="368">
        <f t="shared" si="70"/>
        <v>0</v>
      </c>
      <c r="N129" s="368">
        <f t="shared" si="71"/>
        <v>0</v>
      </c>
      <c r="O129" s="367">
        <v>0</v>
      </c>
      <c r="P129" s="367">
        <f>VLOOKUP($E129,Plan3!$A$492:$P$858,13,0)%</f>
        <v>0</v>
      </c>
      <c r="Q129" s="368">
        <f t="shared" si="72"/>
        <v>0</v>
      </c>
      <c r="R129" s="368">
        <f t="shared" si="73"/>
        <v>0</v>
      </c>
      <c r="S129" s="880">
        <v>0</v>
      </c>
      <c r="T129" s="880">
        <f t="shared" si="74"/>
        <v>0</v>
      </c>
      <c r="U129" s="880">
        <f>IF($I129="",0,($S129-$T129)*(1+('Econômico Macro'!$R$12/100)))</f>
        <v>0</v>
      </c>
      <c r="V129" s="880">
        <f t="shared" si="75"/>
        <v>0</v>
      </c>
      <c r="W129" s="880">
        <f t="shared" si="76"/>
        <v>0</v>
      </c>
      <c r="X129" s="367">
        <f t="shared" si="51"/>
        <v>0</v>
      </c>
      <c r="Y129" s="367">
        <f t="shared" si="52"/>
        <v>0</v>
      </c>
      <c r="Z129" s="367">
        <f t="shared" si="53"/>
        <v>0</v>
      </c>
      <c r="AA129" s="367">
        <f t="shared" si="54"/>
        <v>0</v>
      </c>
      <c r="AB129" s="369" t="str">
        <f t="shared" si="55"/>
        <v>Não Iniciada</v>
      </c>
      <c r="AC129" s="365"/>
      <c r="AD129" s="368">
        <v>1</v>
      </c>
      <c r="AE129" s="368">
        <f t="shared" si="77"/>
        <v>-1</v>
      </c>
      <c r="AF129" s="365"/>
      <c r="AG129" s="863">
        <f t="shared" si="65"/>
        <v>0</v>
      </c>
      <c r="AH129" s="864">
        <f t="shared" si="78"/>
        <v>0</v>
      </c>
      <c r="AI129" s="863">
        <f t="shared" si="66"/>
        <v>0</v>
      </c>
      <c r="AJ129" s="864">
        <f t="shared" si="79"/>
        <v>0</v>
      </c>
      <c r="AK129" s="365"/>
      <c r="AL129" s="865">
        <f t="shared" si="67"/>
        <v>0</v>
      </c>
      <c r="AM129" s="866">
        <f t="shared" si="80"/>
        <v>0</v>
      </c>
      <c r="AN129" s="866">
        <f t="shared" si="81"/>
        <v>0</v>
      </c>
      <c r="AO129" s="866">
        <f t="shared" si="82"/>
        <v>0</v>
      </c>
      <c r="AP129" s="867">
        <f t="shared" si="83"/>
        <v>0</v>
      </c>
      <c r="AQ129" s="591"/>
      <c r="AR129" s="868"/>
      <c r="AS129" s="868"/>
      <c r="AT129" s="868"/>
      <c r="AU129" s="868"/>
      <c r="AV129" s="841"/>
      <c r="AW129" s="869"/>
      <c r="AX129" s="870"/>
      <c r="AY129" s="871"/>
      <c r="AZ129" s="237" t="str">
        <f t="shared" si="56"/>
        <v xml:space="preserve">09.003.001 </v>
      </c>
      <c r="BA129" s="365"/>
      <c r="BB129" s="365"/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872">
        <f t="shared" si="57"/>
        <v>0</v>
      </c>
      <c r="BM129" s="873">
        <f t="shared" si="58"/>
        <v>0</v>
      </c>
      <c r="BN129" s="874">
        <f t="shared" si="87"/>
        <v>0</v>
      </c>
      <c r="BO129" s="875">
        <f t="shared" si="59"/>
        <v>0</v>
      </c>
      <c r="BP129" s="875">
        <f t="shared" si="60"/>
        <v>0</v>
      </c>
      <c r="BQ129" s="876">
        <f t="shared" si="88"/>
        <v>0</v>
      </c>
      <c r="BR129" s="877">
        <f t="shared" si="89"/>
        <v>0</v>
      </c>
      <c r="BS129" s="875">
        <f t="shared" si="61"/>
        <v>0</v>
      </c>
      <c r="BT129" s="875">
        <f t="shared" si="62"/>
        <v>0</v>
      </c>
      <c r="BU129" s="878">
        <f t="shared" si="90"/>
        <v>0</v>
      </c>
      <c r="CE129" s="486">
        <v>118</v>
      </c>
    </row>
    <row r="130" spans="1:83" s="177" customFormat="1" ht="21.95" customHeight="1" x14ac:dyDescent="0.2">
      <c r="A130" s="237">
        <f t="shared" si="63"/>
        <v>0</v>
      </c>
      <c r="B130" s="237">
        <f t="shared" si="64"/>
        <v>0</v>
      </c>
      <c r="C130" s="393">
        <f t="shared" si="49"/>
        <v>0</v>
      </c>
      <c r="D130" s="393" t="str">
        <f t="shared" si="50"/>
        <v xml:space="preserve">09 </v>
      </c>
      <c r="E130" s="959" t="s">
        <v>2069</v>
      </c>
      <c r="F130" s="959" t="s">
        <v>2239</v>
      </c>
      <c r="G130" s="959" t="s">
        <v>90</v>
      </c>
      <c r="H130" s="965">
        <v>712.77</v>
      </c>
      <c r="I130" s="970">
        <v>55.528500000000001</v>
      </c>
      <c r="J130" s="962">
        <v>39579.050000000003</v>
      </c>
      <c r="K130" s="367">
        <v>0</v>
      </c>
      <c r="L130" s="367">
        <f>IF($H130="",0,VLOOKUP($E130,Plan3!$A$16:$CT$384,$E$7,0)%)</f>
        <v>0</v>
      </c>
      <c r="M130" s="368">
        <f t="shared" si="70"/>
        <v>0</v>
      </c>
      <c r="N130" s="368">
        <f t="shared" si="71"/>
        <v>0</v>
      </c>
      <c r="O130" s="367">
        <v>0</v>
      </c>
      <c r="P130" s="367">
        <f>VLOOKUP($E130,Plan3!$A$492:$P$858,13,0)%</f>
        <v>0</v>
      </c>
      <c r="Q130" s="368">
        <f t="shared" si="72"/>
        <v>0</v>
      </c>
      <c r="R130" s="368">
        <f t="shared" si="73"/>
        <v>0</v>
      </c>
      <c r="S130" s="880">
        <v>40038.166980000002</v>
      </c>
      <c r="T130" s="880">
        <f t="shared" si="74"/>
        <v>0</v>
      </c>
      <c r="U130" s="880">
        <f>IF($I130="",0,($S130-$T130)*(1+('Econômico Macro'!$R$12/100)))</f>
        <v>40730.827268754008</v>
      </c>
      <c r="V130" s="880">
        <f t="shared" si="75"/>
        <v>40730.827268754008</v>
      </c>
      <c r="W130" s="880">
        <f t="shared" si="76"/>
        <v>0</v>
      </c>
      <c r="X130" s="367">
        <f t="shared" si="51"/>
        <v>0</v>
      </c>
      <c r="Y130" s="367">
        <f t="shared" si="52"/>
        <v>0</v>
      </c>
      <c r="Z130" s="367">
        <f t="shared" si="53"/>
        <v>0</v>
      </c>
      <c r="AA130" s="367">
        <f t="shared" si="54"/>
        <v>0</v>
      </c>
      <c r="AB130" s="369" t="str">
        <f t="shared" si="55"/>
        <v>Não Iniciada</v>
      </c>
      <c r="AC130" s="365"/>
      <c r="AD130" s="368">
        <v>1</v>
      </c>
      <c r="AE130" s="368">
        <f t="shared" si="77"/>
        <v>-1</v>
      </c>
      <c r="AF130" s="365"/>
      <c r="AG130" s="863">
        <f t="shared" si="65"/>
        <v>0</v>
      </c>
      <c r="AH130" s="864">
        <f t="shared" si="78"/>
        <v>0</v>
      </c>
      <c r="AI130" s="863">
        <f t="shared" si="66"/>
        <v>0</v>
      </c>
      <c r="AJ130" s="864">
        <f t="shared" si="79"/>
        <v>0</v>
      </c>
      <c r="AK130" s="365"/>
      <c r="AL130" s="865">
        <f t="shared" si="67"/>
        <v>0</v>
      </c>
      <c r="AM130" s="866">
        <f t="shared" si="80"/>
        <v>0</v>
      </c>
      <c r="AN130" s="866">
        <f t="shared" si="81"/>
        <v>0</v>
      </c>
      <c r="AO130" s="866">
        <f t="shared" si="82"/>
        <v>0</v>
      </c>
      <c r="AP130" s="867">
        <f t="shared" si="83"/>
        <v>0</v>
      </c>
      <c r="AQ130" s="591">
        <f t="shared" si="68"/>
        <v>0</v>
      </c>
      <c r="AR130" s="868">
        <f>IF(AND($L130=0,$P130=0)=TRUE,VLOOKUP($E130,Plan3!$A$16:$CT$487,$E$7+3,0)/100,0)</f>
        <v>0</v>
      </c>
      <c r="AS130" s="868">
        <f>IF(AND($L130=0,$P130=0)=TRUE,VLOOKUP($E130,Plan3!$A$16:$CT$487,$E$7+6,0)/100,0)</f>
        <v>0</v>
      </c>
      <c r="AT130" s="868">
        <f>IF(AND($L130=0,$P130=0)=TRUE,VLOOKUP($E130,Plan3!$A$16:$CT$487,$E$7+9,0)/100,0)</f>
        <v>0</v>
      </c>
      <c r="AU130" s="868">
        <f>IF(AND($L130=0,$P130=0)=TRUE,VLOOKUP($E130,Plan3!$A$16:$CT$487,$E$7+12,0)/100,0)</f>
        <v>0</v>
      </c>
      <c r="AV130" s="841"/>
      <c r="AW130" s="869">
        <f t="shared" si="84"/>
        <v>0</v>
      </c>
      <c r="AX130" s="870">
        <f t="shared" si="85"/>
        <v>0</v>
      </c>
      <c r="AY130" s="871">
        <f t="shared" si="86"/>
        <v>0</v>
      </c>
      <c r="AZ130" s="237" t="str">
        <f t="shared" si="56"/>
        <v xml:space="preserve">09.003.001.001 </v>
      </c>
      <c r="BA130" s="365"/>
      <c r="BB130" s="365"/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872">
        <f t="shared" si="57"/>
        <v>0</v>
      </c>
      <c r="BM130" s="873">
        <f t="shared" si="58"/>
        <v>0</v>
      </c>
      <c r="BN130" s="874">
        <f t="shared" si="87"/>
        <v>0</v>
      </c>
      <c r="BO130" s="875">
        <f t="shared" si="59"/>
        <v>0</v>
      </c>
      <c r="BP130" s="875">
        <f t="shared" si="60"/>
        <v>0</v>
      </c>
      <c r="BQ130" s="876">
        <f t="shared" si="88"/>
        <v>0</v>
      </c>
      <c r="BR130" s="877">
        <f t="shared" si="89"/>
        <v>0</v>
      </c>
      <c r="BS130" s="875">
        <f t="shared" si="61"/>
        <v>0</v>
      </c>
      <c r="BT130" s="875">
        <f t="shared" si="62"/>
        <v>0</v>
      </c>
      <c r="BU130" s="878">
        <f t="shared" si="90"/>
        <v>0</v>
      </c>
      <c r="CE130" s="486">
        <v>119</v>
      </c>
    </row>
    <row r="131" spans="1:83" s="177" customFormat="1" ht="21.95" customHeight="1" x14ac:dyDescent="0.2">
      <c r="A131" s="237">
        <f t="shared" si="63"/>
        <v>0</v>
      </c>
      <c r="B131" s="237">
        <f t="shared" si="64"/>
        <v>0</v>
      </c>
      <c r="C131" s="393">
        <f t="shared" si="49"/>
        <v>0</v>
      </c>
      <c r="D131" s="393" t="str">
        <f t="shared" si="50"/>
        <v xml:space="preserve">09 </v>
      </c>
      <c r="E131" s="959" t="s">
        <v>2070</v>
      </c>
      <c r="F131" s="959" t="s">
        <v>2240</v>
      </c>
      <c r="G131" s="959" t="s">
        <v>90</v>
      </c>
      <c r="H131" s="965">
        <v>263.70999999999998</v>
      </c>
      <c r="I131" s="970">
        <v>35.619999999999997</v>
      </c>
      <c r="J131" s="964">
        <v>9393.35</v>
      </c>
      <c r="K131" s="367">
        <v>0</v>
      </c>
      <c r="L131" s="367">
        <f>IF($H131="",0,VLOOKUP($E131,Plan3!$A$16:$CT$384,$E$7,0)%)</f>
        <v>0</v>
      </c>
      <c r="M131" s="368">
        <f t="shared" si="70"/>
        <v>0</v>
      </c>
      <c r="N131" s="368">
        <f t="shared" si="71"/>
        <v>0</v>
      </c>
      <c r="O131" s="367">
        <v>0</v>
      </c>
      <c r="P131" s="367">
        <f>VLOOKUP($E131,Plan3!$A$492:$P$858,13,0)%</f>
        <v>0</v>
      </c>
      <c r="Q131" s="368">
        <f t="shared" si="72"/>
        <v>0</v>
      </c>
      <c r="R131" s="368">
        <f t="shared" si="73"/>
        <v>0</v>
      </c>
      <c r="S131" s="880">
        <v>9502.31286</v>
      </c>
      <c r="T131" s="880">
        <f t="shared" si="74"/>
        <v>0</v>
      </c>
      <c r="U131" s="880">
        <f>IF($I131="",0,($S131-$T131)*(1+('Econômico Macro'!$R$12/100)))</f>
        <v>9666.7028724780012</v>
      </c>
      <c r="V131" s="880">
        <f t="shared" si="75"/>
        <v>9666.7028724780012</v>
      </c>
      <c r="W131" s="880">
        <f t="shared" si="76"/>
        <v>0</v>
      </c>
      <c r="X131" s="367">
        <f t="shared" si="51"/>
        <v>0</v>
      </c>
      <c r="Y131" s="367">
        <f t="shared" si="52"/>
        <v>0</v>
      </c>
      <c r="Z131" s="367">
        <f t="shared" si="53"/>
        <v>0</v>
      </c>
      <c r="AA131" s="367">
        <f t="shared" si="54"/>
        <v>0</v>
      </c>
      <c r="AB131" s="369" t="str">
        <f t="shared" si="55"/>
        <v>Não Iniciada</v>
      </c>
      <c r="AC131" s="365"/>
      <c r="AD131" s="368">
        <v>1</v>
      </c>
      <c r="AE131" s="368">
        <f t="shared" si="77"/>
        <v>-1</v>
      </c>
      <c r="AF131" s="365"/>
      <c r="AG131" s="863">
        <f t="shared" si="65"/>
        <v>0</v>
      </c>
      <c r="AH131" s="864">
        <f t="shared" si="78"/>
        <v>0</v>
      </c>
      <c r="AI131" s="863">
        <f t="shared" si="66"/>
        <v>0</v>
      </c>
      <c r="AJ131" s="864">
        <f t="shared" si="79"/>
        <v>0</v>
      </c>
      <c r="AK131" s="365"/>
      <c r="AL131" s="865">
        <f t="shared" si="67"/>
        <v>0</v>
      </c>
      <c r="AM131" s="866">
        <f t="shared" si="80"/>
        <v>0</v>
      </c>
      <c r="AN131" s="866">
        <f t="shared" si="81"/>
        <v>0</v>
      </c>
      <c r="AO131" s="866">
        <f t="shared" si="82"/>
        <v>0</v>
      </c>
      <c r="AP131" s="867">
        <f t="shared" si="83"/>
        <v>0</v>
      </c>
      <c r="AQ131" s="591">
        <f t="shared" si="68"/>
        <v>0</v>
      </c>
      <c r="AR131" s="868">
        <f>IF(AND($L131=0,$P131=0)=TRUE,VLOOKUP($E131,Plan3!$A$16:$CT$487,$E$7+3,0)/100,0)</f>
        <v>0</v>
      </c>
      <c r="AS131" s="868">
        <f>IF(AND($L131=0,$P131=0)=TRUE,VLOOKUP($E131,Plan3!$A$16:$CT$487,$E$7+6,0)/100,0)</f>
        <v>0</v>
      </c>
      <c r="AT131" s="868">
        <f>IF(AND($L131=0,$P131=0)=TRUE,VLOOKUP($E131,Plan3!$A$16:$CT$487,$E$7+9,0)/100,0)</f>
        <v>0</v>
      </c>
      <c r="AU131" s="868">
        <f>IF(AND($L131=0,$P131=0)=TRUE,VLOOKUP($E131,Plan3!$A$16:$CT$487,$E$7+12,0)/100,0)</f>
        <v>0</v>
      </c>
      <c r="AV131" s="841"/>
      <c r="AW131" s="869">
        <f t="shared" si="84"/>
        <v>0</v>
      </c>
      <c r="AX131" s="870">
        <f t="shared" si="85"/>
        <v>0</v>
      </c>
      <c r="AY131" s="871">
        <f t="shared" si="86"/>
        <v>0</v>
      </c>
      <c r="AZ131" s="237" t="str">
        <f t="shared" si="56"/>
        <v xml:space="preserve">09.003.001.002 </v>
      </c>
      <c r="BA131" s="365"/>
      <c r="BB131" s="365"/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872">
        <f t="shared" si="57"/>
        <v>0</v>
      </c>
      <c r="BM131" s="873">
        <f t="shared" si="58"/>
        <v>0</v>
      </c>
      <c r="BN131" s="874">
        <f t="shared" si="87"/>
        <v>0</v>
      </c>
      <c r="BO131" s="875">
        <f t="shared" si="59"/>
        <v>0</v>
      </c>
      <c r="BP131" s="875">
        <f t="shared" si="60"/>
        <v>0</v>
      </c>
      <c r="BQ131" s="876">
        <f t="shared" si="88"/>
        <v>0</v>
      </c>
      <c r="BR131" s="877">
        <f t="shared" si="89"/>
        <v>0</v>
      </c>
      <c r="BS131" s="875">
        <f t="shared" si="61"/>
        <v>0</v>
      </c>
      <c r="BT131" s="875">
        <f t="shared" si="62"/>
        <v>0</v>
      </c>
      <c r="BU131" s="878">
        <f t="shared" si="90"/>
        <v>0</v>
      </c>
      <c r="CE131" s="486">
        <v>120</v>
      </c>
    </row>
    <row r="132" spans="1:83" s="177" customFormat="1" ht="21.95" customHeight="1" x14ac:dyDescent="0.2">
      <c r="A132" s="237">
        <f t="shared" si="63"/>
        <v>0</v>
      </c>
      <c r="B132" s="237">
        <f t="shared" si="64"/>
        <v>0</v>
      </c>
      <c r="C132" s="393">
        <f t="shared" si="49"/>
        <v>0</v>
      </c>
      <c r="D132" s="393" t="str">
        <f t="shared" si="50"/>
        <v xml:space="preserve">09 </v>
      </c>
      <c r="E132" s="959" t="s">
        <v>2071</v>
      </c>
      <c r="F132" s="959" t="s">
        <v>2241</v>
      </c>
      <c r="G132" s="959" t="s">
        <v>90</v>
      </c>
      <c r="H132" s="965">
        <v>433.79</v>
      </c>
      <c r="I132" s="970">
        <v>77.052999999999997</v>
      </c>
      <c r="J132" s="962">
        <v>33424.82</v>
      </c>
      <c r="K132" s="367">
        <v>0</v>
      </c>
      <c r="L132" s="367">
        <f>IF($H132="",0,VLOOKUP($E132,Plan3!$A$16:$CT$384,$E$7,0)%)</f>
        <v>0</v>
      </c>
      <c r="M132" s="368">
        <f t="shared" si="70"/>
        <v>0</v>
      </c>
      <c r="N132" s="368">
        <f t="shared" si="71"/>
        <v>0</v>
      </c>
      <c r="O132" s="367">
        <v>0</v>
      </c>
      <c r="P132" s="367">
        <f>VLOOKUP($E132,Plan3!$A$492:$P$858,13,0)%</f>
        <v>0</v>
      </c>
      <c r="Q132" s="368">
        <f t="shared" si="72"/>
        <v>0</v>
      </c>
      <c r="R132" s="368">
        <f t="shared" si="73"/>
        <v>0</v>
      </c>
      <c r="S132" s="880">
        <v>33812.547912000002</v>
      </c>
      <c r="T132" s="880">
        <f t="shared" si="74"/>
        <v>0</v>
      </c>
      <c r="U132" s="880">
        <f>IF($I132="",0,($S132-$T132)*(1+('Econômico Macro'!$R$12/100)))</f>
        <v>34397.504990877605</v>
      </c>
      <c r="V132" s="880">
        <f t="shared" si="75"/>
        <v>34397.504990877605</v>
      </c>
      <c r="W132" s="880">
        <f t="shared" si="76"/>
        <v>0</v>
      </c>
      <c r="X132" s="367">
        <f t="shared" si="51"/>
        <v>0</v>
      </c>
      <c r="Y132" s="367">
        <f t="shared" si="52"/>
        <v>0</v>
      </c>
      <c r="Z132" s="367">
        <f t="shared" si="53"/>
        <v>0</v>
      </c>
      <c r="AA132" s="367">
        <f t="shared" si="54"/>
        <v>0</v>
      </c>
      <c r="AB132" s="369" t="str">
        <f t="shared" si="55"/>
        <v>Não Iniciada</v>
      </c>
      <c r="AC132" s="365"/>
      <c r="AD132" s="368">
        <v>1</v>
      </c>
      <c r="AE132" s="368">
        <f t="shared" si="77"/>
        <v>-1</v>
      </c>
      <c r="AF132" s="365"/>
      <c r="AG132" s="863">
        <f t="shared" si="65"/>
        <v>0</v>
      </c>
      <c r="AH132" s="864">
        <f t="shared" si="78"/>
        <v>0</v>
      </c>
      <c r="AI132" s="863">
        <f t="shared" si="66"/>
        <v>0</v>
      </c>
      <c r="AJ132" s="864">
        <f t="shared" si="79"/>
        <v>0</v>
      </c>
      <c r="AK132" s="365"/>
      <c r="AL132" s="865">
        <f t="shared" si="67"/>
        <v>0</v>
      </c>
      <c r="AM132" s="866">
        <f t="shared" si="80"/>
        <v>0</v>
      </c>
      <c r="AN132" s="866">
        <f t="shared" si="81"/>
        <v>0</v>
      </c>
      <c r="AO132" s="866">
        <f t="shared" si="82"/>
        <v>0</v>
      </c>
      <c r="AP132" s="867">
        <f t="shared" si="83"/>
        <v>0</v>
      </c>
      <c r="AQ132" s="591">
        <f t="shared" si="68"/>
        <v>0</v>
      </c>
      <c r="AR132" s="868">
        <f>IF(AND($L132=0,$P132=0)=TRUE,VLOOKUP($E132,Plan3!$A$16:$CT$487,$E$7+3,0)/100,0)</f>
        <v>0</v>
      </c>
      <c r="AS132" s="868">
        <f>IF(AND($L132=0,$P132=0)=TRUE,VLOOKUP($E132,Plan3!$A$16:$CT$487,$E$7+6,0)/100,0)</f>
        <v>0</v>
      </c>
      <c r="AT132" s="868">
        <f>IF(AND($L132=0,$P132=0)=TRUE,VLOOKUP($E132,Plan3!$A$16:$CT$487,$E$7+9,0)/100,0)</f>
        <v>0</v>
      </c>
      <c r="AU132" s="868">
        <f>IF(AND($L132=0,$P132=0)=TRUE,VLOOKUP($E132,Plan3!$A$16:$CT$487,$E$7+12,0)/100,0)</f>
        <v>0</v>
      </c>
      <c r="AV132" s="841"/>
      <c r="AW132" s="869">
        <f t="shared" si="84"/>
        <v>0</v>
      </c>
      <c r="AX132" s="870">
        <f t="shared" si="85"/>
        <v>0</v>
      </c>
      <c r="AY132" s="871">
        <f t="shared" si="86"/>
        <v>0</v>
      </c>
      <c r="AZ132" s="237" t="str">
        <f t="shared" si="56"/>
        <v xml:space="preserve">09.003.001.003 </v>
      </c>
      <c r="BA132" s="365"/>
      <c r="BB132" s="365"/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872">
        <f t="shared" si="57"/>
        <v>0</v>
      </c>
      <c r="BM132" s="873">
        <f t="shared" si="58"/>
        <v>0</v>
      </c>
      <c r="BN132" s="874">
        <f t="shared" si="87"/>
        <v>0</v>
      </c>
      <c r="BO132" s="875">
        <f t="shared" si="59"/>
        <v>0</v>
      </c>
      <c r="BP132" s="875">
        <f t="shared" si="60"/>
        <v>0</v>
      </c>
      <c r="BQ132" s="876">
        <f t="shared" si="88"/>
        <v>0</v>
      </c>
      <c r="BR132" s="877">
        <f t="shared" si="89"/>
        <v>0</v>
      </c>
      <c r="BS132" s="875">
        <f t="shared" si="61"/>
        <v>0</v>
      </c>
      <c r="BT132" s="875">
        <f t="shared" si="62"/>
        <v>0</v>
      </c>
      <c r="BU132" s="878">
        <f t="shared" si="90"/>
        <v>0</v>
      </c>
      <c r="CE132" s="486">
        <v>121</v>
      </c>
    </row>
    <row r="133" spans="1:83" s="177" customFormat="1" ht="21.95" customHeight="1" x14ac:dyDescent="0.2">
      <c r="A133" s="237">
        <f t="shared" si="63"/>
        <v>0</v>
      </c>
      <c r="B133" s="237">
        <f t="shared" si="64"/>
        <v>0</v>
      </c>
      <c r="C133" s="393">
        <f t="shared" si="49"/>
        <v>0</v>
      </c>
      <c r="D133" s="393" t="str">
        <f t="shared" si="50"/>
        <v xml:space="preserve">09 </v>
      </c>
      <c r="E133" s="959" t="s">
        <v>2072</v>
      </c>
      <c r="F133" s="959" t="s">
        <v>1425</v>
      </c>
      <c r="G133" s="959" t="s">
        <v>90</v>
      </c>
      <c r="H133" s="963">
        <v>1410.27</v>
      </c>
      <c r="I133" s="970">
        <v>26.21</v>
      </c>
      <c r="J133" s="962">
        <v>36963.18</v>
      </c>
      <c r="K133" s="367">
        <v>0</v>
      </c>
      <c r="L133" s="367">
        <f>IF($H133="",0,VLOOKUP($E133,Plan3!$A$16:$CT$384,$E$7,0)%)</f>
        <v>0</v>
      </c>
      <c r="M133" s="368">
        <f t="shared" si="70"/>
        <v>0</v>
      </c>
      <c r="N133" s="368">
        <f t="shared" si="71"/>
        <v>0</v>
      </c>
      <c r="O133" s="367">
        <v>0</v>
      </c>
      <c r="P133" s="367">
        <f>VLOOKUP($E133,Plan3!$A$492:$P$858,13,0)%</f>
        <v>0</v>
      </c>
      <c r="Q133" s="368">
        <f t="shared" si="72"/>
        <v>0</v>
      </c>
      <c r="R133" s="368">
        <f t="shared" si="73"/>
        <v>0</v>
      </c>
      <c r="S133" s="880">
        <v>37391.952888</v>
      </c>
      <c r="T133" s="880">
        <f t="shared" si="74"/>
        <v>0</v>
      </c>
      <c r="U133" s="880">
        <f>IF($I133="",0,($S133-$T133)*(1+('Econômico Macro'!$R$12/100)))</f>
        <v>38038.833672962406</v>
      </c>
      <c r="V133" s="880">
        <f t="shared" si="75"/>
        <v>38038.833672962406</v>
      </c>
      <c r="W133" s="880">
        <f t="shared" si="76"/>
        <v>0</v>
      </c>
      <c r="X133" s="367">
        <f t="shared" si="51"/>
        <v>0</v>
      </c>
      <c r="Y133" s="367">
        <f t="shared" si="52"/>
        <v>0</v>
      </c>
      <c r="Z133" s="367">
        <f t="shared" si="53"/>
        <v>0</v>
      </c>
      <c r="AA133" s="367">
        <f t="shared" si="54"/>
        <v>0</v>
      </c>
      <c r="AB133" s="369" t="str">
        <f t="shared" si="55"/>
        <v>Não Iniciada</v>
      </c>
      <c r="AC133" s="365"/>
      <c r="AD133" s="368">
        <v>1</v>
      </c>
      <c r="AE133" s="368">
        <f t="shared" si="77"/>
        <v>-1</v>
      </c>
      <c r="AF133" s="365"/>
      <c r="AG133" s="863">
        <f t="shared" si="65"/>
        <v>0</v>
      </c>
      <c r="AH133" s="864">
        <f t="shared" si="78"/>
        <v>0</v>
      </c>
      <c r="AI133" s="863">
        <f t="shared" si="66"/>
        <v>0</v>
      </c>
      <c r="AJ133" s="864">
        <f t="shared" si="79"/>
        <v>0</v>
      </c>
      <c r="AK133" s="365"/>
      <c r="AL133" s="865">
        <f t="shared" si="67"/>
        <v>0</v>
      </c>
      <c r="AM133" s="866">
        <f t="shared" si="80"/>
        <v>0</v>
      </c>
      <c r="AN133" s="866">
        <f t="shared" si="81"/>
        <v>0</v>
      </c>
      <c r="AO133" s="866">
        <f t="shared" si="82"/>
        <v>0</v>
      </c>
      <c r="AP133" s="867">
        <f t="shared" si="83"/>
        <v>0</v>
      </c>
      <c r="AQ133" s="591">
        <f t="shared" si="68"/>
        <v>0</v>
      </c>
      <c r="AR133" s="868">
        <f>IF(AND($L133=0,$P133=0)=TRUE,VLOOKUP($E133,Plan3!$A$16:$CT$487,$E$7+3,0)/100,0)</f>
        <v>0</v>
      </c>
      <c r="AS133" s="868">
        <f>IF(AND($L133=0,$P133=0)=TRUE,VLOOKUP($E133,Plan3!$A$16:$CT$487,$E$7+6,0)/100,0)</f>
        <v>0</v>
      </c>
      <c r="AT133" s="868">
        <f>IF(AND($L133=0,$P133=0)=TRUE,VLOOKUP($E133,Plan3!$A$16:$CT$487,$E$7+9,0)/100,0)</f>
        <v>0</v>
      </c>
      <c r="AU133" s="868">
        <f>IF(AND($L133=0,$P133=0)=TRUE,VLOOKUP($E133,Plan3!$A$16:$CT$487,$E$7+12,0)/100,0)</f>
        <v>0</v>
      </c>
      <c r="AV133" s="841"/>
      <c r="AW133" s="869">
        <f t="shared" si="84"/>
        <v>0</v>
      </c>
      <c r="AX133" s="870">
        <f t="shared" si="85"/>
        <v>0</v>
      </c>
      <c r="AY133" s="871">
        <f t="shared" si="86"/>
        <v>0</v>
      </c>
      <c r="AZ133" s="237" t="str">
        <f t="shared" si="56"/>
        <v xml:space="preserve">09.003.001.004 </v>
      </c>
      <c r="BA133" s="365"/>
      <c r="BB133" s="365"/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872">
        <f t="shared" si="57"/>
        <v>0</v>
      </c>
      <c r="BM133" s="873">
        <f t="shared" si="58"/>
        <v>0</v>
      </c>
      <c r="BN133" s="874">
        <f t="shared" si="87"/>
        <v>0</v>
      </c>
      <c r="BO133" s="875">
        <f t="shared" si="59"/>
        <v>0</v>
      </c>
      <c r="BP133" s="875">
        <f t="shared" si="60"/>
        <v>0</v>
      </c>
      <c r="BQ133" s="876">
        <f t="shared" si="88"/>
        <v>0</v>
      </c>
      <c r="BR133" s="877">
        <f t="shared" si="89"/>
        <v>0</v>
      </c>
      <c r="BS133" s="875">
        <f t="shared" si="61"/>
        <v>0</v>
      </c>
      <c r="BT133" s="875">
        <f t="shared" si="62"/>
        <v>0</v>
      </c>
      <c r="BU133" s="878">
        <f t="shared" si="90"/>
        <v>0</v>
      </c>
      <c r="CE133" s="486">
        <v>122</v>
      </c>
    </row>
    <row r="134" spans="1:83" s="177" customFormat="1" ht="21.95" customHeight="1" x14ac:dyDescent="0.2">
      <c r="A134" s="237">
        <f t="shared" si="63"/>
        <v>0</v>
      </c>
      <c r="B134" s="237">
        <f t="shared" si="64"/>
        <v>0</v>
      </c>
      <c r="C134" s="393">
        <f t="shared" si="49"/>
        <v>0</v>
      </c>
      <c r="D134" s="393" t="str">
        <f t="shared" si="50"/>
        <v xml:space="preserve">09 </v>
      </c>
      <c r="E134" s="959" t="s">
        <v>2073</v>
      </c>
      <c r="F134" s="959" t="s">
        <v>2096</v>
      </c>
      <c r="G134" s="959" t="s">
        <v>90</v>
      </c>
      <c r="H134" s="970">
        <v>29.08</v>
      </c>
      <c r="I134" s="965">
        <v>249.77</v>
      </c>
      <c r="J134" s="964">
        <v>7263.31</v>
      </c>
      <c r="K134" s="367">
        <v>0</v>
      </c>
      <c r="L134" s="367">
        <f>IF($H134="",0,VLOOKUP($E134,Plan3!$A$16:$CT$384,$E$7,0)%)</f>
        <v>0</v>
      </c>
      <c r="M134" s="368">
        <f t="shared" si="70"/>
        <v>0</v>
      </c>
      <c r="N134" s="368">
        <f t="shared" si="71"/>
        <v>0</v>
      </c>
      <c r="O134" s="367">
        <v>0</v>
      </c>
      <c r="P134" s="367">
        <f>VLOOKUP($E134,Plan3!$A$492:$P$858,13,0)%</f>
        <v>0</v>
      </c>
      <c r="Q134" s="368">
        <f t="shared" si="72"/>
        <v>0</v>
      </c>
      <c r="R134" s="368">
        <f t="shared" si="73"/>
        <v>0</v>
      </c>
      <c r="S134" s="880">
        <v>7347.5643960000007</v>
      </c>
      <c r="T134" s="880">
        <f t="shared" si="74"/>
        <v>0</v>
      </c>
      <c r="U134" s="880">
        <f>IF($I134="",0,($S134-$T134)*(1+('Econômico Macro'!$R$12/100)))</f>
        <v>7474.6772600508011</v>
      </c>
      <c r="V134" s="880">
        <f t="shared" si="75"/>
        <v>7474.6772600508011</v>
      </c>
      <c r="W134" s="880">
        <f t="shared" si="76"/>
        <v>0</v>
      </c>
      <c r="X134" s="367">
        <f t="shared" si="51"/>
        <v>0</v>
      </c>
      <c r="Y134" s="367">
        <f t="shared" si="52"/>
        <v>0</v>
      </c>
      <c r="Z134" s="367">
        <f t="shared" si="53"/>
        <v>0</v>
      </c>
      <c r="AA134" s="367">
        <f t="shared" si="54"/>
        <v>0</v>
      </c>
      <c r="AB134" s="369" t="str">
        <f t="shared" si="55"/>
        <v>Não Iniciada</v>
      </c>
      <c r="AC134" s="365"/>
      <c r="AD134" s="368">
        <v>1</v>
      </c>
      <c r="AE134" s="368">
        <f t="shared" si="77"/>
        <v>-1</v>
      </c>
      <c r="AF134" s="365"/>
      <c r="AG134" s="863">
        <f t="shared" si="65"/>
        <v>0</v>
      </c>
      <c r="AH134" s="864">
        <f t="shared" si="78"/>
        <v>0</v>
      </c>
      <c r="AI134" s="863">
        <f t="shared" si="66"/>
        <v>0</v>
      </c>
      <c r="AJ134" s="864">
        <f t="shared" si="79"/>
        <v>0</v>
      </c>
      <c r="AK134" s="365"/>
      <c r="AL134" s="865">
        <f t="shared" si="67"/>
        <v>0</v>
      </c>
      <c r="AM134" s="866">
        <f t="shared" si="80"/>
        <v>0</v>
      </c>
      <c r="AN134" s="866">
        <f t="shared" si="81"/>
        <v>0</v>
      </c>
      <c r="AO134" s="866">
        <f t="shared" si="82"/>
        <v>0</v>
      </c>
      <c r="AP134" s="867">
        <f t="shared" si="83"/>
        <v>0</v>
      </c>
      <c r="AQ134" s="591">
        <f t="shared" si="68"/>
        <v>0</v>
      </c>
      <c r="AR134" s="868">
        <f>IF(AND($L134=0,$P134=0)=TRUE,VLOOKUP($E134,Plan3!$A$16:$CT$487,$E$7+3,0)/100,0)</f>
        <v>0</v>
      </c>
      <c r="AS134" s="868">
        <f>IF(AND($L134=0,$P134=0)=TRUE,VLOOKUP($E134,Plan3!$A$16:$CT$487,$E$7+6,0)/100,0)</f>
        <v>0</v>
      </c>
      <c r="AT134" s="868">
        <f>IF(AND($L134=0,$P134=0)=TRUE,VLOOKUP($E134,Plan3!$A$16:$CT$487,$E$7+9,0)/100,0)</f>
        <v>0</v>
      </c>
      <c r="AU134" s="868">
        <f>IF(AND($L134=0,$P134=0)=TRUE,VLOOKUP($E134,Plan3!$A$16:$CT$487,$E$7+12,0)/100,0)</f>
        <v>0</v>
      </c>
      <c r="AV134" s="841"/>
      <c r="AW134" s="869">
        <f t="shared" si="84"/>
        <v>0</v>
      </c>
      <c r="AX134" s="870">
        <f t="shared" si="85"/>
        <v>0</v>
      </c>
      <c r="AY134" s="871">
        <f t="shared" si="86"/>
        <v>0</v>
      </c>
      <c r="AZ134" s="237" t="str">
        <f t="shared" si="56"/>
        <v xml:space="preserve">09.003.001.005 </v>
      </c>
      <c r="BA134" s="365"/>
      <c r="BB134" s="365"/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872">
        <f t="shared" si="57"/>
        <v>0</v>
      </c>
      <c r="BM134" s="873">
        <f t="shared" si="58"/>
        <v>0</v>
      </c>
      <c r="BN134" s="874">
        <f t="shared" si="87"/>
        <v>0</v>
      </c>
      <c r="BO134" s="875">
        <f t="shared" si="59"/>
        <v>0</v>
      </c>
      <c r="BP134" s="875">
        <f t="shared" si="60"/>
        <v>0</v>
      </c>
      <c r="BQ134" s="876">
        <f t="shared" si="88"/>
        <v>0</v>
      </c>
      <c r="BR134" s="877">
        <f t="shared" si="89"/>
        <v>0</v>
      </c>
      <c r="BS134" s="875">
        <f t="shared" si="61"/>
        <v>0</v>
      </c>
      <c r="BT134" s="875">
        <f t="shared" si="62"/>
        <v>0</v>
      </c>
      <c r="BU134" s="878">
        <f t="shared" si="90"/>
        <v>0</v>
      </c>
      <c r="CE134" s="486">
        <v>123</v>
      </c>
    </row>
    <row r="135" spans="1:83" s="177" customFormat="1" ht="21.95" customHeight="1" x14ac:dyDescent="0.2">
      <c r="A135" s="237">
        <f t="shared" si="63"/>
        <v>0</v>
      </c>
      <c r="B135" s="237">
        <f t="shared" si="64"/>
        <v>0</v>
      </c>
      <c r="C135" s="393">
        <f t="shared" si="49"/>
        <v>0</v>
      </c>
      <c r="D135" s="393" t="str">
        <f t="shared" si="50"/>
        <v xml:space="preserve">09 </v>
      </c>
      <c r="E135" s="959" t="s">
        <v>2074</v>
      </c>
      <c r="F135" s="959" t="s">
        <v>2242</v>
      </c>
      <c r="G135" s="959" t="s">
        <v>90</v>
      </c>
      <c r="H135" s="970">
        <v>29.08</v>
      </c>
      <c r="I135" s="970">
        <v>33</v>
      </c>
      <c r="J135" s="966">
        <v>959.64</v>
      </c>
      <c r="K135" s="367">
        <v>0</v>
      </c>
      <c r="L135" s="367">
        <f>IF($H135="",0,VLOOKUP($E135,Plan3!$A$16:$CT$384,$E$7,0)%)</f>
        <v>0</v>
      </c>
      <c r="M135" s="368">
        <f t="shared" si="70"/>
        <v>0</v>
      </c>
      <c r="N135" s="368">
        <f t="shared" si="71"/>
        <v>0</v>
      </c>
      <c r="O135" s="367">
        <v>0</v>
      </c>
      <c r="P135" s="367">
        <f>VLOOKUP($E135,Plan3!$A$492:$P$858,13,0)%</f>
        <v>0</v>
      </c>
      <c r="Q135" s="368">
        <f t="shared" si="72"/>
        <v>0</v>
      </c>
      <c r="R135" s="368">
        <f t="shared" si="73"/>
        <v>0</v>
      </c>
      <c r="S135" s="880">
        <v>970.77182400000004</v>
      </c>
      <c r="T135" s="880">
        <f t="shared" si="74"/>
        <v>0</v>
      </c>
      <c r="U135" s="880">
        <f>IF($I135="",0,($S135-$T135)*(1+('Econômico Macro'!$R$12/100)))</f>
        <v>987.56617655520017</v>
      </c>
      <c r="V135" s="880">
        <f t="shared" si="75"/>
        <v>987.56617655520017</v>
      </c>
      <c r="W135" s="880">
        <f t="shared" si="76"/>
        <v>0</v>
      </c>
      <c r="X135" s="367">
        <f t="shared" si="51"/>
        <v>0</v>
      </c>
      <c r="Y135" s="367">
        <f t="shared" si="52"/>
        <v>0</v>
      </c>
      <c r="Z135" s="367">
        <f t="shared" si="53"/>
        <v>0</v>
      </c>
      <c r="AA135" s="367">
        <f t="shared" si="54"/>
        <v>0</v>
      </c>
      <c r="AB135" s="369" t="str">
        <f t="shared" si="55"/>
        <v>Não Iniciada</v>
      </c>
      <c r="AC135" s="365"/>
      <c r="AD135" s="368">
        <v>1</v>
      </c>
      <c r="AE135" s="368">
        <f t="shared" si="77"/>
        <v>-1</v>
      </c>
      <c r="AF135" s="365"/>
      <c r="AG135" s="863">
        <f t="shared" si="65"/>
        <v>0</v>
      </c>
      <c r="AH135" s="864">
        <f t="shared" si="78"/>
        <v>0</v>
      </c>
      <c r="AI135" s="863">
        <f t="shared" si="66"/>
        <v>0</v>
      </c>
      <c r="AJ135" s="864">
        <f t="shared" si="79"/>
        <v>0</v>
      </c>
      <c r="AK135" s="365"/>
      <c r="AL135" s="865">
        <f t="shared" si="67"/>
        <v>0</v>
      </c>
      <c r="AM135" s="866">
        <f t="shared" si="80"/>
        <v>0</v>
      </c>
      <c r="AN135" s="866">
        <f t="shared" si="81"/>
        <v>0</v>
      </c>
      <c r="AO135" s="866">
        <f t="shared" si="82"/>
        <v>0</v>
      </c>
      <c r="AP135" s="867">
        <f t="shared" si="83"/>
        <v>0</v>
      </c>
      <c r="AQ135" s="591">
        <f t="shared" si="68"/>
        <v>0</v>
      </c>
      <c r="AR135" s="868">
        <f>IF(AND($L135=0,$P135=0)=TRUE,VLOOKUP($E135,Plan3!$A$16:$CT$487,$E$7+3,0)/100,0)</f>
        <v>0</v>
      </c>
      <c r="AS135" s="868">
        <f>IF(AND($L135=0,$P135=0)=TRUE,VLOOKUP($E135,Plan3!$A$16:$CT$487,$E$7+6,0)/100,0)</f>
        <v>0</v>
      </c>
      <c r="AT135" s="868">
        <f>IF(AND($L135=0,$P135=0)=TRUE,VLOOKUP($E135,Plan3!$A$16:$CT$487,$E$7+9,0)/100,0)</f>
        <v>0</v>
      </c>
      <c r="AU135" s="868">
        <f>IF(AND($L135=0,$P135=0)=TRUE,VLOOKUP($E135,Plan3!$A$16:$CT$487,$E$7+12,0)/100,0)</f>
        <v>0</v>
      </c>
      <c r="AV135" s="841"/>
      <c r="AW135" s="869">
        <f t="shared" si="84"/>
        <v>0</v>
      </c>
      <c r="AX135" s="870">
        <f t="shared" si="85"/>
        <v>0</v>
      </c>
      <c r="AY135" s="871">
        <f t="shared" si="86"/>
        <v>0</v>
      </c>
      <c r="AZ135" s="237" t="str">
        <f t="shared" si="56"/>
        <v xml:space="preserve">09.003.001.006 </v>
      </c>
      <c r="BA135" s="365"/>
      <c r="BB135" s="365"/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872">
        <f t="shared" si="57"/>
        <v>0</v>
      </c>
      <c r="BM135" s="873">
        <f t="shared" si="58"/>
        <v>0</v>
      </c>
      <c r="BN135" s="874">
        <f t="shared" si="87"/>
        <v>0</v>
      </c>
      <c r="BO135" s="875">
        <f t="shared" si="59"/>
        <v>0</v>
      </c>
      <c r="BP135" s="875">
        <f t="shared" si="60"/>
        <v>0</v>
      </c>
      <c r="BQ135" s="876">
        <f t="shared" si="88"/>
        <v>0</v>
      </c>
      <c r="BR135" s="877">
        <f t="shared" si="89"/>
        <v>0</v>
      </c>
      <c r="BS135" s="875">
        <f t="shared" si="61"/>
        <v>0</v>
      </c>
      <c r="BT135" s="875">
        <f t="shared" si="62"/>
        <v>0</v>
      </c>
      <c r="BU135" s="878">
        <f t="shared" si="90"/>
        <v>0</v>
      </c>
      <c r="CE135" s="486">
        <v>124</v>
      </c>
    </row>
    <row r="136" spans="1:83" s="177" customFormat="1" ht="21.95" customHeight="1" x14ac:dyDescent="0.2">
      <c r="A136" s="237">
        <f t="shared" si="63"/>
        <v>0</v>
      </c>
      <c r="B136" s="237">
        <f t="shared" si="64"/>
        <v>0</v>
      </c>
      <c r="C136" s="393">
        <f t="shared" si="49"/>
        <v>0</v>
      </c>
      <c r="D136" s="393" t="str">
        <f t="shared" si="50"/>
        <v xml:space="preserve">09 </v>
      </c>
      <c r="E136" s="967" t="s">
        <v>2075</v>
      </c>
      <c r="F136" s="967" t="s">
        <v>1427</v>
      </c>
      <c r="G136" s="967"/>
      <c r="H136" s="968"/>
      <c r="I136" s="968"/>
      <c r="J136" s="969">
        <v>11687.88</v>
      </c>
      <c r="K136" s="367">
        <v>0</v>
      </c>
      <c r="L136" s="367">
        <f>IF($H136="",0,VLOOKUP($E136,Plan3!$A$16:$CT$384,$E$7,0)%)</f>
        <v>0</v>
      </c>
      <c r="M136" s="368">
        <f t="shared" si="70"/>
        <v>0</v>
      </c>
      <c r="N136" s="368">
        <f t="shared" si="71"/>
        <v>0</v>
      </c>
      <c r="O136" s="367">
        <v>0</v>
      </c>
      <c r="P136" s="367">
        <f>VLOOKUP($E136,Plan3!$A$492:$P$858,13,0)%</f>
        <v>0</v>
      </c>
      <c r="Q136" s="368">
        <f t="shared" si="72"/>
        <v>0</v>
      </c>
      <c r="R136" s="368">
        <f t="shared" si="73"/>
        <v>0</v>
      </c>
      <c r="S136" s="880">
        <v>0</v>
      </c>
      <c r="T136" s="880">
        <f t="shared" si="74"/>
        <v>0</v>
      </c>
      <c r="U136" s="880">
        <f>IF($I136="",0,($S136-$T136)*(1+('Econômico Macro'!$R$12/100)))</f>
        <v>0</v>
      </c>
      <c r="V136" s="880">
        <f t="shared" si="75"/>
        <v>0</v>
      </c>
      <c r="W136" s="880">
        <f t="shared" si="76"/>
        <v>0</v>
      </c>
      <c r="X136" s="367">
        <f t="shared" si="51"/>
        <v>0</v>
      </c>
      <c r="Y136" s="367">
        <f t="shared" si="52"/>
        <v>0</v>
      </c>
      <c r="Z136" s="367">
        <f t="shared" si="53"/>
        <v>0</v>
      </c>
      <c r="AA136" s="367">
        <f t="shared" si="54"/>
        <v>0</v>
      </c>
      <c r="AB136" s="369" t="str">
        <f t="shared" si="55"/>
        <v>Não Iniciada</v>
      </c>
      <c r="AC136" s="365"/>
      <c r="AD136" s="368">
        <v>1</v>
      </c>
      <c r="AE136" s="368">
        <f t="shared" si="77"/>
        <v>-1</v>
      </c>
      <c r="AF136" s="365"/>
      <c r="AG136" s="863">
        <f t="shared" si="65"/>
        <v>0</v>
      </c>
      <c r="AH136" s="864">
        <f t="shared" si="78"/>
        <v>0</v>
      </c>
      <c r="AI136" s="863">
        <f t="shared" si="66"/>
        <v>0</v>
      </c>
      <c r="AJ136" s="864">
        <f t="shared" si="79"/>
        <v>0</v>
      </c>
      <c r="AK136" s="365"/>
      <c r="AL136" s="865">
        <f t="shared" si="67"/>
        <v>0</v>
      </c>
      <c r="AM136" s="866">
        <f t="shared" si="80"/>
        <v>0</v>
      </c>
      <c r="AN136" s="866">
        <f t="shared" si="81"/>
        <v>0</v>
      </c>
      <c r="AO136" s="866">
        <f t="shared" si="82"/>
        <v>0</v>
      </c>
      <c r="AP136" s="867">
        <f t="shared" si="83"/>
        <v>0</v>
      </c>
      <c r="AQ136" s="591"/>
      <c r="AR136" s="868"/>
      <c r="AS136" s="868"/>
      <c r="AT136" s="868"/>
      <c r="AU136" s="868"/>
      <c r="AV136" s="841"/>
      <c r="AW136" s="869"/>
      <c r="AX136" s="870"/>
      <c r="AY136" s="871"/>
      <c r="AZ136" s="237" t="str">
        <f t="shared" si="56"/>
        <v xml:space="preserve">09.003.002 </v>
      </c>
      <c r="BA136" s="365"/>
      <c r="BB136" s="365"/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872">
        <f t="shared" si="57"/>
        <v>0</v>
      </c>
      <c r="BM136" s="873">
        <f t="shared" si="58"/>
        <v>0</v>
      </c>
      <c r="BN136" s="874">
        <f t="shared" si="87"/>
        <v>0</v>
      </c>
      <c r="BO136" s="875">
        <f t="shared" si="59"/>
        <v>0</v>
      </c>
      <c r="BP136" s="875">
        <f t="shared" si="60"/>
        <v>0</v>
      </c>
      <c r="BQ136" s="876">
        <f t="shared" si="88"/>
        <v>0</v>
      </c>
      <c r="BR136" s="877">
        <f t="shared" si="89"/>
        <v>0</v>
      </c>
      <c r="BS136" s="875">
        <f t="shared" si="61"/>
        <v>0</v>
      </c>
      <c r="BT136" s="875">
        <f t="shared" si="62"/>
        <v>0</v>
      </c>
      <c r="BU136" s="878">
        <f t="shared" si="90"/>
        <v>0</v>
      </c>
      <c r="CE136" s="486">
        <v>125</v>
      </c>
    </row>
    <row r="137" spans="1:83" s="177" customFormat="1" ht="21.95" customHeight="1" x14ac:dyDescent="0.2">
      <c r="A137" s="237">
        <f t="shared" si="63"/>
        <v>0</v>
      </c>
      <c r="B137" s="237">
        <f t="shared" si="64"/>
        <v>0</v>
      </c>
      <c r="C137" s="393">
        <f t="shared" si="49"/>
        <v>0</v>
      </c>
      <c r="D137" s="393" t="str">
        <f t="shared" si="50"/>
        <v xml:space="preserve">09 </v>
      </c>
      <c r="E137" s="959" t="s">
        <v>2076</v>
      </c>
      <c r="F137" s="959" t="s">
        <v>2243</v>
      </c>
      <c r="G137" s="959" t="s">
        <v>15</v>
      </c>
      <c r="H137" s="965">
        <v>233.77</v>
      </c>
      <c r="I137" s="960">
        <v>6.1220999999999997</v>
      </c>
      <c r="J137" s="964">
        <v>1431.16</v>
      </c>
      <c r="K137" s="367">
        <v>0</v>
      </c>
      <c r="L137" s="367">
        <f>IF($H137="",0,VLOOKUP($E137,Plan3!$A$16:$CT$384,$E$7,0)%)</f>
        <v>0</v>
      </c>
      <c r="M137" s="368">
        <f t="shared" si="70"/>
        <v>0</v>
      </c>
      <c r="N137" s="368">
        <f t="shared" si="71"/>
        <v>0</v>
      </c>
      <c r="O137" s="367">
        <v>0</v>
      </c>
      <c r="P137" s="367">
        <f>VLOOKUP($E137,Plan3!$A$492:$P$858,13,0)%</f>
        <v>0</v>
      </c>
      <c r="Q137" s="368">
        <f t="shared" si="72"/>
        <v>0</v>
      </c>
      <c r="R137" s="368">
        <f t="shared" si="73"/>
        <v>0</v>
      </c>
      <c r="S137" s="880">
        <v>1447.7614560000002</v>
      </c>
      <c r="T137" s="880">
        <f t="shared" si="74"/>
        <v>0</v>
      </c>
      <c r="U137" s="880">
        <f>IF($I137="",0,($S137-$T137)*(1+('Econômico Macro'!$R$12/100)))</f>
        <v>1472.8077291888003</v>
      </c>
      <c r="V137" s="880">
        <f t="shared" si="75"/>
        <v>1472.8077291888003</v>
      </c>
      <c r="W137" s="880">
        <f t="shared" si="76"/>
        <v>0</v>
      </c>
      <c r="X137" s="367">
        <f t="shared" si="51"/>
        <v>0</v>
      </c>
      <c r="Y137" s="367">
        <f t="shared" si="52"/>
        <v>0</v>
      </c>
      <c r="Z137" s="367">
        <f t="shared" si="53"/>
        <v>0</v>
      </c>
      <c r="AA137" s="367">
        <f t="shared" si="54"/>
        <v>0</v>
      </c>
      <c r="AB137" s="369" t="str">
        <f t="shared" si="55"/>
        <v>Não Iniciada</v>
      </c>
      <c r="AC137" s="365"/>
      <c r="AD137" s="368">
        <v>1</v>
      </c>
      <c r="AE137" s="368">
        <f t="shared" si="77"/>
        <v>-1</v>
      </c>
      <c r="AF137" s="365"/>
      <c r="AG137" s="863">
        <f t="shared" si="65"/>
        <v>0</v>
      </c>
      <c r="AH137" s="864">
        <f t="shared" si="78"/>
        <v>0</v>
      </c>
      <c r="AI137" s="863">
        <f t="shared" si="66"/>
        <v>0</v>
      </c>
      <c r="AJ137" s="864">
        <f t="shared" si="79"/>
        <v>0</v>
      </c>
      <c r="AK137" s="365"/>
      <c r="AL137" s="865">
        <f t="shared" si="67"/>
        <v>0</v>
      </c>
      <c r="AM137" s="866">
        <f t="shared" si="80"/>
        <v>0</v>
      </c>
      <c r="AN137" s="866">
        <f t="shared" si="81"/>
        <v>0</v>
      </c>
      <c r="AO137" s="866">
        <f t="shared" si="82"/>
        <v>0</v>
      </c>
      <c r="AP137" s="867">
        <f t="shared" si="83"/>
        <v>0</v>
      </c>
      <c r="AQ137" s="591">
        <f t="shared" si="68"/>
        <v>0</v>
      </c>
      <c r="AR137" s="868">
        <f>IF(AND($L137=0,$P137=0)=TRUE,VLOOKUP($E137,Plan3!$A$16:$CT$487,$E$7+3,0)/100,0)</f>
        <v>0</v>
      </c>
      <c r="AS137" s="868">
        <f>IF(AND($L137=0,$P137=0)=TRUE,VLOOKUP($E137,Plan3!$A$16:$CT$487,$E$7+6,0)/100,0)</f>
        <v>0</v>
      </c>
      <c r="AT137" s="868">
        <f>IF(AND($L137=0,$P137=0)=TRUE,VLOOKUP($E137,Plan3!$A$16:$CT$487,$E$7+9,0)/100,0)</f>
        <v>0</v>
      </c>
      <c r="AU137" s="868">
        <f>IF(AND($L137=0,$P137=0)=TRUE,VLOOKUP($E137,Plan3!$A$16:$CT$487,$E$7+12,0)/100,0)</f>
        <v>0</v>
      </c>
      <c r="AV137" s="841"/>
      <c r="AW137" s="869">
        <f t="shared" si="84"/>
        <v>0</v>
      </c>
      <c r="AX137" s="870">
        <f t="shared" si="85"/>
        <v>0</v>
      </c>
      <c r="AY137" s="871">
        <f t="shared" si="86"/>
        <v>0</v>
      </c>
      <c r="AZ137" s="237" t="str">
        <f t="shared" si="56"/>
        <v xml:space="preserve">09.003.002.001 </v>
      </c>
      <c r="BA137" s="365"/>
      <c r="BB137" s="365"/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872">
        <f t="shared" si="57"/>
        <v>0</v>
      </c>
      <c r="BM137" s="873">
        <f t="shared" si="58"/>
        <v>0</v>
      </c>
      <c r="BN137" s="874">
        <f t="shared" si="87"/>
        <v>0</v>
      </c>
      <c r="BO137" s="875">
        <f t="shared" si="59"/>
        <v>0</v>
      </c>
      <c r="BP137" s="875">
        <f t="shared" si="60"/>
        <v>0</v>
      </c>
      <c r="BQ137" s="876">
        <f t="shared" si="88"/>
        <v>0</v>
      </c>
      <c r="BR137" s="877">
        <f t="shared" si="89"/>
        <v>0</v>
      </c>
      <c r="BS137" s="875">
        <f t="shared" si="61"/>
        <v>0</v>
      </c>
      <c r="BT137" s="875">
        <f t="shared" si="62"/>
        <v>0</v>
      </c>
      <c r="BU137" s="878">
        <f t="shared" si="90"/>
        <v>0</v>
      </c>
      <c r="CE137" s="486">
        <v>126</v>
      </c>
    </row>
    <row r="138" spans="1:83" s="177" customFormat="1" ht="21.95" customHeight="1" x14ac:dyDescent="0.2">
      <c r="A138" s="237">
        <f t="shared" si="63"/>
        <v>0</v>
      </c>
      <c r="B138" s="237">
        <f t="shared" si="64"/>
        <v>0</v>
      </c>
      <c r="C138" s="393">
        <f t="shared" si="49"/>
        <v>0</v>
      </c>
      <c r="D138" s="393" t="str">
        <f t="shared" si="50"/>
        <v xml:space="preserve">09 </v>
      </c>
      <c r="E138" s="959" t="s">
        <v>2077</v>
      </c>
      <c r="F138" s="959" t="s">
        <v>2244</v>
      </c>
      <c r="G138" s="959" t="s">
        <v>15</v>
      </c>
      <c r="H138" s="965">
        <v>179.68</v>
      </c>
      <c r="I138" s="960">
        <v>4.1563999999999997</v>
      </c>
      <c r="J138" s="966">
        <v>746.82</v>
      </c>
      <c r="K138" s="367">
        <v>0</v>
      </c>
      <c r="L138" s="367">
        <f>IF($H138="",0,VLOOKUP($E138,Plan3!$A$16:$CT$384,$E$7,0)%)</f>
        <v>0</v>
      </c>
      <c r="M138" s="368">
        <f t="shared" si="70"/>
        <v>0</v>
      </c>
      <c r="N138" s="368">
        <f t="shared" si="71"/>
        <v>0</v>
      </c>
      <c r="O138" s="367">
        <v>0</v>
      </c>
      <c r="P138" s="367">
        <f>VLOOKUP($E138,Plan3!$A$492:$P$858,13,0)%</f>
        <v>0</v>
      </c>
      <c r="Q138" s="368">
        <f t="shared" si="72"/>
        <v>0</v>
      </c>
      <c r="R138" s="368">
        <f t="shared" si="73"/>
        <v>0</v>
      </c>
      <c r="S138" s="880">
        <v>755.48311200000012</v>
      </c>
      <c r="T138" s="880">
        <f t="shared" si="74"/>
        <v>0</v>
      </c>
      <c r="U138" s="880">
        <f>IF($I138="",0,($S138-$T138)*(1+('Econômico Macro'!$R$12/100)))</f>
        <v>768.55296983760024</v>
      </c>
      <c r="V138" s="880">
        <f t="shared" si="75"/>
        <v>768.55296983760024</v>
      </c>
      <c r="W138" s="880">
        <f t="shared" si="76"/>
        <v>0</v>
      </c>
      <c r="X138" s="367">
        <f t="shared" si="51"/>
        <v>0</v>
      </c>
      <c r="Y138" s="367">
        <f t="shared" si="52"/>
        <v>0</v>
      </c>
      <c r="Z138" s="367">
        <f t="shared" si="53"/>
        <v>0</v>
      </c>
      <c r="AA138" s="367">
        <f t="shared" si="54"/>
        <v>0</v>
      </c>
      <c r="AB138" s="369" t="str">
        <f t="shared" si="55"/>
        <v>Não Iniciada</v>
      </c>
      <c r="AC138" s="365"/>
      <c r="AD138" s="368">
        <v>1</v>
      </c>
      <c r="AE138" s="368">
        <f t="shared" si="77"/>
        <v>-1</v>
      </c>
      <c r="AF138" s="365"/>
      <c r="AG138" s="863">
        <f t="shared" si="65"/>
        <v>0</v>
      </c>
      <c r="AH138" s="864">
        <f t="shared" si="78"/>
        <v>0</v>
      </c>
      <c r="AI138" s="863">
        <f t="shared" si="66"/>
        <v>0</v>
      </c>
      <c r="AJ138" s="864">
        <f t="shared" si="79"/>
        <v>0</v>
      </c>
      <c r="AK138" s="365"/>
      <c r="AL138" s="865">
        <f t="shared" si="67"/>
        <v>0</v>
      </c>
      <c r="AM138" s="866">
        <f t="shared" si="80"/>
        <v>0</v>
      </c>
      <c r="AN138" s="866">
        <f t="shared" si="81"/>
        <v>0</v>
      </c>
      <c r="AO138" s="866">
        <f t="shared" si="82"/>
        <v>0</v>
      </c>
      <c r="AP138" s="867">
        <f t="shared" si="83"/>
        <v>0</v>
      </c>
      <c r="AQ138" s="591">
        <f t="shared" si="68"/>
        <v>0</v>
      </c>
      <c r="AR138" s="868">
        <f>IF(AND($L138=0,$P138=0)=TRUE,VLOOKUP($E138,Plan3!$A$16:$CT$487,$E$7+3,0)/100,0)</f>
        <v>0</v>
      </c>
      <c r="AS138" s="868">
        <f>IF(AND($L138=0,$P138=0)=TRUE,VLOOKUP($E138,Plan3!$A$16:$CT$487,$E$7+6,0)/100,0)</f>
        <v>0</v>
      </c>
      <c r="AT138" s="868">
        <f>IF(AND($L138=0,$P138=0)=TRUE,VLOOKUP($E138,Plan3!$A$16:$CT$487,$E$7+9,0)/100,0)</f>
        <v>0</v>
      </c>
      <c r="AU138" s="868">
        <f>IF(AND($L138=0,$P138=0)=TRUE,VLOOKUP($E138,Plan3!$A$16:$CT$487,$E$7+12,0)/100,0)</f>
        <v>0</v>
      </c>
      <c r="AV138" s="841"/>
      <c r="AW138" s="869">
        <f t="shared" si="84"/>
        <v>0</v>
      </c>
      <c r="AX138" s="870">
        <f t="shared" si="85"/>
        <v>0</v>
      </c>
      <c r="AY138" s="871">
        <f t="shared" si="86"/>
        <v>0</v>
      </c>
      <c r="AZ138" s="237" t="str">
        <f t="shared" si="56"/>
        <v xml:space="preserve">09.003.002.002 </v>
      </c>
      <c r="BA138" s="365"/>
      <c r="BB138" s="365"/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872">
        <f t="shared" si="57"/>
        <v>0</v>
      </c>
      <c r="BM138" s="873">
        <f t="shared" si="58"/>
        <v>0</v>
      </c>
      <c r="BN138" s="874">
        <f t="shared" si="87"/>
        <v>0</v>
      </c>
      <c r="BO138" s="875">
        <f t="shared" si="59"/>
        <v>0</v>
      </c>
      <c r="BP138" s="875">
        <f t="shared" si="60"/>
        <v>0</v>
      </c>
      <c r="BQ138" s="876">
        <f t="shared" si="88"/>
        <v>0</v>
      </c>
      <c r="BR138" s="877">
        <f t="shared" si="89"/>
        <v>0</v>
      </c>
      <c r="BS138" s="875">
        <f t="shared" si="61"/>
        <v>0</v>
      </c>
      <c r="BT138" s="875">
        <f t="shared" si="62"/>
        <v>0</v>
      </c>
      <c r="BU138" s="878">
        <f t="shared" si="90"/>
        <v>0</v>
      </c>
      <c r="CE138" s="486">
        <v>127</v>
      </c>
    </row>
    <row r="139" spans="1:83" s="177" customFormat="1" ht="21.95" customHeight="1" x14ac:dyDescent="0.2">
      <c r="A139" s="237">
        <f t="shared" si="63"/>
        <v>0</v>
      </c>
      <c r="B139" s="237">
        <f t="shared" si="64"/>
        <v>0</v>
      </c>
      <c r="C139" s="393">
        <f t="shared" si="49"/>
        <v>0</v>
      </c>
      <c r="D139" s="393" t="str">
        <f t="shared" si="50"/>
        <v xml:space="preserve">09 </v>
      </c>
      <c r="E139" s="959" t="s">
        <v>2078</v>
      </c>
      <c r="F139" s="959" t="s">
        <v>2245</v>
      </c>
      <c r="G139" s="959" t="s">
        <v>15</v>
      </c>
      <c r="H139" s="965">
        <v>193.4</v>
      </c>
      <c r="I139" s="960">
        <v>8.0670000000000002</v>
      </c>
      <c r="J139" s="964">
        <v>1560.16</v>
      </c>
      <c r="K139" s="367">
        <v>0</v>
      </c>
      <c r="L139" s="367">
        <f>IF($H139="",0,VLOOKUP($E139,Plan3!$A$16:$CT$384,$E$7,0)%)</f>
        <v>0</v>
      </c>
      <c r="M139" s="368">
        <f t="shared" si="70"/>
        <v>0</v>
      </c>
      <c r="N139" s="368">
        <f t="shared" si="71"/>
        <v>0</v>
      </c>
      <c r="O139" s="367">
        <v>0</v>
      </c>
      <c r="P139" s="367">
        <f>VLOOKUP($E139,Plan3!$A$492:$P$858,13,0)%</f>
        <v>0</v>
      </c>
      <c r="Q139" s="368">
        <f t="shared" si="72"/>
        <v>0</v>
      </c>
      <c r="R139" s="368">
        <f t="shared" si="73"/>
        <v>0</v>
      </c>
      <c r="S139" s="880">
        <v>1578.2578560000002</v>
      </c>
      <c r="T139" s="880">
        <f t="shared" si="74"/>
        <v>0</v>
      </c>
      <c r="U139" s="880">
        <f>IF($I139="",0,($S139-$T139)*(1+('Econômico Macro'!$R$12/100)))</f>
        <v>1605.5617169088002</v>
      </c>
      <c r="V139" s="880">
        <f t="shared" si="75"/>
        <v>1605.5617169088002</v>
      </c>
      <c r="W139" s="880">
        <f t="shared" si="76"/>
        <v>0</v>
      </c>
      <c r="X139" s="367">
        <f t="shared" si="51"/>
        <v>0</v>
      </c>
      <c r="Y139" s="367">
        <f t="shared" si="52"/>
        <v>0</v>
      </c>
      <c r="Z139" s="367">
        <f t="shared" si="53"/>
        <v>0</v>
      </c>
      <c r="AA139" s="367">
        <f t="shared" si="54"/>
        <v>0</v>
      </c>
      <c r="AB139" s="369" t="str">
        <f t="shared" si="55"/>
        <v>Não Iniciada</v>
      </c>
      <c r="AC139" s="365"/>
      <c r="AD139" s="368">
        <v>1</v>
      </c>
      <c r="AE139" s="368">
        <f t="shared" si="77"/>
        <v>-1</v>
      </c>
      <c r="AF139" s="365"/>
      <c r="AG139" s="863">
        <f t="shared" si="65"/>
        <v>0</v>
      </c>
      <c r="AH139" s="864">
        <f t="shared" si="78"/>
        <v>0</v>
      </c>
      <c r="AI139" s="863">
        <f t="shared" si="66"/>
        <v>0</v>
      </c>
      <c r="AJ139" s="864">
        <f t="shared" si="79"/>
        <v>0</v>
      </c>
      <c r="AK139" s="365"/>
      <c r="AL139" s="865">
        <f t="shared" si="67"/>
        <v>0</v>
      </c>
      <c r="AM139" s="866">
        <f t="shared" si="80"/>
        <v>0</v>
      </c>
      <c r="AN139" s="866">
        <f t="shared" si="81"/>
        <v>0</v>
      </c>
      <c r="AO139" s="866">
        <f t="shared" si="82"/>
        <v>0</v>
      </c>
      <c r="AP139" s="867">
        <f t="shared" si="83"/>
        <v>0</v>
      </c>
      <c r="AQ139" s="591">
        <f t="shared" si="68"/>
        <v>0</v>
      </c>
      <c r="AR139" s="868">
        <f>IF(AND($L139=0,$P139=0)=TRUE,VLOOKUP($E139,Plan3!$A$16:$CT$487,$E$7+3,0)/100,0)</f>
        <v>0</v>
      </c>
      <c r="AS139" s="868">
        <f>IF(AND($L139=0,$P139=0)=TRUE,VLOOKUP($E139,Plan3!$A$16:$CT$487,$E$7+6,0)/100,0)</f>
        <v>0</v>
      </c>
      <c r="AT139" s="868">
        <f>IF(AND($L139=0,$P139=0)=TRUE,VLOOKUP($E139,Plan3!$A$16:$CT$487,$E$7+9,0)/100,0)</f>
        <v>0</v>
      </c>
      <c r="AU139" s="868">
        <f>IF(AND($L139=0,$P139=0)=TRUE,VLOOKUP($E139,Plan3!$A$16:$CT$487,$E$7+12,0)/100,0)</f>
        <v>0</v>
      </c>
      <c r="AV139" s="841"/>
      <c r="AW139" s="869">
        <f t="shared" si="84"/>
        <v>0</v>
      </c>
      <c r="AX139" s="870">
        <f t="shared" si="85"/>
        <v>0</v>
      </c>
      <c r="AY139" s="871">
        <f t="shared" si="86"/>
        <v>0</v>
      </c>
      <c r="AZ139" s="237" t="str">
        <f t="shared" si="56"/>
        <v xml:space="preserve">09.003.002.003 </v>
      </c>
      <c r="BA139" s="365"/>
      <c r="BB139" s="365"/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872">
        <f t="shared" si="57"/>
        <v>0</v>
      </c>
      <c r="BM139" s="873">
        <f t="shared" si="58"/>
        <v>0</v>
      </c>
      <c r="BN139" s="874">
        <f t="shared" si="87"/>
        <v>0</v>
      </c>
      <c r="BO139" s="875">
        <f t="shared" si="59"/>
        <v>0</v>
      </c>
      <c r="BP139" s="875">
        <f t="shared" si="60"/>
        <v>0</v>
      </c>
      <c r="BQ139" s="876">
        <f t="shared" si="88"/>
        <v>0</v>
      </c>
      <c r="BR139" s="877">
        <f t="shared" si="89"/>
        <v>0</v>
      </c>
      <c r="BS139" s="875">
        <f t="shared" si="61"/>
        <v>0</v>
      </c>
      <c r="BT139" s="875">
        <f t="shared" si="62"/>
        <v>0</v>
      </c>
      <c r="BU139" s="878">
        <f t="shared" si="90"/>
        <v>0</v>
      </c>
      <c r="CE139" s="486">
        <v>128</v>
      </c>
    </row>
    <row r="140" spans="1:83" s="177" customFormat="1" ht="21.95" customHeight="1" x14ac:dyDescent="0.2">
      <c r="A140" s="237">
        <f t="shared" si="63"/>
        <v>0</v>
      </c>
      <c r="B140" s="237">
        <f t="shared" si="64"/>
        <v>0</v>
      </c>
      <c r="C140" s="393">
        <f t="shared" si="49"/>
        <v>0</v>
      </c>
      <c r="D140" s="393" t="str">
        <f t="shared" si="50"/>
        <v xml:space="preserve">09 </v>
      </c>
      <c r="E140" s="959" t="s">
        <v>2079</v>
      </c>
      <c r="F140" s="959" t="s">
        <v>1431</v>
      </c>
      <c r="G140" s="959" t="s">
        <v>15</v>
      </c>
      <c r="H140" s="965">
        <v>606.85</v>
      </c>
      <c r="I140" s="970">
        <v>13.1</v>
      </c>
      <c r="J140" s="964">
        <v>7949.74</v>
      </c>
      <c r="K140" s="367">
        <v>0</v>
      </c>
      <c r="L140" s="367">
        <f>IF($H140="",0,VLOOKUP($E140,Plan3!$A$16:$CT$384,$E$7,0)%)</f>
        <v>0</v>
      </c>
      <c r="M140" s="368">
        <f t="shared" si="70"/>
        <v>0</v>
      </c>
      <c r="N140" s="368">
        <f t="shared" si="71"/>
        <v>0</v>
      </c>
      <c r="O140" s="367">
        <v>0</v>
      </c>
      <c r="P140" s="367">
        <f>VLOOKUP($E140,Plan3!$A$492:$P$858,13,0)%</f>
        <v>0</v>
      </c>
      <c r="Q140" s="368">
        <f t="shared" si="72"/>
        <v>0</v>
      </c>
      <c r="R140" s="368">
        <f t="shared" si="73"/>
        <v>0</v>
      </c>
      <c r="S140" s="880">
        <v>8041.9569840000004</v>
      </c>
      <c r="T140" s="880">
        <f t="shared" si="74"/>
        <v>0</v>
      </c>
      <c r="U140" s="880">
        <f>IF($I140="",0,($S140-$T140)*(1+('Econômico Macro'!$R$12/100)))</f>
        <v>8181.0828398232015</v>
      </c>
      <c r="V140" s="880">
        <f t="shared" si="75"/>
        <v>8181.0828398232015</v>
      </c>
      <c r="W140" s="880">
        <f t="shared" si="76"/>
        <v>0</v>
      </c>
      <c r="X140" s="367">
        <f t="shared" si="51"/>
        <v>0</v>
      </c>
      <c r="Y140" s="367">
        <f t="shared" si="52"/>
        <v>0</v>
      </c>
      <c r="Z140" s="367">
        <f t="shared" si="53"/>
        <v>0</v>
      </c>
      <c r="AA140" s="367">
        <f t="shared" si="54"/>
        <v>0</v>
      </c>
      <c r="AB140" s="369" t="str">
        <f t="shared" si="55"/>
        <v>Não Iniciada</v>
      </c>
      <c r="AC140" s="365"/>
      <c r="AD140" s="368">
        <v>1</v>
      </c>
      <c r="AE140" s="368">
        <f t="shared" si="77"/>
        <v>-1</v>
      </c>
      <c r="AF140" s="365"/>
      <c r="AG140" s="863">
        <f t="shared" si="65"/>
        <v>0</v>
      </c>
      <c r="AH140" s="864">
        <f t="shared" si="78"/>
        <v>0</v>
      </c>
      <c r="AI140" s="863">
        <f t="shared" si="66"/>
        <v>0</v>
      </c>
      <c r="AJ140" s="864">
        <f t="shared" si="79"/>
        <v>0</v>
      </c>
      <c r="AK140" s="365"/>
      <c r="AL140" s="865">
        <f t="shared" si="67"/>
        <v>0</v>
      </c>
      <c r="AM140" s="866">
        <f t="shared" si="80"/>
        <v>0</v>
      </c>
      <c r="AN140" s="866">
        <f t="shared" si="81"/>
        <v>0</v>
      </c>
      <c r="AO140" s="866">
        <f t="shared" si="82"/>
        <v>0</v>
      </c>
      <c r="AP140" s="867">
        <f t="shared" si="83"/>
        <v>0</v>
      </c>
      <c r="AQ140" s="591">
        <f t="shared" si="68"/>
        <v>0</v>
      </c>
      <c r="AR140" s="868">
        <f>IF(AND($L140=0,$P140=0)=TRUE,VLOOKUP($E140,Plan3!$A$16:$CT$487,$E$7+3,0)/100,0)</f>
        <v>0</v>
      </c>
      <c r="AS140" s="868">
        <f>IF(AND($L140=0,$P140=0)=TRUE,VLOOKUP($E140,Plan3!$A$16:$CT$487,$E$7+6,0)/100,0)</f>
        <v>0</v>
      </c>
      <c r="AT140" s="868">
        <f>IF(AND($L140=0,$P140=0)=TRUE,VLOOKUP($E140,Plan3!$A$16:$CT$487,$E$7+9,0)/100,0)</f>
        <v>0</v>
      </c>
      <c r="AU140" s="868">
        <f>IF(AND($L140=0,$P140=0)=TRUE,VLOOKUP($E140,Plan3!$A$16:$CT$487,$E$7+12,0)/100,0)</f>
        <v>0</v>
      </c>
      <c r="AV140" s="841"/>
      <c r="AW140" s="869">
        <f t="shared" si="84"/>
        <v>0</v>
      </c>
      <c r="AX140" s="870">
        <f t="shared" si="85"/>
        <v>0</v>
      </c>
      <c r="AY140" s="871">
        <f t="shared" si="86"/>
        <v>0</v>
      </c>
      <c r="AZ140" s="237" t="str">
        <f t="shared" si="56"/>
        <v xml:space="preserve">09.003.002.004 </v>
      </c>
      <c r="BA140" s="365"/>
      <c r="BB140" s="365"/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872">
        <f t="shared" si="57"/>
        <v>0</v>
      </c>
      <c r="BM140" s="873">
        <f t="shared" si="58"/>
        <v>0</v>
      </c>
      <c r="BN140" s="874">
        <f t="shared" si="87"/>
        <v>0</v>
      </c>
      <c r="BO140" s="875">
        <f t="shared" si="59"/>
        <v>0</v>
      </c>
      <c r="BP140" s="875">
        <f t="shared" si="60"/>
        <v>0</v>
      </c>
      <c r="BQ140" s="876">
        <f t="shared" si="88"/>
        <v>0</v>
      </c>
      <c r="BR140" s="877">
        <f t="shared" si="89"/>
        <v>0</v>
      </c>
      <c r="BS140" s="875">
        <f t="shared" si="61"/>
        <v>0</v>
      </c>
      <c r="BT140" s="875">
        <f t="shared" si="62"/>
        <v>0</v>
      </c>
      <c r="BU140" s="878">
        <f t="shared" si="90"/>
        <v>0</v>
      </c>
      <c r="CE140" s="486">
        <v>129</v>
      </c>
    </row>
    <row r="141" spans="1:83" s="177" customFormat="1" ht="21.95" customHeight="1" x14ac:dyDescent="0.2">
      <c r="A141" s="237">
        <f t="shared" si="63"/>
        <v>0</v>
      </c>
      <c r="B141" s="237">
        <f t="shared" si="64"/>
        <v>0</v>
      </c>
      <c r="C141" s="393">
        <f t="shared" ref="C141:C204" si="94">IF($D141=$D140,0,$D141)</f>
        <v>0</v>
      </c>
      <c r="D141" s="393" t="str">
        <f t="shared" ref="D141:D204" si="95">IF(LEFT($E141,3)=$E141,$E141,LEFT($D140,2)&amp;" ")</f>
        <v xml:space="preserve">09 </v>
      </c>
      <c r="E141" s="967" t="s">
        <v>2080</v>
      </c>
      <c r="F141" s="967" t="s">
        <v>1433</v>
      </c>
      <c r="G141" s="967"/>
      <c r="H141" s="968"/>
      <c r="I141" s="968"/>
      <c r="J141" s="974">
        <v>7630.36</v>
      </c>
      <c r="K141" s="367">
        <v>0</v>
      </c>
      <c r="L141" s="367">
        <f>IF($H141="",0,VLOOKUP($E141,Plan3!$A$16:$CT$384,$E$7,0)%)</f>
        <v>0</v>
      </c>
      <c r="M141" s="368">
        <f t="shared" si="70"/>
        <v>0</v>
      </c>
      <c r="N141" s="368">
        <f t="shared" si="71"/>
        <v>0</v>
      </c>
      <c r="O141" s="367">
        <v>0</v>
      </c>
      <c r="P141" s="367">
        <f>VLOOKUP($E141,Plan3!$A$492:$P$858,13,0)%</f>
        <v>0</v>
      </c>
      <c r="Q141" s="368">
        <f t="shared" si="72"/>
        <v>0</v>
      </c>
      <c r="R141" s="368">
        <f t="shared" si="73"/>
        <v>0</v>
      </c>
      <c r="S141" s="880">
        <v>0</v>
      </c>
      <c r="T141" s="880">
        <f t="shared" si="74"/>
        <v>0</v>
      </c>
      <c r="U141" s="880">
        <f>IF($I141="",0,($S141-$T141)*(1+('Econômico Macro'!$R$12/100)))</f>
        <v>0</v>
      </c>
      <c r="V141" s="880">
        <f t="shared" si="75"/>
        <v>0</v>
      </c>
      <c r="W141" s="880">
        <f t="shared" si="76"/>
        <v>0</v>
      </c>
      <c r="X141" s="367">
        <f t="shared" ref="X141:X204" si="96">$L141-$K141</f>
        <v>0</v>
      </c>
      <c r="Y141" s="367">
        <f t="shared" ref="Y141:Y204" si="97">$P141-$O141</f>
        <v>0</v>
      </c>
      <c r="Z141" s="367">
        <f t="shared" ref="Z141:Z204" si="98">$P141-$L141</f>
        <v>0</v>
      </c>
      <c r="AA141" s="367">
        <f t="shared" ref="AA141:AA204" si="99">$Y141-$X141</f>
        <v>0</v>
      </c>
      <c r="AB141" s="369" t="str">
        <f t="shared" ref="AB141:AB204" si="100">IF($Z141&lt;0,"Atrasada",IF($Z141&gt;0,"Adiantada",IF($P141=0,"Não Iniciada",0)))</f>
        <v>Não Iniciada</v>
      </c>
      <c r="AC141" s="365"/>
      <c r="AD141" s="368">
        <v>1</v>
      </c>
      <c r="AE141" s="368">
        <f t="shared" si="77"/>
        <v>-1</v>
      </c>
      <c r="AF141" s="365"/>
      <c r="AG141" s="863">
        <f t="shared" si="65"/>
        <v>0</v>
      </c>
      <c r="AH141" s="864">
        <f t="shared" si="78"/>
        <v>0</v>
      </c>
      <c r="AI141" s="863">
        <f t="shared" si="66"/>
        <v>0</v>
      </c>
      <c r="AJ141" s="864">
        <f t="shared" si="79"/>
        <v>0</v>
      </c>
      <c r="AK141" s="365"/>
      <c r="AL141" s="865">
        <f t="shared" si="67"/>
        <v>0</v>
      </c>
      <c r="AM141" s="866">
        <f t="shared" si="80"/>
        <v>0</v>
      </c>
      <c r="AN141" s="866">
        <f t="shared" si="81"/>
        <v>0</v>
      </c>
      <c r="AO141" s="866">
        <f t="shared" si="82"/>
        <v>0</v>
      </c>
      <c r="AP141" s="867">
        <f t="shared" si="83"/>
        <v>0</v>
      </c>
      <c r="AQ141" s="591"/>
      <c r="AR141" s="868"/>
      <c r="AS141" s="868"/>
      <c r="AT141" s="868"/>
      <c r="AU141" s="868"/>
      <c r="AV141" s="841"/>
      <c r="AW141" s="869"/>
      <c r="AX141" s="870"/>
      <c r="AY141" s="871"/>
      <c r="AZ141" s="237" t="str">
        <f t="shared" ref="AZ141:AZ204" si="101">$E141</f>
        <v xml:space="preserve">09.003.003 </v>
      </c>
      <c r="BA141" s="365"/>
      <c r="BB141" s="365"/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872">
        <f t="shared" ref="BL141:BL204" si="102">IF($D141=$D140,0,$D141)</f>
        <v>0</v>
      </c>
      <c r="BM141" s="873">
        <f t="shared" ref="BM141:BM204" si="103">IF($AC141="s",$R141,0)</f>
        <v>0</v>
      </c>
      <c r="BN141" s="874">
        <f t="shared" si="87"/>
        <v>0</v>
      </c>
      <c r="BO141" s="875">
        <f t="shared" ref="BO141:BO204" si="104">IF(OR($BN141=0,$BN141=0),0,$BL141)</f>
        <v>0</v>
      </c>
      <c r="BP141" s="875">
        <f t="shared" ref="BP141:BP204" si="105">IF($AC141&lt;&gt;"S",0,IF($N141-$R141&lt;0,0,$R141-$N141))</f>
        <v>0</v>
      </c>
      <c r="BQ141" s="876">
        <f t="shared" si="88"/>
        <v>0</v>
      </c>
      <c r="BR141" s="877">
        <f t="shared" si="89"/>
        <v>0</v>
      </c>
      <c r="BS141" s="875">
        <f t="shared" ref="BS141:BS204" si="106">IF(OR($BR141=0,$BR141=0),0,$BL141)</f>
        <v>0</v>
      </c>
      <c r="BT141" s="875">
        <f t="shared" ref="BT141:BT204" si="107">IF($AC141&lt;&gt;"S",0,IF($N141-$R141&gt;0,0,$R141-$N141))</f>
        <v>0</v>
      </c>
      <c r="BU141" s="878">
        <f t="shared" si="90"/>
        <v>0</v>
      </c>
      <c r="CE141" s="486">
        <v>130</v>
      </c>
    </row>
    <row r="142" spans="1:83" s="177" customFormat="1" ht="21.95" customHeight="1" x14ac:dyDescent="0.2">
      <c r="A142" s="237">
        <f t="shared" ref="A142:A205" si="108">AJ142</f>
        <v>0</v>
      </c>
      <c r="B142" s="237">
        <f t="shared" ref="B142:B205" si="109">AH142</f>
        <v>0</v>
      </c>
      <c r="C142" s="393">
        <f t="shared" si="94"/>
        <v>0</v>
      </c>
      <c r="D142" s="393" t="str">
        <f t="shared" si="95"/>
        <v xml:space="preserve">09 </v>
      </c>
      <c r="E142" s="959" t="s">
        <v>2081</v>
      </c>
      <c r="F142" s="959" t="s">
        <v>2085</v>
      </c>
      <c r="G142" s="959" t="s">
        <v>90</v>
      </c>
      <c r="H142" s="965">
        <v>712.77</v>
      </c>
      <c r="I142" s="960">
        <v>7.9899999999999999E-2</v>
      </c>
      <c r="J142" s="976">
        <v>56.95</v>
      </c>
      <c r="K142" s="367">
        <v>0</v>
      </c>
      <c r="L142" s="367">
        <f>IF($H142="",0,VLOOKUP($E142,Plan3!$A$16:$CT$384,$E$7,0)%)</f>
        <v>0</v>
      </c>
      <c r="M142" s="368">
        <f t="shared" si="70"/>
        <v>0</v>
      </c>
      <c r="N142" s="368">
        <f t="shared" si="71"/>
        <v>0</v>
      </c>
      <c r="O142" s="367">
        <v>0</v>
      </c>
      <c r="P142" s="367">
        <f>VLOOKUP($E142,Plan3!$A$492:$P$858,13,0)%</f>
        <v>0</v>
      </c>
      <c r="Q142" s="368">
        <f t="shared" si="72"/>
        <v>0</v>
      </c>
      <c r="R142" s="368">
        <f t="shared" si="73"/>
        <v>0</v>
      </c>
      <c r="S142" s="880">
        <v>57.610620000000004</v>
      </c>
      <c r="T142" s="880">
        <f t="shared" si="74"/>
        <v>0</v>
      </c>
      <c r="U142" s="880">
        <f>IF($I142="",0,($S142-$T142)*(1+('Econômico Macro'!$R$12/100)))</f>
        <v>58.607283726000013</v>
      </c>
      <c r="V142" s="880">
        <f t="shared" si="75"/>
        <v>58.607283726000013</v>
      </c>
      <c r="W142" s="880">
        <f t="shared" si="76"/>
        <v>0</v>
      </c>
      <c r="X142" s="367">
        <f t="shared" si="96"/>
        <v>0</v>
      </c>
      <c r="Y142" s="367">
        <f t="shared" si="97"/>
        <v>0</v>
      </c>
      <c r="Z142" s="367">
        <f t="shared" si="98"/>
        <v>0</v>
      </c>
      <c r="AA142" s="367">
        <f t="shared" si="99"/>
        <v>0</v>
      </c>
      <c r="AB142" s="369" t="str">
        <f t="shared" si="100"/>
        <v>Não Iniciada</v>
      </c>
      <c r="AC142" s="365"/>
      <c r="AD142" s="368">
        <v>1</v>
      </c>
      <c r="AE142" s="368">
        <f t="shared" si="77"/>
        <v>-1</v>
      </c>
      <c r="AF142" s="365"/>
      <c r="AG142" s="863">
        <f t="shared" ref="AG142:AG205" si="110">IF($AB142="Não Iniciada",+$AM142,IF($Z142&lt;1,$AM142,0))</f>
        <v>0</v>
      </c>
      <c r="AH142" s="864">
        <f t="shared" si="78"/>
        <v>0</v>
      </c>
      <c r="AI142" s="863">
        <f t="shared" ref="AI142:AI205" si="111">IF($AB142="Não Iniciada",0,IF($AO142=0,0,IF($AO142=0,0,$AO142)))</f>
        <v>0</v>
      </c>
      <c r="AJ142" s="864">
        <f t="shared" si="79"/>
        <v>0</v>
      </c>
      <c r="AK142" s="365"/>
      <c r="AL142" s="865">
        <f t="shared" ref="AL142:AL205" si="112">$R142</f>
        <v>0</v>
      </c>
      <c r="AM142" s="866">
        <f t="shared" si="80"/>
        <v>0</v>
      </c>
      <c r="AN142" s="866">
        <f t="shared" si="81"/>
        <v>0</v>
      </c>
      <c r="AO142" s="866">
        <f t="shared" si="82"/>
        <v>0</v>
      </c>
      <c r="AP142" s="867">
        <f t="shared" si="83"/>
        <v>0</v>
      </c>
      <c r="AQ142" s="591">
        <f t="shared" ref="AQ142:AQ205" si="113">$AY142</f>
        <v>0</v>
      </c>
      <c r="AR142" s="868">
        <f>IF(AND($L142=0,$P142=0)=TRUE,VLOOKUP($E142,Plan3!$A$16:$CT$487,$E$7+3,0)/100,0)</f>
        <v>0</v>
      </c>
      <c r="AS142" s="868">
        <f>IF(AND($L142=0,$P142=0)=TRUE,VLOOKUP($E142,Plan3!$A$16:$CT$487,$E$7+6,0)/100,0)</f>
        <v>0</v>
      </c>
      <c r="AT142" s="868">
        <f>IF(AND($L142=0,$P142=0)=TRUE,VLOOKUP($E142,Plan3!$A$16:$CT$487,$E$7+9,0)/100,0)</f>
        <v>0</v>
      </c>
      <c r="AU142" s="868">
        <f>IF(AND($L142=0,$P142=0)=TRUE,VLOOKUP($E142,Plan3!$A$16:$CT$487,$E$7+12,0)/100,0)</f>
        <v>0</v>
      </c>
      <c r="AV142" s="841"/>
      <c r="AW142" s="869">
        <f t="shared" si="84"/>
        <v>0</v>
      </c>
      <c r="AX142" s="870">
        <f t="shared" si="85"/>
        <v>0</v>
      </c>
      <c r="AY142" s="871">
        <f t="shared" si="86"/>
        <v>0</v>
      </c>
      <c r="AZ142" s="237" t="str">
        <f t="shared" si="101"/>
        <v xml:space="preserve">09.003.003.001 </v>
      </c>
      <c r="BA142" s="365"/>
      <c r="BB142" s="365"/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872">
        <f t="shared" si="102"/>
        <v>0</v>
      </c>
      <c r="BM142" s="873">
        <f t="shared" si="103"/>
        <v>0</v>
      </c>
      <c r="BN142" s="874">
        <f t="shared" si="87"/>
        <v>0</v>
      </c>
      <c r="BO142" s="875">
        <f t="shared" si="104"/>
        <v>0</v>
      </c>
      <c r="BP142" s="875">
        <f t="shared" si="105"/>
        <v>0</v>
      </c>
      <c r="BQ142" s="876">
        <f t="shared" si="88"/>
        <v>0</v>
      </c>
      <c r="BR142" s="877">
        <f t="shared" si="89"/>
        <v>0</v>
      </c>
      <c r="BS142" s="875">
        <f t="shared" si="106"/>
        <v>0</v>
      </c>
      <c r="BT142" s="875">
        <f t="shared" si="107"/>
        <v>0</v>
      </c>
      <c r="BU142" s="878">
        <f t="shared" si="90"/>
        <v>0</v>
      </c>
      <c r="CE142" s="486">
        <v>131</v>
      </c>
    </row>
    <row r="143" spans="1:83" s="177" customFormat="1" ht="21.95" customHeight="1" x14ac:dyDescent="0.2">
      <c r="A143" s="237">
        <f t="shared" si="108"/>
        <v>0</v>
      </c>
      <c r="B143" s="237">
        <f t="shared" si="109"/>
        <v>0</v>
      </c>
      <c r="C143" s="393">
        <f t="shared" si="94"/>
        <v>0</v>
      </c>
      <c r="D143" s="393" t="str">
        <f t="shared" si="95"/>
        <v xml:space="preserve">09 </v>
      </c>
      <c r="E143" s="959" t="s">
        <v>2083</v>
      </c>
      <c r="F143" s="959" t="s">
        <v>1960</v>
      </c>
      <c r="G143" s="959" t="s">
        <v>90</v>
      </c>
      <c r="H143" s="965">
        <v>697.5</v>
      </c>
      <c r="I143" s="960">
        <v>0.11749999999999999</v>
      </c>
      <c r="J143" s="976">
        <v>81.96</v>
      </c>
      <c r="K143" s="367">
        <v>0</v>
      </c>
      <c r="L143" s="367">
        <f>IF($H143="",0,VLOOKUP($E143,Plan3!$A$16:$CT$384,$E$7,0)%)</f>
        <v>0</v>
      </c>
      <c r="M143" s="368">
        <f t="shared" ref="M143:M206" si="114">$L143*$H143</f>
        <v>0</v>
      </c>
      <c r="N143" s="368">
        <f t="shared" ref="N143:N206" si="115">$L143*$J143</f>
        <v>0</v>
      </c>
      <c r="O143" s="367">
        <v>0</v>
      </c>
      <c r="P143" s="367">
        <f>VLOOKUP($E143,Plan3!$A$492:$P$858,13,0)%</f>
        <v>0</v>
      </c>
      <c r="Q143" s="368">
        <f t="shared" ref="Q143:Q206" si="116">$P143*$H143</f>
        <v>0</v>
      </c>
      <c r="R143" s="368">
        <f t="shared" ref="R143:R206" si="117">$P143*$J143</f>
        <v>0</v>
      </c>
      <c r="S143" s="880">
        <v>82.910736</v>
      </c>
      <c r="T143" s="880">
        <f t="shared" ref="T143:T206" si="118">$S143*$P143</f>
        <v>0</v>
      </c>
      <c r="U143" s="880">
        <f>IF($I143="",0,($S143-$T143)*(1+('Econômico Macro'!$R$12/100)))</f>
        <v>84.345091732800014</v>
      </c>
      <c r="V143" s="880">
        <f t="shared" ref="V143:V206" si="119">$U143+$T143</f>
        <v>84.345091732800014</v>
      </c>
      <c r="W143" s="880">
        <f t="shared" ref="W143:W206" si="120">V143*L143</f>
        <v>0</v>
      </c>
      <c r="X143" s="367">
        <f t="shared" si="96"/>
        <v>0</v>
      </c>
      <c r="Y143" s="367">
        <f t="shared" si="97"/>
        <v>0</v>
      </c>
      <c r="Z143" s="367">
        <f t="shared" si="98"/>
        <v>0</v>
      </c>
      <c r="AA143" s="367">
        <f t="shared" si="99"/>
        <v>0</v>
      </c>
      <c r="AB143" s="369" t="str">
        <f t="shared" si="100"/>
        <v>Não Iniciada</v>
      </c>
      <c r="AC143" s="365"/>
      <c r="AD143" s="368">
        <v>1</v>
      </c>
      <c r="AE143" s="368">
        <f t="shared" ref="AE143:AE206" si="121">Q143-AD143</f>
        <v>-1</v>
      </c>
      <c r="AF143" s="365"/>
      <c r="AG143" s="863">
        <f t="shared" si="110"/>
        <v>0</v>
      </c>
      <c r="AH143" s="864">
        <f t="shared" ref="AH143:AH206" si="122">IF($AN143=0,0,RANK($AN143,$AN$13:$AN$379))</f>
        <v>0</v>
      </c>
      <c r="AI143" s="863">
        <f t="shared" si="111"/>
        <v>0</v>
      </c>
      <c r="AJ143" s="864">
        <f t="shared" ref="AJ143:AJ206" si="123">IF($AP143=0,0,RANK($AP143,$AP$13:$AP$379))</f>
        <v>0</v>
      </c>
      <c r="AK143" s="365"/>
      <c r="AL143" s="865">
        <f t="shared" si="112"/>
        <v>0</v>
      </c>
      <c r="AM143" s="866">
        <f t="shared" ref="AM143:AM206" si="124">IF($H143="",0,IF(+$N143-$AL143&lt;0,0,+$AL143-$N143))</f>
        <v>0</v>
      </c>
      <c r="AN143" s="866">
        <f t="shared" ref="AN143:AN206" si="125">IF($AM143=0,0,$AM143/$AM$380)</f>
        <v>0</v>
      </c>
      <c r="AO143" s="866">
        <f t="shared" ref="AO143:AO206" si="126">IF($H143="",0,IF($Z143*1000&lt;1,0,IF(+$N143-$R143&gt;0,0,+$R143-$N143)))</f>
        <v>0</v>
      </c>
      <c r="AP143" s="867">
        <f t="shared" ref="AP143:AP206" si="127">IF($AO143=0,0,$AO143/$AO$380)</f>
        <v>0</v>
      </c>
      <c r="AQ143" s="591">
        <f t="shared" si="113"/>
        <v>0</v>
      </c>
      <c r="AR143" s="868">
        <f>IF(AND($L143=0,$P143=0)=TRUE,VLOOKUP($E143,Plan3!$A$16:$CT$487,$E$7+3,0)/100,0)</f>
        <v>0</v>
      </c>
      <c r="AS143" s="868">
        <f>IF(AND($L143=0,$P143=0)=TRUE,VLOOKUP($E143,Plan3!$A$16:$CT$487,$E$7+6,0)/100,0)</f>
        <v>0</v>
      </c>
      <c r="AT143" s="868">
        <f>IF(AND($L143=0,$P143=0)=TRUE,VLOOKUP($E143,Plan3!$A$16:$CT$487,$E$7+9,0)/100,0)</f>
        <v>0</v>
      </c>
      <c r="AU143" s="868">
        <f>IF(AND($L143=0,$P143=0)=TRUE,VLOOKUP($E143,Plan3!$A$16:$CT$487,$E$7+12,0)/100,0)</f>
        <v>0</v>
      </c>
      <c r="AV143" s="841"/>
      <c r="AW143" s="869">
        <f t="shared" ref="AW143:AW205" si="128">IF(MAX($AR143:$AU143)=0,0,MAX($AR143:$AU143)*$J143)</f>
        <v>0</v>
      </c>
      <c r="AX143" s="870">
        <f t="shared" ref="AX143:AX205" si="129">IF($AW143=0,0,$AW143/$AW$380)</f>
        <v>0</v>
      </c>
      <c r="AY143" s="871">
        <f t="shared" ref="AY143:AY205" si="130">IF($AX143=0,0,RANK($AX143,$AX$14:$AX$379))</f>
        <v>0</v>
      </c>
      <c r="AZ143" s="237" t="str">
        <f t="shared" si="101"/>
        <v xml:space="preserve">09.003.003.002 </v>
      </c>
      <c r="BA143" s="365"/>
      <c r="BB143" s="365"/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872">
        <f t="shared" si="102"/>
        <v>0</v>
      </c>
      <c r="BM143" s="873">
        <f t="shared" si="103"/>
        <v>0</v>
      </c>
      <c r="BN143" s="874">
        <f t="shared" ref="BN143:BN206" si="131">IF($BQ143=0,0,RANK($BQ143,$BQ$12:$BQ$379))</f>
        <v>0</v>
      </c>
      <c r="BO143" s="875">
        <f t="shared" si="104"/>
        <v>0</v>
      </c>
      <c r="BP143" s="875">
        <f t="shared" si="105"/>
        <v>0</v>
      </c>
      <c r="BQ143" s="876">
        <f t="shared" ref="BQ143:BQ206" si="132">IF($BP143=0,0,$BP143/$BP$380)</f>
        <v>0</v>
      </c>
      <c r="BR143" s="877">
        <f t="shared" ref="BR143:BR206" si="133">IF($BU143=0,0,RANK($BU143,$BU$12:$BU$379))</f>
        <v>0</v>
      </c>
      <c r="BS143" s="875">
        <f t="shared" si="106"/>
        <v>0</v>
      </c>
      <c r="BT143" s="875">
        <f t="shared" si="107"/>
        <v>0</v>
      </c>
      <c r="BU143" s="878">
        <f t="shared" ref="BU143:BU206" si="134">IF($BT143=0,0,$BT143/$BT$380)</f>
        <v>0</v>
      </c>
      <c r="CE143" s="486">
        <v>132</v>
      </c>
    </row>
    <row r="144" spans="1:83" s="177" customFormat="1" ht="21.95" customHeight="1" x14ac:dyDescent="0.2">
      <c r="A144" s="237">
        <f t="shared" si="108"/>
        <v>0</v>
      </c>
      <c r="B144" s="237">
        <f t="shared" si="109"/>
        <v>0</v>
      </c>
      <c r="C144" s="393">
        <f t="shared" si="94"/>
        <v>0</v>
      </c>
      <c r="D144" s="393" t="str">
        <f t="shared" si="95"/>
        <v xml:space="preserve">09 </v>
      </c>
      <c r="E144" s="959" t="s">
        <v>2084</v>
      </c>
      <c r="F144" s="959" t="s">
        <v>2082</v>
      </c>
      <c r="G144" s="959" t="s">
        <v>90</v>
      </c>
      <c r="H144" s="970">
        <v>29.08</v>
      </c>
      <c r="I144" s="960">
        <v>0.23499999999999999</v>
      </c>
      <c r="J144" s="973">
        <v>6.83</v>
      </c>
      <c r="K144" s="367">
        <v>0</v>
      </c>
      <c r="L144" s="367">
        <f>IF($H144="",0,VLOOKUP($E144,Plan3!$A$16:$CT$384,$E$7,0)%)</f>
        <v>0</v>
      </c>
      <c r="M144" s="368">
        <f t="shared" si="114"/>
        <v>0</v>
      </c>
      <c r="N144" s="368">
        <f t="shared" si="115"/>
        <v>0</v>
      </c>
      <c r="O144" s="367">
        <v>0</v>
      </c>
      <c r="P144" s="367">
        <f>VLOOKUP($E144,Plan3!$A$492:$P$858,13,0)%</f>
        <v>0</v>
      </c>
      <c r="Q144" s="368">
        <f t="shared" si="116"/>
        <v>0</v>
      </c>
      <c r="R144" s="368">
        <f t="shared" si="117"/>
        <v>0</v>
      </c>
      <c r="S144" s="880">
        <v>6.9092280000000006</v>
      </c>
      <c r="T144" s="880">
        <f t="shared" si="118"/>
        <v>0</v>
      </c>
      <c r="U144" s="880">
        <f>IF($I144="",0,($S144-$T144)*(1+('Econômico Macro'!$R$12/100)))</f>
        <v>7.0287576444000015</v>
      </c>
      <c r="V144" s="880">
        <f t="shared" si="119"/>
        <v>7.0287576444000015</v>
      </c>
      <c r="W144" s="880">
        <f t="shared" si="120"/>
        <v>0</v>
      </c>
      <c r="X144" s="367">
        <f t="shared" si="96"/>
        <v>0</v>
      </c>
      <c r="Y144" s="367">
        <f t="shared" si="97"/>
        <v>0</v>
      </c>
      <c r="Z144" s="367">
        <f t="shared" si="98"/>
        <v>0</v>
      </c>
      <c r="AA144" s="367">
        <f t="shared" si="99"/>
        <v>0</v>
      </c>
      <c r="AB144" s="369" t="str">
        <f t="shared" si="100"/>
        <v>Não Iniciada</v>
      </c>
      <c r="AC144" s="365"/>
      <c r="AD144" s="368">
        <v>1</v>
      </c>
      <c r="AE144" s="368">
        <f t="shared" si="121"/>
        <v>-1</v>
      </c>
      <c r="AF144" s="365"/>
      <c r="AG144" s="863">
        <f t="shared" si="110"/>
        <v>0</v>
      </c>
      <c r="AH144" s="864">
        <f t="shared" si="122"/>
        <v>0</v>
      </c>
      <c r="AI144" s="863">
        <f t="shared" si="111"/>
        <v>0</v>
      </c>
      <c r="AJ144" s="864">
        <f t="shared" si="123"/>
        <v>0</v>
      </c>
      <c r="AK144" s="365"/>
      <c r="AL144" s="865">
        <f t="shared" si="112"/>
        <v>0</v>
      </c>
      <c r="AM144" s="866">
        <f t="shared" si="124"/>
        <v>0</v>
      </c>
      <c r="AN144" s="866">
        <f t="shared" si="125"/>
        <v>0</v>
      </c>
      <c r="AO144" s="866">
        <f t="shared" si="126"/>
        <v>0</v>
      </c>
      <c r="AP144" s="867">
        <f t="shared" si="127"/>
        <v>0</v>
      </c>
      <c r="AQ144" s="591">
        <f t="shared" si="113"/>
        <v>0</v>
      </c>
      <c r="AR144" s="868">
        <f>IF(AND($L144=0,$P144=0)=TRUE,VLOOKUP($E144,Plan3!$A$16:$CT$487,$E$7+3,0)/100,0)</f>
        <v>0</v>
      </c>
      <c r="AS144" s="868">
        <f>IF(AND($L144=0,$P144=0)=TRUE,VLOOKUP($E144,Plan3!$A$16:$CT$487,$E$7+6,0)/100,0)</f>
        <v>0</v>
      </c>
      <c r="AT144" s="868">
        <f>IF(AND($L144=0,$P144=0)=TRUE,VLOOKUP($E144,Plan3!$A$16:$CT$487,$E$7+9,0)/100,0)</f>
        <v>0</v>
      </c>
      <c r="AU144" s="868">
        <f>IF(AND($L144=0,$P144=0)=TRUE,VLOOKUP($E144,Plan3!$A$16:$CT$487,$E$7+12,0)/100,0)</f>
        <v>0</v>
      </c>
      <c r="AV144" s="841"/>
      <c r="AW144" s="869">
        <f t="shared" si="128"/>
        <v>0</v>
      </c>
      <c r="AX144" s="870">
        <f t="shared" si="129"/>
        <v>0</v>
      </c>
      <c r="AY144" s="871">
        <f t="shared" si="130"/>
        <v>0</v>
      </c>
      <c r="AZ144" s="237" t="str">
        <f t="shared" si="101"/>
        <v xml:space="preserve">09.003.003.003 </v>
      </c>
      <c r="BA144" s="365"/>
      <c r="BB144" s="365"/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872">
        <f t="shared" si="102"/>
        <v>0</v>
      </c>
      <c r="BM144" s="873">
        <f t="shared" si="103"/>
        <v>0</v>
      </c>
      <c r="BN144" s="874">
        <f t="shared" si="131"/>
        <v>0</v>
      </c>
      <c r="BO144" s="875">
        <f t="shared" si="104"/>
        <v>0</v>
      </c>
      <c r="BP144" s="875">
        <f t="shared" si="105"/>
        <v>0</v>
      </c>
      <c r="BQ144" s="876">
        <f t="shared" si="132"/>
        <v>0</v>
      </c>
      <c r="BR144" s="877">
        <f t="shared" si="133"/>
        <v>0</v>
      </c>
      <c r="BS144" s="875">
        <f t="shared" si="106"/>
        <v>0</v>
      </c>
      <c r="BT144" s="875">
        <f t="shared" si="107"/>
        <v>0</v>
      </c>
      <c r="BU144" s="878">
        <f t="shared" si="134"/>
        <v>0</v>
      </c>
      <c r="CE144" s="486">
        <v>133</v>
      </c>
    </row>
    <row r="145" spans="1:83" s="177" customFormat="1" ht="21.95" customHeight="1" x14ac:dyDescent="0.2">
      <c r="A145" s="237">
        <f t="shared" si="108"/>
        <v>0</v>
      </c>
      <c r="B145" s="237">
        <f t="shared" si="109"/>
        <v>0</v>
      </c>
      <c r="C145" s="393">
        <f t="shared" si="94"/>
        <v>0</v>
      </c>
      <c r="D145" s="393" t="str">
        <f t="shared" si="95"/>
        <v xml:space="preserve">09 </v>
      </c>
      <c r="E145" s="959" t="s">
        <v>2086</v>
      </c>
      <c r="F145" s="959" t="s">
        <v>2246</v>
      </c>
      <c r="G145" s="959" t="s">
        <v>90</v>
      </c>
      <c r="H145" s="963">
        <v>1439.35</v>
      </c>
      <c r="I145" s="960">
        <v>5.2</v>
      </c>
      <c r="J145" s="964">
        <v>7484.62</v>
      </c>
      <c r="K145" s="367">
        <v>0</v>
      </c>
      <c r="L145" s="367">
        <f>IF($H145="",0,VLOOKUP($E145,Plan3!$A$16:$CT$384,$E$7,0)%)</f>
        <v>0</v>
      </c>
      <c r="M145" s="368">
        <f t="shared" si="114"/>
        <v>0</v>
      </c>
      <c r="N145" s="368">
        <f t="shared" si="115"/>
        <v>0</v>
      </c>
      <c r="O145" s="367">
        <v>0</v>
      </c>
      <c r="P145" s="367">
        <f>VLOOKUP($E145,Plan3!$A$492:$P$858,13,0)%</f>
        <v>0</v>
      </c>
      <c r="Q145" s="368">
        <f t="shared" si="116"/>
        <v>0</v>
      </c>
      <c r="R145" s="368">
        <f t="shared" si="117"/>
        <v>0</v>
      </c>
      <c r="S145" s="880">
        <v>7571.4415920000001</v>
      </c>
      <c r="T145" s="880">
        <f t="shared" si="118"/>
        <v>0</v>
      </c>
      <c r="U145" s="880">
        <f>IF($I145="",0,($S145-$T145)*(1+('Econômico Macro'!$R$12/100)))</f>
        <v>7702.4275315416007</v>
      </c>
      <c r="V145" s="880">
        <f t="shared" si="119"/>
        <v>7702.4275315416007</v>
      </c>
      <c r="W145" s="880">
        <f t="shared" si="120"/>
        <v>0</v>
      </c>
      <c r="X145" s="367">
        <f t="shared" si="96"/>
        <v>0</v>
      </c>
      <c r="Y145" s="367">
        <f t="shared" si="97"/>
        <v>0</v>
      </c>
      <c r="Z145" s="367">
        <f t="shared" si="98"/>
        <v>0</v>
      </c>
      <c r="AA145" s="367">
        <f t="shared" si="99"/>
        <v>0</v>
      </c>
      <c r="AB145" s="369" t="str">
        <f t="shared" si="100"/>
        <v>Não Iniciada</v>
      </c>
      <c r="AC145" s="365"/>
      <c r="AD145" s="368">
        <v>1</v>
      </c>
      <c r="AE145" s="368">
        <f t="shared" si="121"/>
        <v>-1</v>
      </c>
      <c r="AF145" s="365"/>
      <c r="AG145" s="863">
        <f t="shared" si="110"/>
        <v>0</v>
      </c>
      <c r="AH145" s="864">
        <f t="shared" si="122"/>
        <v>0</v>
      </c>
      <c r="AI145" s="863">
        <f t="shared" si="111"/>
        <v>0</v>
      </c>
      <c r="AJ145" s="864">
        <f t="shared" si="123"/>
        <v>0</v>
      </c>
      <c r="AK145" s="365"/>
      <c r="AL145" s="865">
        <f t="shared" si="112"/>
        <v>0</v>
      </c>
      <c r="AM145" s="866">
        <f t="shared" si="124"/>
        <v>0</v>
      </c>
      <c r="AN145" s="866">
        <f t="shared" si="125"/>
        <v>0</v>
      </c>
      <c r="AO145" s="866">
        <f t="shared" si="126"/>
        <v>0</v>
      </c>
      <c r="AP145" s="867">
        <f t="shared" si="127"/>
        <v>0</v>
      </c>
      <c r="AQ145" s="591">
        <f t="shared" si="113"/>
        <v>0</v>
      </c>
      <c r="AR145" s="868">
        <f>IF(AND($L145=0,$P145=0)=TRUE,VLOOKUP($E145,Plan3!$A$16:$CT$487,$E$7+3,0)/100,0)</f>
        <v>0</v>
      </c>
      <c r="AS145" s="868">
        <f>IF(AND($L145=0,$P145=0)=TRUE,VLOOKUP($E145,Plan3!$A$16:$CT$487,$E$7+6,0)/100,0)</f>
        <v>0</v>
      </c>
      <c r="AT145" s="868">
        <f>IF(AND($L145=0,$P145=0)=TRUE,VLOOKUP($E145,Plan3!$A$16:$CT$487,$E$7+9,0)/100,0)</f>
        <v>0</v>
      </c>
      <c r="AU145" s="868">
        <f>IF(AND($L145=0,$P145=0)=TRUE,VLOOKUP($E145,Plan3!$A$16:$CT$487,$E$7+12,0)/100,0)</f>
        <v>0</v>
      </c>
      <c r="AV145" s="841"/>
      <c r="AW145" s="869">
        <f t="shared" si="128"/>
        <v>0</v>
      </c>
      <c r="AX145" s="870">
        <f t="shared" si="129"/>
        <v>0</v>
      </c>
      <c r="AY145" s="871">
        <f t="shared" si="130"/>
        <v>0</v>
      </c>
      <c r="AZ145" s="237" t="str">
        <f t="shared" si="101"/>
        <v xml:space="preserve">09.003.003.004 </v>
      </c>
      <c r="BA145" s="365"/>
      <c r="BB145" s="365"/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872">
        <f t="shared" si="102"/>
        <v>0</v>
      </c>
      <c r="BM145" s="873">
        <f t="shared" si="103"/>
        <v>0</v>
      </c>
      <c r="BN145" s="874">
        <f t="shared" si="131"/>
        <v>0</v>
      </c>
      <c r="BO145" s="875">
        <f t="shared" si="104"/>
        <v>0</v>
      </c>
      <c r="BP145" s="875">
        <f t="shared" si="105"/>
        <v>0</v>
      </c>
      <c r="BQ145" s="876">
        <f t="shared" si="132"/>
        <v>0</v>
      </c>
      <c r="BR145" s="877">
        <f t="shared" si="133"/>
        <v>0</v>
      </c>
      <c r="BS145" s="875">
        <f t="shared" si="106"/>
        <v>0</v>
      </c>
      <c r="BT145" s="875">
        <f t="shared" si="107"/>
        <v>0</v>
      </c>
      <c r="BU145" s="878">
        <f t="shared" si="134"/>
        <v>0</v>
      </c>
      <c r="CE145" s="486">
        <v>134</v>
      </c>
    </row>
    <row r="146" spans="1:83" s="177" customFormat="1" ht="21.95" customHeight="1" x14ac:dyDescent="0.2">
      <c r="A146" s="237">
        <f t="shared" si="108"/>
        <v>0</v>
      </c>
      <c r="B146" s="237">
        <f t="shared" si="109"/>
        <v>0</v>
      </c>
      <c r="C146" s="393">
        <f t="shared" si="94"/>
        <v>0</v>
      </c>
      <c r="D146" s="393" t="str">
        <f t="shared" si="95"/>
        <v xml:space="preserve">09 </v>
      </c>
      <c r="E146" s="967" t="s">
        <v>637</v>
      </c>
      <c r="F146" s="967" t="s">
        <v>639</v>
      </c>
      <c r="G146" s="967"/>
      <c r="H146" s="968"/>
      <c r="I146" s="968"/>
      <c r="J146" s="969">
        <v>60765.27</v>
      </c>
      <c r="K146" s="367">
        <v>0</v>
      </c>
      <c r="L146" s="367">
        <f>IF($H146="",0,VLOOKUP($E146,Plan3!$A$16:$CT$384,$E$7,0)%)</f>
        <v>0</v>
      </c>
      <c r="M146" s="368">
        <f t="shared" si="114"/>
        <v>0</v>
      </c>
      <c r="N146" s="368">
        <f t="shared" si="115"/>
        <v>0</v>
      </c>
      <c r="O146" s="367">
        <v>0</v>
      </c>
      <c r="P146" s="367">
        <f>VLOOKUP($E146,Plan3!$A$492:$P$858,13,0)%</f>
        <v>0</v>
      </c>
      <c r="Q146" s="368">
        <f t="shared" si="116"/>
        <v>0</v>
      </c>
      <c r="R146" s="368">
        <f t="shared" si="117"/>
        <v>0</v>
      </c>
      <c r="S146" s="880">
        <v>0</v>
      </c>
      <c r="T146" s="880">
        <f t="shared" si="118"/>
        <v>0</v>
      </c>
      <c r="U146" s="880">
        <f>IF($I146="",0,($S146-$T146)*(1+('Econômico Macro'!$R$12/100)))</f>
        <v>0</v>
      </c>
      <c r="V146" s="880">
        <f t="shared" si="119"/>
        <v>0</v>
      </c>
      <c r="W146" s="880">
        <f t="shared" si="120"/>
        <v>0</v>
      </c>
      <c r="X146" s="367">
        <f t="shared" si="96"/>
        <v>0</v>
      </c>
      <c r="Y146" s="367">
        <f t="shared" si="97"/>
        <v>0</v>
      </c>
      <c r="Z146" s="367">
        <f t="shared" si="98"/>
        <v>0</v>
      </c>
      <c r="AA146" s="367">
        <f t="shared" si="99"/>
        <v>0</v>
      </c>
      <c r="AB146" s="369" t="str">
        <f t="shared" si="100"/>
        <v>Não Iniciada</v>
      </c>
      <c r="AC146" s="365"/>
      <c r="AD146" s="368">
        <v>1</v>
      </c>
      <c r="AE146" s="368">
        <f t="shared" si="121"/>
        <v>-1</v>
      </c>
      <c r="AF146" s="365"/>
      <c r="AG146" s="863">
        <f t="shared" si="110"/>
        <v>0</v>
      </c>
      <c r="AH146" s="864">
        <f t="shared" si="122"/>
        <v>0</v>
      </c>
      <c r="AI146" s="863">
        <f t="shared" si="111"/>
        <v>0</v>
      </c>
      <c r="AJ146" s="864">
        <f t="shared" si="123"/>
        <v>0</v>
      </c>
      <c r="AK146" s="365"/>
      <c r="AL146" s="865">
        <f t="shared" si="112"/>
        <v>0</v>
      </c>
      <c r="AM146" s="866">
        <f t="shared" si="124"/>
        <v>0</v>
      </c>
      <c r="AN146" s="866">
        <f t="shared" si="125"/>
        <v>0</v>
      </c>
      <c r="AO146" s="866">
        <f t="shared" si="126"/>
        <v>0</v>
      </c>
      <c r="AP146" s="867">
        <f t="shared" si="127"/>
        <v>0</v>
      </c>
      <c r="AQ146" s="591"/>
      <c r="AR146" s="868"/>
      <c r="AS146" s="868"/>
      <c r="AT146" s="868"/>
      <c r="AU146" s="868"/>
      <c r="AV146" s="841"/>
      <c r="AW146" s="869"/>
      <c r="AX146" s="870"/>
      <c r="AY146" s="871"/>
      <c r="AZ146" s="237" t="str">
        <f t="shared" si="101"/>
        <v xml:space="preserve">09.004 </v>
      </c>
      <c r="BA146" s="365"/>
      <c r="BB146" s="365"/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872">
        <f t="shared" si="102"/>
        <v>0</v>
      </c>
      <c r="BM146" s="873">
        <f t="shared" si="103"/>
        <v>0</v>
      </c>
      <c r="BN146" s="874">
        <f t="shared" si="131"/>
        <v>0</v>
      </c>
      <c r="BO146" s="875">
        <f t="shared" si="104"/>
        <v>0</v>
      </c>
      <c r="BP146" s="875">
        <f t="shared" si="105"/>
        <v>0</v>
      </c>
      <c r="BQ146" s="876">
        <f t="shared" si="132"/>
        <v>0</v>
      </c>
      <c r="BR146" s="877">
        <f t="shared" si="133"/>
        <v>0</v>
      </c>
      <c r="BS146" s="875">
        <f t="shared" si="106"/>
        <v>0</v>
      </c>
      <c r="BT146" s="875">
        <f t="shared" si="107"/>
        <v>0</v>
      </c>
      <c r="BU146" s="878">
        <f t="shared" si="134"/>
        <v>0</v>
      </c>
      <c r="CE146" s="486">
        <v>135</v>
      </c>
    </row>
    <row r="147" spans="1:83" s="177" customFormat="1" ht="21.95" customHeight="1" x14ac:dyDescent="0.2">
      <c r="A147" s="237">
        <f t="shared" si="108"/>
        <v>0</v>
      </c>
      <c r="B147" s="237">
        <f t="shared" si="109"/>
        <v>0</v>
      </c>
      <c r="C147" s="393">
        <f t="shared" si="94"/>
        <v>0</v>
      </c>
      <c r="D147" s="393" t="str">
        <f t="shared" si="95"/>
        <v xml:space="preserve">09 </v>
      </c>
      <c r="E147" s="967" t="s">
        <v>1414</v>
      </c>
      <c r="F147" s="967" t="s">
        <v>1436</v>
      </c>
      <c r="G147" s="967"/>
      <c r="H147" s="968"/>
      <c r="I147" s="968"/>
      <c r="J147" s="974">
        <v>5623.11</v>
      </c>
      <c r="K147" s="367">
        <v>0</v>
      </c>
      <c r="L147" s="367">
        <f>IF($H147="",0,VLOOKUP($E147,Plan3!$A$16:$CT$384,$E$7,0)%)</f>
        <v>0</v>
      </c>
      <c r="M147" s="368">
        <f t="shared" si="114"/>
        <v>0</v>
      </c>
      <c r="N147" s="368">
        <f t="shared" si="115"/>
        <v>0</v>
      </c>
      <c r="O147" s="367">
        <v>0</v>
      </c>
      <c r="P147" s="367">
        <f>VLOOKUP($E147,Plan3!$A$492:$P$858,13,0)%</f>
        <v>0</v>
      </c>
      <c r="Q147" s="368">
        <f t="shared" si="116"/>
        <v>0</v>
      </c>
      <c r="R147" s="368">
        <f t="shared" si="117"/>
        <v>0</v>
      </c>
      <c r="S147" s="880">
        <v>0</v>
      </c>
      <c r="T147" s="880">
        <f t="shared" si="118"/>
        <v>0</v>
      </c>
      <c r="U147" s="880">
        <f>IF($I147="",0,($S147-$T147)*(1+('Econômico Macro'!$R$12/100)))</f>
        <v>0</v>
      </c>
      <c r="V147" s="880">
        <f t="shared" si="119"/>
        <v>0</v>
      </c>
      <c r="W147" s="880">
        <f t="shared" si="120"/>
        <v>0</v>
      </c>
      <c r="X147" s="367">
        <f t="shared" si="96"/>
        <v>0</v>
      </c>
      <c r="Y147" s="367">
        <f t="shared" si="97"/>
        <v>0</v>
      </c>
      <c r="Z147" s="367">
        <f t="shared" si="98"/>
        <v>0</v>
      </c>
      <c r="AA147" s="367">
        <f t="shared" si="99"/>
        <v>0</v>
      </c>
      <c r="AB147" s="369" t="str">
        <f t="shared" si="100"/>
        <v>Não Iniciada</v>
      </c>
      <c r="AC147" s="365"/>
      <c r="AD147" s="368">
        <v>1</v>
      </c>
      <c r="AE147" s="368">
        <f t="shared" si="121"/>
        <v>-1</v>
      </c>
      <c r="AF147" s="365"/>
      <c r="AG147" s="863">
        <f t="shared" si="110"/>
        <v>0</v>
      </c>
      <c r="AH147" s="864">
        <f t="shared" si="122"/>
        <v>0</v>
      </c>
      <c r="AI147" s="863">
        <f t="shared" si="111"/>
        <v>0</v>
      </c>
      <c r="AJ147" s="864">
        <f t="shared" si="123"/>
        <v>0</v>
      </c>
      <c r="AK147" s="365"/>
      <c r="AL147" s="865">
        <f t="shared" si="112"/>
        <v>0</v>
      </c>
      <c r="AM147" s="866">
        <f t="shared" si="124"/>
        <v>0</v>
      </c>
      <c r="AN147" s="866">
        <f t="shared" si="125"/>
        <v>0</v>
      </c>
      <c r="AO147" s="866">
        <f t="shared" si="126"/>
        <v>0</v>
      </c>
      <c r="AP147" s="867">
        <f t="shared" si="127"/>
        <v>0</v>
      </c>
      <c r="AQ147" s="591"/>
      <c r="AR147" s="868"/>
      <c r="AS147" s="868"/>
      <c r="AT147" s="868"/>
      <c r="AU147" s="868"/>
      <c r="AV147" s="841"/>
      <c r="AW147" s="869"/>
      <c r="AX147" s="870"/>
      <c r="AY147" s="871"/>
      <c r="AZ147" s="237" t="str">
        <f t="shared" si="101"/>
        <v xml:space="preserve">09.004.001 </v>
      </c>
      <c r="BA147" s="365"/>
      <c r="BB147" s="365"/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872">
        <f t="shared" si="102"/>
        <v>0</v>
      </c>
      <c r="BM147" s="873">
        <f t="shared" si="103"/>
        <v>0</v>
      </c>
      <c r="BN147" s="874">
        <f t="shared" si="131"/>
        <v>0</v>
      </c>
      <c r="BO147" s="875">
        <f t="shared" si="104"/>
        <v>0</v>
      </c>
      <c r="BP147" s="875">
        <f t="shared" si="105"/>
        <v>0</v>
      </c>
      <c r="BQ147" s="876">
        <f t="shared" si="132"/>
        <v>0</v>
      </c>
      <c r="BR147" s="877">
        <f t="shared" si="133"/>
        <v>0</v>
      </c>
      <c r="BS147" s="875">
        <f t="shared" si="106"/>
        <v>0</v>
      </c>
      <c r="BT147" s="875">
        <f t="shared" si="107"/>
        <v>0</v>
      </c>
      <c r="BU147" s="878">
        <f t="shared" si="134"/>
        <v>0</v>
      </c>
      <c r="CE147" s="486">
        <v>136</v>
      </c>
    </row>
    <row r="148" spans="1:83" s="177" customFormat="1" ht="21.95" customHeight="1" x14ac:dyDescent="0.2">
      <c r="A148" s="237">
        <f t="shared" si="108"/>
        <v>0</v>
      </c>
      <c r="B148" s="237">
        <f t="shared" si="109"/>
        <v>0</v>
      </c>
      <c r="C148" s="393">
        <f t="shared" si="94"/>
        <v>0</v>
      </c>
      <c r="D148" s="393" t="str">
        <f t="shared" si="95"/>
        <v xml:space="preserve">09 </v>
      </c>
      <c r="E148" s="959" t="s">
        <v>1416</v>
      </c>
      <c r="F148" s="959" t="s">
        <v>783</v>
      </c>
      <c r="G148" s="959" t="s">
        <v>90</v>
      </c>
      <c r="H148" s="960">
        <v>4.4800000000000004</v>
      </c>
      <c r="I148" s="965">
        <v>337.46199999999999</v>
      </c>
      <c r="J148" s="964">
        <v>1511.83</v>
      </c>
      <c r="K148" s="367">
        <v>0</v>
      </c>
      <c r="L148" s="367">
        <f>IF($H148="",0,VLOOKUP($E148,Plan3!$A$16:$CT$384,$E$7,0)%)</f>
        <v>0</v>
      </c>
      <c r="M148" s="368">
        <f t="shared" si="114"/>
        <v>0</v>
      </c>
      <c r="N148" s="368">
        <f t="shared" si="115"/>
        <v>0</v>
      </c>
      <c r="O148" s="367">
        <v>0</v>
      </c>
      <c r="P148" s="367">
        <f>VLOOKUP($E148,Plan3!$A$492:$P$858,13,0)%</f>
        <v>0</v>
      </c>
      <c r="Q148" s="368">
        <f t="shared" si="116"/>
        <v>0</v>
      </c>
      <c r="R148" s="368">
        <f t="shared" si="117"/>
        <v>0</v>
      </c>
      <c r="S148" s="880">
        <v>1529.3672280000001</v>
      </c>
      <c r="T148" s="880">
        <f t="shared" si="118"/>
        <v>0</v>
      </c>
      <c r="U148" s="880">
        <f>IF($I148="",0,($S148-$T148)*(1+('Econômico Macro'!$R$12/100)))</f>
        <v>1555.8252810444003</v>
      </c>
      <c r="V148" s="880">
        <f t="shared" si="119"/>
        <v>1555.8252810444003</v>
      </c>
      <c r="W148" s="880">
        <f t="shared" si="120"/>
        <v>0</v>
      </c>
      <c r="X148" s="367">
        <f t="shared" si="96"/>
        <v>0</v>
      </c>
      <c r="Y148" s="367">
        <f t="shared" si="97"/>
        <v>0</v>
      </c>
      <c r="Z148" s="367">
        <f t="shared" si="98"/>
        <v>0</v>
      </c>
      <c r="AA148" s="367">
        <f t="shared" si="99"/>
        <v>0</v>
      </c>
      <c r="AB148" s="369" t="str">
        <f t="shared" si="100"/>
        <v>Não Iniciada</v>
      </c>
      <c r="AC148" s="365"/>
      <c r="AD148" s="368">
        <v>1</v>
      </c>
      <c r="AE148" s="368">
        <f t="shared" si="121"/>
        <v>-1</v>
      </c>
      <c r="AF148" s="365"/>
      <c r="AG148" s="863">
        <f t="shared" si="110"/>
        <v>0</v>
      </c>
      <c r="AH148" s="864">
        <f t="shared" si="122"/>
        <v>0</v>
      </c>
      <c r="AI148" s="863">
        <f t="shared" si="111"/>
        <v>0</v>
      </c>
      <c r="AJ148" s="864">
        <f t="shared" si="123"/>
        <v>0</v>
      </c>
      <c r="AK148" s="365"/>
      <c r="AL148" s="865">
        <f t="shared" si="112"/>
        <v>0</v>
      </c>
      <c r="AM148" s="866">
        <f t="shared" si="124"/>
        <v>0</v>
      </c>
      <c r="AN148" s="866">
        <f t="shared" si="125"/>
        <v>0</v>
      </c>
      <c r="AO148" s="866">
        <f t="shared" si="126"/>
        <v>0</v>
      </c>
      <c r="AP148" s="867">
        <f t="shared" si="127"/>
        <v>0</v>
      </c>
      <c r="AQ148" s="591">
        <f t="shared" si="113"/>
        <v>0</v>
      </c>
      <c r="AR148" s="868">
        <f>IF(AND($L148=0,$P148=0)=TRUE,VLOOKUP($E148,Plan3!$A$16:$CT$487,$E$7+3,0)/100,0)</f>
        <v>0</v>
      </c>
      <c r="AS148" s="868">
        <f>IF(AND($L148=0,$P148=0)=TRUE,VLOOKUP($E148,Plan3!$A$16:$CT$487,$E$7+6,0)/100,0)</f>
        <v>0</v>
      </c>
      <c r="AT148" s="868">
        <f>IF(AND($L148=0,$P148=0)=TRUE,VLOOKUP($E148,Plan3!$A$16:$CT$487,$E$7+9,0)/100,0)</f>
        <v>0</v>
      </c>
      <c r="AU148" s="868">
        <f>IF(AND($L148=0,$P148=0)=TRUE,VLOOKUP($E148,Plan3!$A$16:$CT$487,$E$7+12,0)/100,0)</f>
        <v>0</v>
      </c>
      <c r="AV148" s="841"/>
      <c r="AW148" s="869">
        <f t="shared" si="128"/>
        <v>0</v>
      </c>
      <c r="AX148" s="870">
        <f t="shared" si="129"/>
        <v>0</v>
      </c>
      <c r="AY148" s="871">
        <f t="shared" si="130"/>
        <v>0</v>
      </c>
      <c r="AZ148" s="237" t="str">
        <f t="shared" si="101"/>
        <v xml:space="preserve">09.004.001.001 </v>
      </c>
      <c r="BA148" s="365"/>
      <c r="BB148" s="365"/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872">
        <f t="shared" si="102"/>
        <v>0</v>
      </c>
      <c r="BM148" s="873">
        <f t="shared" si="103"/>
        <v>0</v>
      </c>
      <c r="BN148" s="874">
        <f t="shared" si="131"/>
        <v>0</v>
      </c>
      <c r="BO148" s="875">
        <f t="shared" si="104"/>
        <v>0</v>
      </c>
      <c r="BP148" s="875">
        <f t="shared" si="105"/>
        <v>0</v>
      </c>
      <c r="BQ148" s="876">
        <f t="shared" si="132"/>
        <v>0</v>
      </c>
      <c r="BR148" s="877">
        <f t="shared" si="133"/>
        <v>0</v>
      </c>
      <c r="BS148" s="875">
        <f t="shared" si="106"/>
        <v>0</v>
      </c>
      <c r="BT148" s="875">
        <f t="shared" si="107"/>
        <v>0</v>
      </c>
      <c r="BU148" s="878">
        <f t="shared" si="134"/>
        <v>0</v>
      </c>
      <c r="CE148" s="486">
        <v>137</v>
      </c>
    </row>
    <row r="149" spans="1:83" s="177" customFormat="1" ht="21.95" customHeight="1" x14ac:dyDescent="0.2">
      <c r="A149" s="237">
        <f t="shared" si="108"/>
        <v>0</v>
      </c>
      <c r="B149" s="237">
        <f t="shared" si="109"/>
        <v>0</v>
      </c>
      <c r="C149" s="393">
        <f t="shared" si="94"/>
        <v>0</v>
      </c>
      <c r="D149" s="393" t="str">
        <f t="shared" si="95"/>
        <v xml:space="preserve">09 </v>
      </c>
      <c r="E149" s="959" t="s">
        <v>1418</v>
      </c>
      <c r="F149" s="959" t="s">
        <v>1437</v>
      </c>
      <c r="G149" s="959" t="s">
        <v>90</v>
      </c>
      <c r="H149" s="970">
        <v>10.29</v>
      </c>
      <c r="I149" s="965">
        <v>337.46199999999999</v>
      </c>
      <c r="J149" s="964">
        <v>3472.48</v>
      </c>
      <c r="K149" s="367">
        <v>0</v>
      </c>
      <c r="L149" s="367">
        <f>IF($H149="",0,VLOOKUP($E149,Plan3!$A$16:$CT$384,$E$7,0)%)</f>
        <v>0</v>
      </c>
      <c r="M149" s="368">
        <f t="shared" si="114"/>
        <v>0</v>
      </c>
      <c r="N149" s="368">
        <f t="shared" si="115"/>
        <v>0</v>
      </c>
      <c r="O149" s="367">
        <v>0</v>
      </c>
      <c r="P149" s="367">
        <f>VLOOKUP($E149,Plan3!$A$492:$P$858,13,0)%</f>
        <v>0</v>
      </c>
      <c r="Q149" s="368">
        <f t="shared" si="116"/>
        <v>0</v>
      </c>
      <c r="R149" s="368">
        <f t="shared" si="117"/>
        <v>0</v>
      </c>
      <c r="S149" s="880">
        <v>3512.7607680000001</v>
      </c>
      <c r="T149" s="880">
        <f t="shared" si="118"/>
        <v>0</v>
      </c>
      <c r="U149" s="880">
        <f>IF($I149="",0,($S149-$T149)*(1+('Econômico Macro'!$R$12/100)))</f>
        <v>3573.5315292864002</v>
      </c>
      <c r="V149" s="880">
        <f t="shared" si="119"/>
        <v>3573.5315292864002</v>
      </c>
      <c r="W149" s="880">
        <f t="shared" si="120"/>
        <v>0</v>
      </c>
      <c r="X149" s="367">
        <f t="shared" si="96"/>
        <v>0</v>
      </c>
      <c r="Y149" s="367">
        <f t="shared" si="97"/>
        <v>0</v>
      </c>
      <c r="Z149" s="367">
        <f t="shared" si="98"/>
        <v>0</v>
      </c>
      <c r="AA149" s="367">
        <f t="shared" si="99"/>
        <v>0</v>
      </c>
      <c r="AB149" s="369" t="str">
        <f t="shared" si="100"/>
        <v>Não Iniciada</v>
      </c>
      <c r="AC149" s="365"/>
      <c r="AD149" s="368">
        <v>1</v>
      </c>
      <c r="AE149" s="368">
        <f t="shared" si="121"/>
        <v>-1</v>
      </c>
      <c r="AF149" s="365"/>
      <c r="AG149" s="863">
        <f t="shared" si="110"/>
        <v>0</v>
      </c>
      <c r="AH149" s="864">
        <f t="shared" si="122"/>
        <v>0</v>
      </c>
      <c r="AI149" s="863">
        <f t="shared" si="111"/>
        <v>0</v>
      </c>
      <c r="AJ149" s="864">
        <f t="shared" si="123"/>
        <v>0</v>
      </c>
      <c r="AK149" s="365"/>
      <c r="AL149" s="865">
        <f t="shared" si="112"/>
        <v>0</v>
      </c>
      <c r="AM149" s="866">
        <f t="shared" si="124"/>
        <v>0</v>
      </c>
      <c r="AN149" s="866">
        <f t="shared" si="125"/>
        <v>0</v>
      </c>
      <c r="AO149" s="866">
        <f t="shared" si="126"/>
        <v>0</v>
      </c>
      <c r="AP149" s="867">
        <f t="shared" si="127"/>
        <v>0</v>
      </c>
      <c r="AQ149" s="591">
        <f t="shared" si="113"/>
        <v>0</v>
      </c>
      <c r="AR149" s="868">
        <f>IF(AND($L149=0,$P149=0)=TRUE,VLOOKUP($E149,Plan3!$A$16:$CT$487,$E$7+3,0)/100,0)</f>
        <v>0</v>
      </c>
      <c r="AS149" s="868">
        <f>IF(AND($L149=0,$P149=0)=TRUE,VLOOKUP($E149,Plan3!$A$16:$CT$487,$E$7+6,0)/100,0)</f>
        <v>0</v>
      </c>
      <c r="AT149" s="868">
        <f>IF(AND($L149=0,$P149=0)=TRUE,VLOOKUP($E149,Plan3!$A$16:$CT$487,$E$7+9,0)/100,0)</f>
        <v>0</v>
      </c>
      <c r="AU149" s="868">
        <f>IF(AND($L149=0,$P149=0)=TRUE,VLOOKUP($E149,Plan3!$A$16:$CT$487,$E$7+12,0)/100,0)</f>
        <v>0</v>
      </c>
      <c r="AV149" s="841"/>
      <c r="AW149" s="869">
        <f t="shared" si="128"/>
        <v>0</v>
      </c>
      <c r="AX149" s="870">
        <f t="shared" si="129"/>
        <v>0</v>
      </c>
      <c r="AY149" s="871">
        <f t="shared" si="130"/>
        <v>0</v>
      </c>
      <c r="AZ149" s="237" t="str">
        <f t="shared" si="101"/>
        <v xml:space="preserve">09.004.001.002 </v>
      </c>
      <c r="BA149" s="365"/>
      <c r="BB149" s="365"/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872">
        <f t="shared" si="102"/>
        <v>0</v>
      </c>
      <c r="BM149" s="873">
        <f t="shared" si="103"/>
        <v>0</v>
      </c>
      <c r="BN149" s="874">
        <f t="shared" si="131"/>
        <v>0</v>
      </c>
      <c r="BO149" s="875">
        <f t="shared" si="104"/>
        <v>0</v>
      </c>
      <c r="BP149" s="875">
        <f t="shared" si="105"/>
        <v>0</v>
      </c>
      <c r="BQ149" s="876">
        <f t="shared" si="132"/>
        <v>0</v>
      </c>
      <c r="BR149" s="877">
        <f t="shared" si="133"/>
        <v>0</v>
      </c>
      <c r="BS149" s="875">
        <f t="shared" si="106"/>
        <v>0</v>
      </c>
      <c r="BT149" s="875">
        <f t="shared" si="107"/>
        <v>0</v>
      </c>
      <c r="BU149" s="878">
        <f t="shared" si="134"/>
        <v>0</v>
      </c>
      <c r="CE149" s="486">
        <v>138</v>
      </c>
    </row>
    <row r="150" spans="1:83" s="177" customFormat="1" ht="21.95" customHeight="1" x14ac:dyDescent="0.2">
      <c r="A150" s="237">
        <f t="shared" si="108"/>
        <v>0</v>
      </c>
      <c r="B150" s="237">
        <f t="shared" si="109"/>
        <v>0</v>
      </c>
      <c r="C150" s="393">
        <f t="shared" si="94"/>
        <v>0</v>
      </c>
      <c r="D150" s="393" t="str">
        <f t="shared" si="95"/>
        <v xml:space="preserve">09 </v>
      </c>
      <c r="E150" s="959" t="s">
        <v>1420</v>
      </c>
      <c r="F150" s="959" t="s">
        <v>2247</v>
      </c>
      <c r="G150" s="959" t="s">
        <v>90</v>
      </c>
      <c r="H150" s="970">
        <v>14.77</v>
      </c>
      <c r="I150" s="970">
        <v>43.25</v>
      </c>
      <c r="J150" s="966">
        <v>638.79999999999995</v>
      </c>
      <c r="K150" s="367">
        <v>0</v>
      </c>
      <c r="L150" s="367">
        <f>IF($H150="",0,VLOOKUP($E150,Plan3!$A$16:$CT$384,$E$7,0)%)</f>
        <v>0</v>
      </c>
      <c r="M150" s="368">
        <f t="shared" si="114"/>
        <v>0</v>
      </c>
      <c r="N150" s="368">
        <f t="shared" si="115"/>
        <v>0</v>
      </c>
      <c r="O150" s="367">
        <v>0</v>
      </c>
      <c r="P150" s="367">
        <f>VLOOKUP($E150,Plan3!$A$492:$P$858,13,0)%</f>
        <v>0</v>
      </c>
      <c r="Q150" s="368">
        <f t="shared" si="116"/>
        <v>0</v>
      </c>
      <c r="R150" s="368">
        <f t="shared" si="117"/>
        <v>0</v>
      </c>
      <c r="S150" s="880">
        <v>646.21007999999995</v>
      </c>
      <c r="T150" s="880">
        <f t="shared" si="118"/>
        <v>0</v>
      </c>
      <c r="U150" s="880">
        <f>IF($I150="",0,($S150-$T150)*(1+('Econômico Macro'!$R$12/100)))</f>
        <v>657.38951438399999</v>
      </c>
      <c r="V150" s="880">
        <f t="shared" si="119"/>
        <v>657.38951438399999</v>
      </c>
      <c r="W150" s="880">
        <f t="shared" si="120"/>
        <v>0</v>
      </c>
      <c r="X150" s="367">
        <f t="shared" si="96"/>
        <v>0</v>
      </c>
      <c r="Y150" s="367">
        <f t="shared" si="97"/>
        <v>0</v>
      </c>
      <c r="Z150" s="367">
        <f t="shared" si="98"/>
        <v>0</v>
      </c>
      <c r="AA150" s="367">
        <f t="shared" si="99"/>
        <v>0</v>
      </c>
      <c r="AB150" s="369" t="str">
        <f t="shared" si="100"/>
        <v>Não Iniciada</v>
      </c>
      <c r="AC150" s="365"/>
      <c r="AD150" s="368">
        <v>1</v>
      </c>
      <c r="AE150" s="368">
        <f t="shared" si="121"/>
        <v>-1</v>
      </c>
      <c r="AF150" s="365"/>
      <c r="AG150" s="863">
        <f t="shared" si="110"/>
        <v>0</v>
      </c>
      <c r="AH150" s="864">
        <f t="shared" si="122"/>
        <v>0</v>
      </c>
      <c r="AI150" s="863">
        <f t="shared" si="111"/>
        <v>0</v>
      </c>
      <c r="AJ150" s="864">
        <f t="shared" si="123"/>
        <v>0</v>
      </c>
      <c r="AK150" s="365"/>
      <c r="AL150" s="865">
        <f t="shared" si="112"/>
        <v>0</v>
      </c>
      <c r="AM150" s="866">
        <f t="shared" si="124"/>
        <v>0</v>
      </c>
      <c r="AN150" s="866">
        <f t="shared" si="125"/>
        <v>0</v>
      </c>
      <c r="AO150" s="866">
        <f t="shared" si="126"/>
        <v>0</v>
      </c>
      <c r="AP150" s="867">
        <f t="shared" si="127"/>
        <v>0</v>
      </c>
      <c r="AQ150" s="591">
        <f t="shared" si="113"/>
        <v>0</v>
      </c>
      <c r="AR150" s="868">
        <f>IF(AND($L150=0,$P150=0)=TRUE,VLOOKUP($E150,Plan3!$A$16:$CT$487,$E$7+3,0)/100,0)</f>
        <v>0</v>
      </c>
      <c r="AS150" s="868">
        <f>IF(AND($L150=0,$P150=0)=TRUE,VLOOKUP($E150,Plan3!$A$16:$CT$487,$E$7+6,0)/100,0)</f>
        <v>0</v>
      </c>
      <c r="AT150" s="868">
        <f>IF(AND($L150=0,$P150=0)=TRUE,VLOOKUP($E150,Plan3!$A$16:$CT$487,$E$7+9,0)/100,0)</f>
        <v>0</v>
      </c>
      <c r="AU150" s="868">
        <f>IF(AND($L150=0,$P150=0)=TRUE,VLOOKUP($E150,Plan3!$A$16:$CT$487,$E$7+12,0)/100,0)</f>
        <v>0</v>
      </c>
      <c r="AV150" s="841"/>
      <c r="AW150" s="869">
        <f t="shared" si="128"/>
        <v>0</v>
      </c>
      <c r="AX150" s="870">
        <f t="shared" si="129"/>
        <v>0</v>
      </c>
      <c r="AY150" s="871">
        <f t="shared" si="130"/>
        <v>0</v>
      </c>
      <c r="AZ150" s="237" t="str">
        <f t="shared" si="101"/>
        <v xml:space="preserve">09.004.001.003 </v>
      </c>
      <c r="BA150" s="365"/>
      <c r="BB150" s="365"/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872">
        <f t="shared" si="102"/>
        <v>0</v>
      </c>
      <c r="BM150" s="873">
        <f t="shared" si="103"/>
        <v>0</v>
      </c>
      <c r="BN150" s="874">
        <f t="shared" si="131"/>
        <v>0</v>
      </c>
      <c r="BO150" s="875">
        <f t="shared" si="104"/>
        <v>0</v>
      </c>
      <c r="BP150" s="875">
        <f t="shared" si="105"/>
        <v>0</v>
      </c>
      <c r="BQ150" s="876">
        <f t="shared" si="132"/>
        <v>0</v>
      </c>
      <c r="BR150" s="877">
        <f t="shared" si="133"/>
        <v>0</v>
      </c>
      <c r="BS150" s="875">
        <f t="shared" si="106"/>
        <v>0</v>
      </c>
      <c r="BT150" s="875">
        <f t="shared" si="107"/>
        <v>0</v>
      </c>
      <c r="BU150" s="878">
        <f t="shared" si="134"/>
        <v>0</v>
      </c>
      <c r="CE150" s="486">
        <v>139</v>
      </c>
    </row>
    <row r="151" spans="1:83" s="177" customFormat="1" ht="21.95" customHeight="1" x14ac:dyDescent="0.2">
      <c r="A151" s="237">
        <f t="shared" si="108"/>
        <v>0</v>
      </c>
      <c r="B151" s="237">
        <f t="shared" si="109"/>
        <v>0</v>
      </c>
      <c r="C151" s="393">
        <f t="shared" si="94"/>
        <v>0</v>
      </c>
      <c r="D151" s="393" t="str">
        <f t="shared" si="95"/>
        <v xml:space="preserve">09 </v>
      </c>
      <c r="E151" s="967" t="s">
        <v>1426</v>
      </c>
      <c r="F151" s="967" t="s">
        <v>1438</v>
      </c>
      <c r="G151" s="967"/>
      <c r="H151" s="968"/>
      <c r="I151" s="968"/>
      <c r="J151" s="974">
        <v>4871.62</v>
      </c>
      <c r="K151" s="367">
        <v>0</v>
      </c>
      <c r="L151" s="367">
        <f>IF($H151="",0,VLOOKUP($E151,Plan3!$A$16:$CT$384,$E$7,0)%)</f>
        <v>0</v>
      </c>
      <c r="M151" s="368">
        <f t="shared" si="114"/>
        <v>0</v>
      </c>
      <c r="N151" s="368">
        <f t="shared" si="115"/>
        <v>0</v>
      </c>
      <c r="O151" s="367">
        <v>0</v>
      </c>
      <c r="P151" s="367">
        <f>VLOOKUP($E151,Plan3!$A$492:$P$858,13,0)%</f>
        <v>0</v>
      </c>
      <c r="Q151" s="368">
        <f t="shared" si="116"/>
        <v>0</v>
      </c>
      <c r="R151" s="368">
        <f t="shared" si="117"/>
        <v>0</v>
      </c>
      <c r="S151" s="880">
        <v>0</v>
      </c>
      <c r="T151" s="880">
        <f t="shared" si="118"/>
        <v>0</v>
      </c>
      <c r="U151" s="880">
        <f>IF($I151="",0,($S151-$T151)*(1+('Econômico Macro'!$R$12/100)))</f>
        <v>0</v>
      </c>
      <c r="V151" s="880">
        <f t="shared" si="119"/>
        <v>0</v>
      </c>
      <c r="W151" s="880">
        <f t="shared" si="120"/>
        <v>0</v>
      </c>
      <c r="X151" s="367">
        <f t="shared" si="96"/>
        <v>0</v>
      </c>
      <c r="Y151" s="367">
        <f t="shared" si="97"/>
        <v>0</v>
      </c>
      <c r="Z151" s="367">
        <f t="shared" si="98"/>
        <v>0</v>
      </c>
      <c r="AA151" s="367">
        <f t="shared" si="99"/>
        <v>0</v>
      </c>
      <c r="AB151" s="369" t="str">
        <f t="shared" si="100"/>
        <v>Não Iniciada</v>
      </c>
      <c r="AC151" s="365"/>
      <c r="AD151" s="368">
        <v>1</v>
      </c>
      <c r="AE151" s="368">
        <f t="shared" si="121"/>
        <v>-1</v>
      </c>
      <c r="AF151" s="365"/>
      <c r="AG151" s="863">
        <f t="shared" si="110"/>
        <v>0</v>
      </c>
      <c r="AH151" s="864">
        <f t="shared" si="122"/>
        <v>0</v>
      </c>
      <c r="AI151" s="863">
        <f t="shared" si="111"/>
        <v>0</v>
      </c>
      <c r="AJ151" s="864">
        <f t="shared" si="123"/>
        <v>0</v>
      </c>
      <c r="AK151" s="365"/>
      <c r="AL151" s="865">
        <f t="shared" si="112"/>
        <v>0</v>
      </c>
      <c r="AM151" s="866">
        <f t="shared" si="124"/>
        <v>0</v>
      </c>
      <c r="AN151" s="866">
        <f t="shared" si="125"/>
        <v>0</v>
      </c>
      <c r="AO151" s="866">
        <f t="shared" si="126"/>
        <v>0</v>
      </c>
      <c r="AP151" s="867">
        <f t="shared" si="127"/>
        <v>0</v>
      </c>
      <c r="AQ151" s="591"/>
      <c r="AR151" s="868"/>
      <c r="AS151" s="868"/>
      <c r="AT151" s="868"/>
      <c r="AU151" s="868"/>
      <c r="AV151" s="841"/>
      <c r="AW151" s="869"/>
      <c r="AX151" s="870"/>
      <c r="AY151" s="871"/>
      <c r="AZ151" s="237" t="str">
        <f t="shared" si="101"/>
        <v xml:space="preserve">09.004.002 </v>
      </c>
      <c r="BA151" s="365"/>
      <c r="BB151" s="365"/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872">
        <f t="shared" si="102"/>
        <v>0</v>
      </c>
      <c r="BM151" s="873">
        <f t="shared" si="103"/>
        <v>0</v>
      </c>
      <c r="BN151" s="874">
        <f t="shared" si="131"/>
        <v>0</v>
      </c>
      <c r="BO151" s="875">
        <f t="shared" si="104"/>
        <v>0</v>
      </c>
      <c r="BP151" s="875">
        <f t="shared" si="105"/>
        <v>0</v>
      </c>
      <c r="BQ151" s="876">
        <f t="shared" si="132"/>
        <v>0</v>
      </c>
      <c r="BR151" s="877">
        <f t="shared" si="133"/>
        <v>0</v>
      </c>
      <c r="BS151" s="875">
        <f t="shared" si="106"/>
        <v>0</v>
      </c>
      <c r="BT151" s="875">
        <f t="shared" si="107"/>
        <v>0</v>
      </c>
      <c r="BU151" s="878">
        <f t="shared" si="134"/>
        <v>0</v>
      </c>
      <c r="CE151" s="486">
        <v>140</v>
      </c>
    </row>
    <row r="152" spans="1:83" s="177" customFormat="1" ht="21.95" customHeight="1" x14ac:dyDescent="0.2">
      <c r="A152" s="237">
        <f t="shared" si="108"/>
        <v>0</v>
      </c>
      <c r="B152" s="237">
        <f t="shared" si="109"/>
        <v>0</v>
      </c>
      <c r="C152" s="393">
        <f t="shared" si="94"/>
        <v>0</v>
      </c>
      <c r="D152" s="393" t="str">
        <f t="shared" si="95"/>
        <v xml:space="preserve">09 </v>
      </c>
      <c r="E152" s="959" t="s">
        <v>1428</v>
      </c>
      <c r="F152" s="959" t="s">
        <v>2248</v>
      </c>
      <c r="G152" s="959" t="s">
        <v>15</v>
      </c>
      <c r="H152" s="970">
        <v>26.22</v>
      </c>
      <c r="I152" s="970">
        <v>48.396999999999998</v>
      </c>
      <c r="J152" s="964">
        <v>1268.97</v>
      </c>
      <c r="K152" s="367">
        <v>0</v>
      </c>
      <c r="L152" s="367">
        <f>IF($H152="",0,VLOOKUP($E152,Plan3!$A$16:$CT$384,$E$7,0)%)</f>
        <v>0</v>
      </c>
      <c r="M152" s="368">
        <f t="shared" si="114"/>
        <v>0</v>
      </c>
      <c r="N152" s="368">
        <f t="shared" si="115"/>
        <v>0</v>
      </c>
      <c r="O152" s="367">
        <v>0</v>
      </c>
      <c r="P152" s="367">
        <f>VLOOKUP($E152,Plan3!$A$492:$P$858,13,0)%</f>
        <v>0</v>
      </c>
      <c r="Q152" s="368">
        <f t="shared" si="116"/>
        <v>0</v>
      </c>
      <c r="R152" s="368">
        <f t="shared" si="117"/>
        <v>0</v>
      </c>
      <c r="S152" s="880">
        <v>1283.6900520000002</v>
      </c>
      <c r="T152" s="880">
        <f t="shared" si="118"/>
        <v>0</v>
      </c>
      <c r="U152" s="880">
        <f>IF($I152="",0,($S152-$T152)*(1+('Econômico Macro'!$R$12/100)))</f>
        <v>1305.8978898996004</v>
      </c>
      <c r="V152" s="880">
        <f t="shared" si="119"/>
        <v>1305.8978898996004</v>
      </c>
      <c r="W152" s="880">
        <f t="shared" si="120"/>
        <v>0</v>
      </c>
      <c r="X152" s="367">
        <f t="shared" si="96"/>
        <v>0</v>
      </c>
      <c r="Y152" s="367">
        <f t="shared" si="97"/>
        <v>0</v>
      </c>
      <c r="Z152" s="367">
        <f t="shared" si="98"/>
        <v>0</v>
      </c>
      <c r="AA152" s="367">
        <f t="shared" si="99"/>
        <v>0</v>
      </c>
      <c r="AB152" s="369" t="str">
        <f t="shared" si="100"/>
        <v>Não Iniciada</v>
      </c>
      <c r="AC152" s="365"/>
      <c r="AD152" s="368">
        <v>1</v>
      </c>
      <c r="AE152" s="368">
        <f t="shared" si="121"/>
        <v>-1</v>
      </c>
      <c r="AF152" s="365"/>
      <c r="AG152" s="863">
        <f t="shared" si="110"/>
        <v>0</v>
      </c>
      <c r="AH152" s="864">
        <f t="shared" si="122"/>
        <v>0</v>
      </c>
      <c r="AI152" s="863">
        <f t="shared" si="111"/>
        <v>0</v>
      </c>
      <c r="AJ152" s="864">
        <f t="shared" si="123"/>
        <v>0</v>
      </c>
      <c r="AK152" s="365"/>
      <c r="AL152" s="865">
        <f t="shared" si="112"/>
        <v>0</v>
      </c>
      <c r="AM152" s="866">
        <f t="shared" si="124"/>
        <v>0</v>
      </c>
      <c r="AN152" s="866">
        <f t="shared" si="125"/>
        <v>0</v>
      </c>
      <c r="AO152" s="866">
        <f t="shared" si="126"/>
        <v>0</v>
      </c>
      <c r="AP152" s="867">
        <f t="shared" si="127"/>
        <v>0</v>
      </c>
      <c r="AQ152" s="591">
        <f t="shared" si="113"/>
        <v>0</v>
      </c>
      <c r="AR152" s="868">
        <f>IF(AND($L152=0,$P152=0)=TRUE,VLOOKUP($E152,Plan3!$A$16:$CT$487,$E$7+3,0)/100,0)</f>
        <v>0</v>
      </c>
      <c r="AS152" s="868">
        <f>IF(AND($L152=0,$P152=0)=TRUE,VLOOKUP($E152,Plan3!$A$16:$CT$487,$E$7+6,0)/100,0)</f>
        <v>0</v>
      </c>
      <c r="AT152" s="868">
        <f>IF(AND($L152=0,$P152=0)=TRUE,VLOOKUP($E152,Plan3!$A$16:$CT$487,$E$7+9,0)/100,0)</f>
        <v>0</v>
      </c>
      <c r="AU152" s="868">
        <f>IF(AND($L152=0,$P152=0)=TRUE,VLOOKUP($E152,Plan3!$A$16:$CT$487,$E$7+12,0)/100,0)</f>
        <v>0</v>
      </c>
      <c r="AV152" s="841"/>
      <c r="AW152" s="869">
        <f t="shared" si="128"/>
        <v>0</v>
      </c>
      <c r="AX152" s="870">
        <f t="shared" si="129"/>
        <v>0</v>
      </c>
      <c r="AY152" s="871">
        <f t="shared" si="130"/>
        <v>0</v>
      </c>
      <c r="AZ152" s="237" t="str">
        <f t="shared" si="101"/>
        <v xml:space="preserve">09.004.002.001 </v>
      </c>
      <c r="BA152" s="365"/>
      <c r="BB152" s="365"/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872">
        <f t="shared" si="102"/>
        <v>0</v>
      </c>
      <c r="BM152" s="873">
        <f t="shared" si="103"/>
        <v>0</v>
      </c>
      <c r="BN152" s="874">
        <f t="shared" si="131"/>
        <v>0</v>
      </c>
      <c r="BO152" s="875">
        <f t="shared" si="104"/>
        <v>0</v>
      </c>
      <c r="BP152" s="875">
        <f t="shared" si="105"/>
        <v>0</v>
      </c>
      <c r="BQ152" s="876">
        <f t="shared" si="132"/>
        <v>0</v>
      </c>
      <c r="BR152" s="877">
        <f t="shared" si="133"/>
        <v>0</v>
      </c>
      <c r="BS152" s="875">
        <f t="shared" si="106"/>
        <v>0</v>
      </c>
      <c r="BT152" s="875">
        <f t="shared" si="107"/>
        <v>0</v>
      </c>
      <c r="BU152" s="878">
        <f t="shared" si="134"/>
        <v>0</v>
      </c>
      <c r="CE152" s="486">
        <v>141</v>
      </c>
    </row>
    <row r="153" spans="1:83" s="177" customFormat="1" ht="21.95" customHeight="1" x14ac:dyDescent="0.2">
      <c r="A153" s="237">
        <f t="shared" si="108"/>
        <v>0</v>
      </c>
      <c r="B153" s="237">
        <f t="shared" si="109"/>
        <v>0</v>
      </c>
      <c r="C153" s="393">
        <f t="shared" si="94"/>
        <v>0</v>
      </c>
      <c r="D153" s="393" t="str">
        <f t="shared" si="95"/>
        <v xml:space="preserve">09 </v>
      </c>
      <c r="E153" s="959" t="s">
        <v>1429</v>
      </c>
      <c r="F153" s="959" t="s">
        <v>2249</v>
      </c>
      <c r="G153" s="959" t="s">
        <v>15</v>
      </c>
      <c r="H153" s="970">
        <v>54.44</v>
      </c>
      <c r="I153" s="970">
        <v>48.396999999999998</v>
      </c>
      <c r="J153" s="964">
        <v>2634.73</v>
      </c>
      <c r="K153" s="367">
        <v>0</v>
      </c>
      <c r="L153" s="367">
        <f>IF($H153="",0,VLOOKUP($E153,Plan3!$A$16:$CT$384,$E$7,0)%)</f>
        <v>0</v>
      </c>
      <c r="M153" s="368">
        <f t="shared" si="114"/>
        <v>0</v>
      </c>
      <c r="N153" s="368">
        <f t="shared" si="115"/>
        <v>0</v>
      </c>
      <c r="O153" s="367">
        <v>0</v>
      </c>
      <c r="P153" s="367">
        <f>VLOOKUP($E153,Plan3!$A$492:$P$858,13,0)%</f>
        <v>0</v>
      </c>
      <c r="Q153" s="368">
        <f t="shared" si="116"/>
        <v>0</v>
      </c>
      <c r="R153" s="368">
        <f t="shared" si="117"/>
        <v>0</v>
      </c>
      <c r="S153" s="880">
        <v>2665.292868</v>
      </c>
      <c r="T153" s="880">
        <f t="shared" si="118"/>
        <v>0</v>
      </c>
      <c r="U153" s="880">
        <f>IF($I153="",0,($S153-$T153)*(1+('Econômico Macro'!$R$12/100)))</f>
        <v>2711.4024346164001</v>
      </c>
      <c r="V153" s="880">
        <f t="shared" si="119"/>
        <v>2711.4024346164001</v>
      </c>
      <c r="W153" s="880">
        <f t="shared" si="120"/>
        <v>0</v>
      </c>
      <c r="X153" s="367">
        <f t="shared" si="96"/>
        <v>0</v>
      </c>
      <c r="Y153" s="367">
        <f t="shared" si="97"/>
        <v>0</v>
      </c>
      <c r="Z153" s="367">
        <f t="shared" si="98"/>
        <v>0</v>
      </c>
      <c r="AA153" s="367">
        <f t="shared" si="99"/>
        <v>0</v>
      </c>
      <c r="AB153" s="369" t="str">
        <f t="shared" si="100"/>
        <v>Não Iniciada</v>
      </c>
      <c r="AC153" s="365"/>
      <c r="AD153" s="368">
        <v>1</v>
      </c>
      <c r="AE153" s="368">
        <f t="shared" si="121"/>
        <v>-1</v>
      </c>
      <c r="AF153" s="365"/>
      <c r="AG153" s="863">
        <f t="shared" si="110"/>
        <v>0</v>
      </c>
      <c r="AH153" s="864">
        <f t="shared" si="122"/>
        <v>0</v>
      </c>
      <c r="AI153" s="863">
        <f t="shared" si="111"/>
        <v>0</v>
      </c>
      <c r="AJ153" s="864">
        <f t="shared" si="123"/>
        <v>0</v>
      </c>
      <c r="AK153" s="365"/>
      <c r="AL153" s="865">
        <f t="shared" si="112"/>
        <v>0</v>
      </c>
      <c r="AM153" s="866">
        <f t="shared" si="124"/>
        <v>0</v>
      </c>
      <c r="AN153" s="866">
        <f t="shared" si="125"/>
        <v>0</v>
      </c>
      <c r="AO153" s="866">
        <f t="shared" si="126"/>
        <v>0</v>
      </c>
      <c r="AP153" s="867">
        <f t="shared" si="127"/>
        <v>0</v>
      </c>
      <c r="AQ153" s="591">
        <f t="shared" si="113"/>
        <v>0</v>
      </c>
      <c r="AR153" s="868">
        <f>IF(AND($L153=0,$P153=0)=TRUE,VLOOKUP($E153,Plan3!$A$16:$CT$487,$E$7+3,0)/100,0)</f>
        <v>0</v>
      </c>
      <c r="AS153" s="868">
        <f>IF(AND($L153=0,$P153=0)=TRUE,VLOOKUP($E153,Plan3!$A$16:$CT$487,$E$7+6,0)/100,0)</f>
        <v>0</v>
      </c>
      <c r="AT153" s="868">
        <f>IF(AND($L153=0,$P153=0)=TRUE,VLOOKUP($E153,Plan3!$A$16:$CT$487,$E$7+9,0)/100,0)</f>
        <v>0</v>
      </c>
      <c r="AU153" s="868">
        <f>IF(AND($L153=0,$P153=0)=TRUE,VLOOKUP($E153,Plan3!$A$16:$CT$487,$E$7+12,0)/100,0)</f>
        <v>0</v>
      </c>
      <c r="AV153" s="841"/>
      <c r="AW153" s="869">
        <f t="shared" si="128"/>
        <v>0</v>
      </c>
      <c r="AX153" s="870">
        <f t="shared" si="129"/>
        <v>0</v>
      </c>
      <c r="AY153" s="871">
        <f t="shared" si="130"/>
        <v>0</v>
      </c>
      <c r="AZ153" s="237" t="str">
        <f t="shared" si="101"/>
        <v xml:space="preserve">09.004.002.002 </v>
      </c>
      <c r="BA153" s="365"/>
      <c r="BB153" s="365"/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872">
        <f t="shared" si="102"/>
        <v>0</v>
      </c>
      <c r="BM153" s="873">
        <f t="shared" si="103"/>
        <v>0</v>
      </c>
      <c r="BN153" s="874">
        <f t="shared" si="131"/>
        <v>0</v>
      </c>
      <c r="BO153" s="875">
        <f t="shared" si="104"/>
        <v>0</v>
      </c>
      <c r="BP153" s="875">
        <f t="shared" si="105"/>
        <v>0</v>
      </c>
      <c r="BQ153" s="876">
        <f t="shared" si="132"/>
        <v>0</v>
      </c>
      <c r="BR153" s="877">
        <f t="shared" si="133"/>
        <v>0</v>
      </c>
      <c r="BS153" s="875">
        <f t="shared" si="106"/>
        <v>0</v>
      </c>
      <c r="BT153" s="875">
        <f t="shared" si="107"/>
        <v>0</v>
      </c>
      <c r="BU153" s="878">
        <f t="shared" si="134"/>
        <v>0</v>
      </c>
      <c r="CE153" s="486">
        <v>142</v>
      </c>
    </row>
    <row r="154" spans="1:83" s="177" customFormat="1" ht="21.95" customHeight="1" x14ac:dyDescent="0.2">
      <c r="A154" s="237">
        <f t="shared" si="108"/>
        <v>0</v>
      </c>
      <c r="B154" s="237">
        <f t="shared" si="109"/>
        <v>0</v>
      </c>
      <c r="C154" s="393">
        <f t="shared" si="94"/>
        <v>0</v>
      </c>
      <c r="D154" s="393" t="str">
        <f t="shared" si="95"/>
        <v xml:space="preserve">09 </v>
      </c>
      <c r="E154" s="959" t="s">
        <v>1430</v>
      </c>
      <c r="F154" s="959" t="s">
        <v>1439</v>
      </c>
      <c r="G154" s="959" t="s">
        <v>15</v>
      </c>
      <c r="H154" s="970">
        <v>80.66</v>
      </c>
      <c r="I154" s="970">
        <v>12</v>
      </c>
      <c r="J154" s="966">
        <v>967.92</v>
      </c>
      <c r="K154" s="367">
        <v>0</v>
      </c>
      <c r="L154" s="367">
        <f>IF($H154="",0,VLOOKUP($E154,Plan3!$A$16:$CT$384,$E$7,0)%)</f>
        <v>0</v>
      </c>
      <c r="M154" s="368">
        <f t="shared" si="114"/>
        <v>0</v>
      </c>
      <c r="N154" s="368">
        <f t="shared" si="115"/>
        <v>0</v>
      </c>
      <c r="O154" s="367">
        <v>0</v>
      </c>
      <c r="P154" s="367">
        <f>VLOOKUP($E154,Plan3!$A$492:$P$858,13,0)%</f>
        <v>0</v>
      </c>
      <c r="Q154" s="368">
        <f t="shared" si="116"/>
        <v>0</v>
      </c>
      <c r="R154" s="368">
        <f t="shared" si="117"/>
        <v>0</v>
      </c>
      <c r="S154" s="880">
        <v>979.14787200000001</v>
      </c>
      <c r="T154" s="880">
        <f t="shared" si="118"/>
        <v>0</v>
      </c>
      <c r="U154" s="880">
        <f>IF($I154="",0,($S154-$T154)*(1+('Econômico Macro'!$R$12/100)))</f>
        <v>996.08713018560013</v>
      </c>
      <c r="V154" s="880">
        <f t="shared" si="119"/>
        <v>996.08713018560013</v>
      </c>
      <c r="W154" s="880">
        <f t="shared" si="120"/>
        <v>0</v>
      </c>
      <c r="X154" s="367">
        <f t="shared" si="96"/>
        <v>0</v>
      </c>
      <c r="Y154" s="367">
        <f t="shared" si="97"/>
        <v>0</v>
      </c>
      <c r="Z154" s="367">
        <f t="shared" si="98"/>
        <v>0</v>
      </c>
      <c r="AA154" s="367">
        <f t="shared" si="99"/>
        <v>0</v>
      </c>
      <c r="AB154" s="369" t="str">
        <f t="shared" si="100"/>
        <v>Não Iniciada</v>
      </c>
      <c r="AC154" s="365"/>
      <c r="AD154" s="368">
        <v>1</v>
      </c>
      <c r="AE154" s="368">
        <f t="shared" si="121"/>
        <v>-1</v>
      </c>
      <c r="AF154" s="365"/>
      <c r="AG154" s="863">
        <f t="shared" si="110"/>
        <v>0</v>
      </c>
      <c r="AH154" s="864">
        <f t="shared" si="122"/>
        <v>0</v>
      </c>
      <c r="AI154" s="863">
        <f t="shared" si="111"/>
        <v>0</v>
      </c>
      <c r="AJ154" s="864">
        <f t="shared" si="123"/>
        <v>0</v>
      </c>
      <c r="AK154" s="365"/>
      <c r="AL154" s="865">
        <f t="shared" si="112"/>
        <v>0</v>
      </c>
      <c r="AM154" s="866">
        <f t="shared" si="124"/>
        <v>0</v>
      </c>
      <c r="AN154" s="866">
        <f t="shared" si="125"/>
        <v>0</v>
      </c>
      <c r="AO154" s="866">
        <f t="shared" si="126"/>
        <v>0</v>
      </c>
      <c r="AP154" s="867">
        <f t="shared" si="127"/>
        <v>0</v>
      </c>
      <c r="AQ154" s="591">
        <f t="shared" si="113"/>
        <v>0</v>
      </c>
      <c r="AR154" s="868">
        <f>IF(AND($L154=0,$P154=0)=TRUE,VLOOKUP($E154,Plan3!$A$16:$CT$487,$E$7+3,0)/100,0)</f>
        <v>0</v>
      </c>
      <c r="AS154" s="868">
        <f>IF(AND($L154=0,$P154=0)=TRUE,VLOOKUP($E154,Plan3!$A$16:$CT$487,$E$7+6,0)/100,0)</f>
        <v>0</v>
      </c>
      <c r="AT154" s="868">
        <f>IF(AND($L154=0,$P154=0)=TRUE,VLOOKUP($E154,Plan3!$A$16:$CT$487,$E$7+9,0)/100,0)</f>
        <v>0</v>
      </c>
      <c r="AU154" s="868">
        <f>IF(AND($L154=0,$P154=0)=TRUE,VLOOKUP($E154,Plan3!$A$16:$CT$487,$E$7+12,0)/100,0)</f>
        <v>0</v>
      </c>
      <c r="AV154" s="841"/>
      <c r="AW154" s="869">
        <f t="shared" si="128"/>
        <v>0</v>
      </c>
      <c r="AX154" s="870">
        <f t="shared" si="129"/>
        <v>0</v>
      </c>
      <c r="AY154" s="871">
        <f t="shared" si="130"/>
        <v>0</v>
      </c>
      <c r="AZ154" s="237" t="str">
        <f t="shared" si="101"/>
        <v xml:space="preserve">09.004.002.003 </v>
      </c>
      <c r="BA154" s="365"/>
      <c r="BB154" s="365"/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872">
        <f t="shared" si="102"/>
        <v>0</v>
      </c>
      <c r="BM154" s="873">
        <f t="shared" si="103"/>
        <v>0</v>
      </c>
      <c r="BN154" s="874">
        <f t="shared" si="131"/>
        <v>0</v>
      </c>
      <c r="BO154" s="875">
        <f t="shared" si="104"/>
        <v>0</v>
      </c>
      <c r="BP154" s="875">
        <f t="shared" si="105"/>
        <v>0</v>
      </c>
      <c r="BQ154" s="876">
        <f t="shared" si="132"/>
        <v>0</v>
      </c>
      <c r="BR154" s="877">
        <f t="shared" si="133"/>
        <v>0</v>
      </c>
      <c r="BS154" s="875">
        <f t="shared" si="106"/>
        <v>0</v>
      </c>
      <c r="BT154" s="875">
        <f t="shared" si="107"/>
        <v>0</v>
      </c>
      <c r="BU154" s="878">
        <f t="shared" si="134"/>
        <v>0</v>
      </c>
      <c r="CE154" s="486">
        <v>143</v>
      </c>
    </row>
    <row r="155" spans="1:83" s="177" customFormat="1" ht="21.95" customHeight="1" x14ac:dyDescent="0.2">
      <c r="A155" s="237">
        <f t="shared" si="108"/>
        <v>0</v>
      </c>
      <c r="B155" s="237">
        <f t="shared" si="109"/>
        <v>0</v>
      </c>
      <c r="C155" s="393">
        <f t="shared" si="94"/>
        <v>0</v>
      </c>
      <c r="D155" s="393" t="str">
        <f t="shared" si="95"/>
        <v xml:space="preserve">09 </v>
      </c>
      <c r="E155" s="967" t="s">
        <v>1432</v>
      </c>
      <c r="F155" s="967" t="s">
        <v>1440</v>
      </c>
      <c r="G155" s="967"/>
      <c r="H155" s="968"/>
      <c r="I155" s="968"/>
      <c r="J155" s="977">
        <v>78.430000000000007</v>
      </c>
      <c r="K155" s="367">
        <v>0</v>
      </c>
      <c r="L155" s="367">
        <f>IF($H155="",0,VLOOKUP($E155,Plan3!$A$16:$CT$384,$E$7,0)%)</f>
        <v>0</v>
      </c>
      <c r="M155" s="368">
        <f t="shared" si="114"/>
        <v>0</v>
      </c>
      <c r="N155" s="368">
        <f t="shared" si="115"/>
        <v>0</v>
      </c>
      <c r="O155" s="367">
        <v>0</v>
      </c>
      <c r="P155" s="367">
        <f>VLOOKUP($E155,Plan3!$A$492:$P$858,13,0)%</f>
        <v>0</v>
      </c>
      <c r="Q155" s="368">
        <f t="shared" si="116"/>
        <v>0</v>
      </c>
      <c r="R155" s="368">
        <f t="shared" si="117"/>
        <v>0</v>
      </c>
      <c r="S155" s="880">
        <v>0</v>
      </c>
      <c r="T155" s="880">
        <f t="shared" si="118"/>
        <v>0</v>
      </c>
      <c r="U155" s="880">
        <f>IF($I155="",0,($S155-$T155)*(1+('Econômico Macro'!$R$12/100)))</f>
        <v>0</v>
      </c>
      <c r="V155" s="880">
        <f t="shared" si="119"/>
        <v>0</v>
      </c>
      <c r="W155" s="880">
        <f t="shared" si="120"/>
        <v>0</v>
      </c>
      <c r="X155" s="367">
        <f t="shared" si="96"/>
        <v>0</v>
      </c>
      <c r="Y155" s="367">
        <f t="shared" si="97"/>
        <v>0</v>
      </c>
      <c r="Z155" s="367">
        <f t="shared" si="98"/>
        <v>0</v>
      </c>
      <c r="AA155" s="367">
        <f t="shared" si="99"/>
        <v>0</v>
      </c>
      <c r="AB155" s="369" t="str">
        <f t="shared" si="100"/>
        <v>Não Iniciada</v>
      </c>
      <c r="AC155" s="365"/>
      <c r="AD155" s="368">
        <v>1</v>
      </c>
      <c r="AE155" s="368">
        <f t="shared" si="121"/>
        <v>-1</v>
      </c>
      <c r="AF155" s="365"/>
      <c r="AG155" s="863">
        <f t="shared" si="110"/>
        <v>0</v>
      </c>
      <c r="AH155" s="864">
        <f t="shared" si="122"/>
        <v>0</v>
      </c>
      <c r="AI155" s="863">
        <f t="shared" si="111"/>
        <v>0</v>
      </c>
      <c r="AJ155" s="864">
        <f t="shared" si="123"/>
        <v>0</v>
      </c>
      <c r="AK155" s="365"/>
      <c r="AL155" s="865">
        <f t="shared" si="112"/>
        <v>0</v>
      </c>
      <c r="AM155" s="866">
        <f t="shared" si="124"/>
        <v>0</v>
      </c>
      <c r="AN155" s="866">
        <f t="shared" si="125"/>
        <v>0</v>
      </c>
      <c r="AO155" s="866">
        <f t="shared" si="126"/>
        <v>0</v>
      </c>
      <c r="AP155" s="867">
        <f t="shared" si="127"/>
        <v>0</v>
      </c>
      <c r="AQ155" s="591"/>
      <c r="AR155" s="868"/>
      <c r="AS155" s="868"/>
      <c r="AT155" s="868"/>
      <c r="AU155" s="868"/>
      <c r="AV155" s="841"/>
      <c r="AW155" s="869"/>
      <c r="AX155" s="870"/>
      <c r="AY155" s="871"/>
      <c r="AZ155" s="237" t="str">
        <f t="shared" si="101"/>
        <v xml:space="preserve">09.004.003 </v>
      </c>
      <c r="BA155" s="365"/>
      <c r="BB155" s="365"/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872">
        <f t="shared" si="102"/>
        <v>0</v>
      </c>
      <c r="BM155" s="873">
        <f t="shared" si="103"/>
        <v>0</v>
      </c>
      <c r="BN155" s="874">
        <f t="shared" si="131"/>
        <v>0</v>
      </c>
      <c r="BO155" s="875">
        <f t="shared" si="104"/>
        <v>0</v>
      </c>
      <c r="BP155" s="875">
        <f t="shared" si="105"/>
        <v>0</v>
      </c>
      <c r="BQ155" s="876">
        <f t="shared" si="132"/>
        <v>0</v>
      </c>
      <c r="BR155" s="877">
        <f t="shared" si="133"/>
        <v>0</v>
      </c>
      <c r="BS155" s="875">
        <f t="shared" si="106"/>
        <v>0</v>
      </c>
      <c r="BT155" s="875">
        <f t="shared" si="107"/>
        <v>0</v>
      </c>
      <c r="BU155" s="878">
        <f t="shared" si="134"/>
        <v>0</v>
      </c>
      <c r="CE155" s="486">
        <v>144</v>
      </c>
    </row>
    <row r="156" spans="1:83" s="177" customFormat="1" ht="21.95" customHeight="1" x14ac:dyDescent="0.2">
      <c r="A156" s="237">
        <f t="shared" si="108"/>
        <v>0</v>
      </c>
      <c r="B156" s="237">
        <f t="shared" si="109"/>
        <v>0</v>
      </c>
      <c r="C156" s="393">
        <f t="shared" si="94"/>
        <v>0</v>
      </c>
      <c r="D156" s="393" t="str">
        <f t="shared" si="95"/>
        <v xml:space="preserve">09 </v>
      </c>
      <c r="E156" s="959" t="s">
        <v>1434</v>
      </c>
      <c r="F156" s="959" t="s">
        <v>496</v>
      </c>
      <c r="G156" s="959" t="s">
        <v>90</v>
      </c>
      <c r="H156" s="970">
        <v>14.77</v>
      </c>
      <c r="I156" s="960">
        <v>0.1105</v>
      </c>
      <c r="J156" s="973">
        <v>1.63</v>
      </c>
      <c r="K156" s="367">
        <v>0</v>
      </c>
      <c r="L156" s="367">
        <f>IF($H156="",0,VLOOKUP($E156,Plan3!$A$16:$CT$384,$E$7,0)%)</f>
        <v>0</v>
      </c>
      <c r="M156" s="368">
        <f t="shared" si="114"/>
        <v>0</v>
      </c>
      <c r="N156" s="368">
        <f t="shared" si="115"/>
        <v>0</v>
      </c>
      <c r="O156" s="367">
        <v>0</v>
      </c>
      <c r="P156" s="367">
        <f>VLOOKUP($E156,Plan3!$A$492:$P$858,13,0)%</f>
        <v>0</v>
      </c>
      <c r="Q156" s="368">
        <f t="shared" si="116"/>
        <v>0</v>
      </c>
      <c r="R156" s="368">
        <f t="shared" si="117"/>
        <v>0</v>
      </c>
      <c r="S156" s="880">
        <v>1.648908</v>
      </c>
      <c r="T156" s="880">
        <f t="shared" si="118"/>
        <v>0</v>
      </c>
      <c r="U156" s="880">
        <f>IF($I156="",0,($S156-$T156)*(1+('Econômico Macro'!$R$12/100)))</f>
        <v>1.6774341084000002</v>
      </c>
      <c r="V156" s="880">
        <f t="shared" si="119"/>
        <v>1.6774341084000002</v>
      </c>
      <c r="W156" s="880">
        <f t="shared" si="120"/>
        <v>0</v>
      </c>
      <c r="X156" s="367">
        <f t="shared" si="96"/>
        <v>0</v>
      </c>
      <c r="Y156" s="367">
        <f t="shared" si="97"/>
        <v>0</v>
      </c>
      <c r="Z156" s="367">
        <f t="shared" si="98"/>
        <v>0</v>
      </c>
      <c r="AA156" s="367">
        <f t="shared" si="99"/>
        <v>0</v>
      </c>
      <c r="AB156" s="369" t="str">
        <f t="shared" si="100"/>
        <v>Não Iniciada</v>
      </c>
      <c r="AC156" s="365"/>
      <c r="AD156" s="368">
        <v>1</v>
      </c>
      <c r="AE156" s="368">
        <f t="shared" si="121"/>
        <v>-1</v>
      </c>
      <c r="AF156" s="365"/>
      <c r="AG156" s="863">
        <f t="shared" si="110"/>
        <v>0</v>
      </c>
      <c r="AH156" s="864">
        <f t="shared" si="122"/>
        <v>0</v>
      </c>
      <c r="AI156" s="863">
        <f t="shared" si="111"/>
        <v>0</v>
      </c>
      <c r="AJ156" s="864">
        <f t="shared" si="123"/>
        <v>0</v>
      </c>
      <c r="AK156" s="365"/>
      <c r="AL156" s="865">
        <f t="shared" si="112"/>
        <v>0</v>
      </c>
      <c r="AM156" s="866">
        <f t="shared" si="124"/>
        <v>0</v>
      </c>
      <c r="AN156" s="866">
        <f t="shared" si="125"/>
        <v>0</v>
      </c>
      <c r="AO156" s="866">
        <f t="shared" si="126"/>
        <v>0</v>
      </c>
      <c r="AP156" s="867">
        <f t="shared" si="127"/>
        <v>0</v>
      </c>
      <c r="AQ156" s="591">
        <f t="shared" si="113"/>
        <v>0</v>
      </c>
      <c r="AR156" s="868">
        <f>IF(AND($L156=0,$P156=0)=TRUE,VLOOKUP($E156,Plan3!$A$16:$CT$487,$E$7+3,0)/100,0)</f>
        <v>0</v>
      </c>
      <c r="AS156" s="868">
        <f>IF(AND($L156=0,$P156=0)=TRUE,VLOOKUP($E156,Plan3!$A$16:$CT$487,$E$7+6,0)/100,0)</f>
        <v>0</v>
      </c>
      <c r="AT156" s="868">
        <f>IF(AND($L156=0,$P156=0)=TRUE,VLOOKUP($E156,Plan3!$A$16:$CT$487,$E$7+9,0)/100,0)</f>
        <v>0</v>
      </c>
      <c r="AU156" s="868">
        <f>IF(AND($L156=0,$P156=0)=TRUE,VLOOKUP($E156,Plan3!$A$16:$CT$487,$E$7+12,0)/100,0)</f>
        <v>0</v>
      </c>
      <c r="AV156" s="841"/>
      <c r="AW156" s="869">
        <f t="shared" si="128"/>
        <v>0</v>
      </c>
      <c r="AX156" s="870">
        <f t="shared" si="129"/>
        <v>0</v>
      </c>
      <c r="AY156" s="871">
        <f t="shared" si="130"/>
        <v>0</v>
      </c>
      <c r="AZ156" s="237" t="str">
        <f t="shared" si="101"/>
        <v xml:space="preserve">09.004.003.001 </v>
      </c>
      <c r="BA156" s="365"/>
      <c r="BB156" s="365"/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872">
        <f t="shared" si="102"/>
        <v>0</v>
      </c>
      <c r="BM156" s="873">
        <f t="shared" si="103"/>
        <v>0</v>
      </c>
      <c r="BN156" s="874">
        <f t="shared" si="131"/>
        <v>0</v>
      </c>
      <c r="BO156" s="875">
        <f t="shared" si="104"/>
        <v>0</v>
      </c>
      <c r="BP156" s="875">
        <f t="shared" si="105"/>
        <v>0</v>
      </c>
      <c r="BQ156" s="876">
        <f t="shared" si="132"/>
        <v>0</v>
      </c>
      <c r="BR156" s="877">
        <f t="shared" si="133"/>
        <v>0</v>
      </c>
      <c r="BS156" s="875">
        <f t="shared" si="106"/>
        <v>0</v>
      </c>
      <c r="BT156" s="875">
        <f t="shared" si="107"/>
        <v>0</v>
      </c>
      <c r="BU156" s="878">
        <f t="shared" si="134"/>
        <v>0</v>
      </c>
      <c r="CE156" s="486">
        <v>145</v>
      </c>
    </row>
    <row r="157" spans="1:83" s="177" customFormat="1" ht="21.95" customHeight="1" x14ac:dyDescent="0.2">
      <c r="A157" s="237">
        <f t="shared" si="108"/>
        <v>0</v>
      </c>
      <c r="B157" s="237">
        <f t="shared" si="109"/>
        <v>0</v>
      </c>
      <c r="C157" s="393">
        <f t="shared" si="94"/>
        <v>0</v>
      </c>
      <c r="D157" s="393" t="str">
        <f t="shared" si="95"/>
        <v xml:space="preserve">09 </v>
      </c>
      <c r="E157" s="959" t="s">
        <v>1435</v>
      </c>
      <c r="F157" s="959" t="s">
        <v>2250</v>
      </c>
      <c r="G157" s="959" t="s">
        <v>90</v>
      </c>
      <c r="H157" s="970">
        <v>14.77</v>
      </c>
      <c r="I157" s="960">
        <v>5.2</v>
      </c>
      <c r="J157" s="976">
        <v>76.8</v>
      </c>
      <c r="K157" s="367">
        <v>0</v>
      </c>
      <c r="L157" s="367">
        <f>IF($H157="",0,VLOOKUP($E157,Plan3!$A$16:$CT$384,$E$7,0)%)</f>
        <v>0</v>
      </c>
      <c r="M157" s="368">
        <f t="shared" si="114"/>
        <v>0</v>
      </c>
      <c r="N157" s="368">
        <f t="shared" si="115"/>
        <v>0</v>
      </c>
      <c r="O157" s="367">
        <v>0</v>
      </c>
      <c r="P157" s="367">
        <f>VLOOKUP($E157,Plan3!$A$492:$P$858,13,0)%</f>
        <v>0</v>
      </c>
      <c r="Q157" s="368">
        <f t="shared" si="116"/>
        <v>0</v>
      </c>
      <c r="R157" s="368">
        <f t="shared" si="117"/>
        <v>0</v>
      </c>
      <c r="S157" s="880">
        <v>77.690880000000007</v>
      </c>
      <c r="T157" s="880">
        <f t="shared" si="118"/>
        <v>0</v>
      </c>
      <c r="U157" s="880">
        <f>IF($I157="",0,($S157-$T157)*(1+('Econômico Macro'!$R$12/100)))</f>
        <v>79.034932224000016</v>
      </c>
      <c r="V157" s="880">
        <f t="shared" si="119"/>
        <v>79.034932224000016</v>
      </c>
      <c r="W157" s="880">
        <f t="shared" si="120"/>
        <v>0</v>
      </c>
      <c r="X157" s="367">
        <f t="shared" si="96"/>
        <v>0</v>
      </c>
      <c r="Y157" s="367">
        <f t="shared" si="97"/>
        <v>0</v>
      </c>
      <c r="Z157" s="367">
        <f t="shared" si="98"/>
        <v>0</v>
      </c>
      <c r="AA157" s="367">
        <f t="shared" si="99"/>
        <v>0</v>
      </c>
      <c r="AB157" s="369" t="str">
        <f t="shared" si="100"/>
        <v>Não Iniciada</v>
      </c>
      <c r="AC157" s="365"/>
      <c r="AD157" s="368">
        <v>1</v>
      </c>
      <c r="AE157" s="368">
        <f t="shared" si="121"/>
        <v>-1</v>
      </c>
      <c r="AF157" s="365"/>
      <c r="AG157" s="863">
        <f t="shared" si="110"/>
        <v>0</v>
      </c>
      <c r="AH157" s="864">
        <f t="shared" si="122"/>
        <v>0</v>
      </c>
      <c r="AI157" s="863">
        <f t="shared" si="111"/>
        <v>0</v>
      </c>
      <c r="AJ157" s="864">
        <f t="shared" si="123"/>
        <v>0</v>
      </c>
      <c r="AK157" s="365"/>
      <c r="AL157" s="865">
        <f t="shared" si="112"/>
        <v>0</v>
      </c>
      <c r="AM157" s="866">
        <f t="shared" si="124"/>
        <v>0</v>
      </c>
      <c r="AN157" s="866">
        <f t="shared" si="125"/>
        <v>0</v>
      </c>
      <c r="AO157" s="866">
        <f t="shared" si="126"/>
        <v>0</v>
      </c>
      <c r="AP157" s="867">
        <f t="shared" si="127"/>
        <v>0</v>
      </c>
      <c r="AQ157" s="591">
        <f t="shared" si="113"/>
        <v>0</v>
      </c>
      <c r="AR157" s="868">
        <f>IF(AND($L157=0,$P157=0)=TRUE,VLOOKUP($E157,Plan3!$A$16:$CT$487,$E$7+3,0)/100,0)</f>
        <v>0</v>
      </c>
      <c r="AS157" s="868">
        <f>IF(AND($L157=0,$P157=0)=TRUE,VLOOKUP($E157,Plan3!$A$16:$CT$487,$E$7+6,0)/100,0)</f>
        <v>0</v>
      </c>
      <c r="AT157" s="868">
        <f>IF(AND($L157=0,$P157=0)=TRUE,VLOOKUP($E157,Plan3!$A$16:$CT$487,$E$7+9,0)/100,0)</f>
        <v>0</v>
      </c>
      <c r="AU157" s="868">
        <f>IF(AND($L157=0,$P157=0)=TRUE,VLOOKUP($E157,Plan3!$A$16:$CT$487,$E$7+12,0)/100,0)</f>
        <v>0</v>
      </c>
      <c r="AV157" s="841"/>
      <c r="AW157" s="869">
        <f t="shared" si="128"/>
        <v>0</v>
      </c>
      <c r="AX157" s="870">
        <f t="shared" si="129"/>
        <v>0</v>
      </c>
      <c r="AY157" s="871">
        <f t="shared" si="130"/>
        <v>0</v>
      </c>
      <c r="AZ157" s="237" t="str">
        <f t="shared" si="101"/>
        <v xml:space="preserve">09.004.003.002 </v>
      </c>
      <c r="BA157" s="365"/>
      <c r="BB157" s="365"/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872">
        <f t="shared" si="102"/>
        <v>0</v>
      </c>
      <c r="BM157" s="873">
        <f t="shared" si="103"/>
        <v>0</v>
      </c>
      <c r="BN157" s="874">
        <f t="shared" si="131"/>
        <v>0</v>
      </c>
      <c r="BO157" s="875">
        <f t="shared" si="104"/>
        <v>0</v>
      </c>
      <c r="BP157" s="875">
        <f t="shared" si="105"/>
        <v>0</v>
      </c>
      <c r="BQ157" s="876">
        <f t="shared" si="132"/>
        <v>0</v>
      </c>
      <c r="BR157" s="877">
        <f t="shared" si="133"/>
        <v>0</v>
      </c>
      <c r="BS157" s="875">
        <f t="shared" si="106"/>
        <v>0</v>
      </c>
      <c r="BT157" s="875">
        <f t="shared" si="107"/>
        <v>0</v>
      </c>
      <c r="BU157" s="878">
        <f t="shared" si="134"/>
        <v>0</v>
      </c>
      <c r="CE157" s="486">
        <v>146</v>
      </c>
    </row>
    <row r="158" spans="1:83" s="177" customFormat="1" ht="21.95" customHeight="1" x14ac:dyDescent="0.2">
      <c r="A158" s="237">
        <f t="shared" si="108"/>
        <v>0</v>
      </c>
      <c r="B158" s="237">
        <f t="shared" si="109"/>
        <v>0</v>
      </c>
      <c r="C158" s="393">
        <f t="shared" si="94"/>
        <v>0</v>
      </c>
      <c r="D158" s="393" t="str">
        <f t="shared" si="95"/>
        <v xml:space="preserve">09 </v>
      </c>
      <c r="E158" s="967" t="s">
        <v>2087</v>
      </c>
      <c r="F158" s="967" t="s">
        <v>1441</v>
      </c>
      <c r="G158" s="967"/>
      <c r="H158" s="968"/>
      <c r="I158" s="968"/>
      <c r="J158" s="969">
        <v>49075.14</v>
      </c>
      <c r="K158" s="367">
        <v>0</v>
      </c>
      <c r="L158" s="367">
        <f>IF($H158="",0,VLOOKUP($E158,Plan3!$A$16:$CT$384,$E$7,0)%)</f>
        <v>0</v>
      </c>
      <c r="M158" s="368">
        <f t="shared" si="114"/>
        <v>0</v>
      </c>
      <c r="N158" s="368">
        <f t="shared" si="115"/>
        <v>0</v>
      </c>
      <c r="O158" s="367">
        <v>0</v>
      </c>
      <c r="P158" s="367">
        <f>VLOOKUP($E158,Plan3!$A$492:$P$858,13,0)%</f>
        <v>0</v>
      </c>
      <c r="Q158" s="368">
        <f t="shared" si="116"/>
        <v>0</v>
      </c>
      <c r="R158" s="368">
        <f t="shared" si="117"/>
        <v>0</v>
      </c>
      <c r="S158" s="880">
        <v>0</v>
      </c>
      <c r="T158" s="880">
        <f t="shared" si="118"/>
        <v>0</v>
      </c>
      <c r="U158" s="880">
        <f>IF($I158="",0,($S158-$T158)*(1+('Econômico Macro'!$R$12/100)))</f>
        <v>0</v>
      </c>
      <c r="V158" s="880">
        <f t="shared" si="119"/>
        <v>0</v>
      </c>
      <c r="W158" s="880">
        <f t="shared" si="120"/>
        <v>0</v>
      </c>
      <c r="X158" s="367">
        <f t="shared" si="96"/>
        <v>0</v>
      </c>
      <c r="Y158" s="367">
        <f t="shared" si="97"/>
        <v>0</v>
      </c>
      <c r="Z158" s="367">
        <f t="shared" si="98"/>
        <v>0</v>
      </c>
      <c r="AA158" s="367">
        <f t="shared" si="99"/>
        <v>0</v>
      </c>
      <c r="AB158" s="369" t="str">
        <f t="shared" si="100"/>
        <v>Não Iniciada</v>
      </c>
      <c r="AC158" s="365"/>
      <c r="AD158" s="368">
        <v>1</v>
      </c>
      <c r="AE158" s="368">
        <f t="shared" si="121"/>
        <v>-1</v>
      </c>
      <c r="AF158" s="365"/>
      <c r="AG158" s="863">
        <f t="shared" si="110"/>
        <v>0</v>
      </c>
      <c r="AH158" s="864">
        <f t="shared" si="122"/>
        <v>0</v>
      </c>
      <c r="AI158" s="863">
        <f t="shared" si="111"/>
        <v>0</v>
      </c>
      <c r="AJ158" s="864">
        <f t="shared" si="123"/>
        <v>0</v>
      </c>
      <c r="AK158" s="365"/>
      <c r="AL158" s="865">
        <f t="shared" si="112"/>
        <v>0</v>
      </c>
      <c r="AM158" s="866">
        <f t="shared" si="124"/>
        <v>0</v>
      </c>
      <c r="AN158" s="866">
        <f t="shared" si="125"/>
        <v>0</v>
      </c>
      <c r="AO158" s="866">
        <f t="shared" si="126"/>
        <v>0</v>
      </c>
      <c r="AP158" s="867">
        <f t="shared" si="127"/>
        <v>0</v>
      </c>
      <c r="AQ158" s="591"/>
      <c r="AR158" s="868"/>
      <c r="AS158" s="868"/>
      <c r="AT158" s="868"/>
      <c r="AU158" s="868"/>
      <c r="AV158" s="841"/>
      <c r="AW158" s="869"/>
      <c r="AX158" s="870"/>
      <c r="AY158" s="871"/>
      <c r="AZ158" s="237" t="str">
        <f t="shared" si="101"/>
        <v xml:space="preserve">09.004.004 </v>
      </c>
      <c r="BA158" s="365"/>
      <c r="BB158" s="365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872">
        <f t="shared" si="102"/>
        <v>0</v>
      </c>
      <c r="BM158" s="873">
        <f t="shared" si="103"/>
        <v>0</v>
      </c>
      <c r="BN158" s="874">
        <f t="shared" si="131"/>
        <v>0</v>
      </c>
      <c r="BO158" s="875">
        <f t="shared" si="104"/>
        <v>0</v>
      </c>
      <c r="BP158" s="875">
        <f t="shared" si="105"/>
        <v>0</v>
      </c>
      <c r="BQ158" s="876">
        <f t="shared" si="132"/>
        <v>0</v>
      </c>
      <c r="BR158" s="877">
        <f t="shared" si="133"/>
        <v>0</v>
      </c>
      <c r="BS158" s="875">
        <f t="shared" si="106"/>
        <v>0</v>
      </c>
      <c r="BT158" s="875">
        <f t="shared" si="107"/>
        <v>0</v>
      </c>
      <c r="BU158" s="878">
        <f t="shared" si="134"/>
        <v>0</v>
      </c>
      <c r="CE158" s="486">
        <v>146</v>
      </c>
    </row>
    <row r="159" spans="1:83" s="177" customFormat="1" ht="21.95" customHeight="1" x14ac:dyDescent="0.2">
      <c r="A159" s="237">
        <f t="shared" si="108"/>
        <v>0</v>
      </c>
      <c r="B159" s="237">
        <f t="shared" si="109"/>
        <v>0</v>
      </c>
      <c r="C159" s="393">
        <f t="shared" si="94"/>
        <v>0</v>
      </c>
      <c r="D159" s="393" t="str">
        <f t="shared" si="95"/>
        <v xml:space="preserve">09 </v>
      </c>
      <c r="E159" s="959" t="s">
        <v>2088</v>
      </c>
      <c r="F159" s="959" t="s">
        <v>1442</v>
      </c>
      <c r="G159" s="959" t="s">
        <v>15</v>
      </c>
      <c r="H159" s="965">
        <v>188.51</v>
      </c>
      <c r="I159" s="970">
        <v>84.234899999999996</v>
      </c>
      <c r="J159" s="962">
        <v>15879.12</v>
      </c>
      <c r="K159" s="367">
        <v>0</v>
      </c>
      <c r="L159" s="367">
        <f>IF($H159="",0,VLOOKUP($E159,Plan3!$A$16:$CT$384,$E$7,0)%)</f>
        <v>0</v>
      </c>
      <c r="M159" s="368">
        <f t="shared" si="114"/>
        <v>0</v>
      </c>
      <c r="N159" s="368">
        <f t="shared" si="115"/>
        <v>0</v>
      </c>
      <c r="O159" s="367">
        <v>0</v>
      </c>
      <c r="P159" s="367">
        <f>VLOOKUP($E159,Plan3!$A$492:$P$858,13,0)%</f>
        <v>0</v>
      </c>
      <c r="Q159" s="368">
        <f t="shared" si="116"/>
        <v>0</v>
      </c>
      <c r="R159" s="368">
        <f t="shared" si="117"/>
        <v>0</v>
      </c>
      <c r="S159" s="880">
        <v>16063.317792000002</v>
      </c>
      <c r="T159" s="880">
        <f t="shared" si="118"/>
        <v>0</v>
      </c>
      <c r="U159" s="880">
        <f>IF($I159="",0,($S159-$T159)*(1+('Econômico Macro'!$R$12/100)))</f>
        <v>16341.213189801603</v>
      </c>
      <c r="V159" s="880">
        <f t="shared" si="119"/>
        <v>16341.213189801603</v>
      </c>
      <c r="W159" s="880">
        <f t="shared" si="120"/>
        <v>0</v>
      </c>
      <c r="X159" s="367">
        <f t="shared" si="96"/>
        <v>0</v>
      </c>
      <c r="Y159" s="367">
        <f t="shared" si="97"/>
        <v>0</v>
      </c>
      <c r="Z159" s="367">
        <f t="shared" si="98"/>
        <v>0</v>
      </c>
      <c r="AA159" s="367">
        <f t="shared" si="99"/>
        <v>0</v>
      </c>
      <c r="AB159" s="369" t="str">
        <f t="shared" si="100"/>
        <v>Não Iniciada</v>
      </c>
      <c r="AC159" s="365"/>
      <c r="AD159" s="368">
        <v>1</v>
      </c>
      <c r="AE159" s="368">
        <f t="shared" si="121"/>
        <v>-1</v>
      </c>
      <c r="AF159" s="365"/>
      <c r="AG159" s="863">
        <f t="shared" si="110"/>
        <v>0</v>
      </c>
      <c r="AH159" s="864">
        <f t="shared" si="122"/>
        <v>0</v>
      </c>
      <c r="AI159" s="863">
        <f t="shared" si="111"/>
        <v>0</v>
      </c>
      <c r="AJ159" s="864">
        <f t="shared" si="123"/>
        <v>0</v>
      </c>
      <c r="AK159" s="365"/>
      <c r="AL159" s="865">
        <f t="shared" si="112"/>
        <v>0</v>
      </c>
      <c r="AM159" s="866">
        <f t="shared" si="124"/>
        <v>0</v>
      </c>
      <c r="AN159" s="866">
        <f t="shared" si="125"/>
        <v>0</v>
      </c>
      <c r="AO159" s="866">
        <f t="shared" si="126"/>
        <v>0</v>
      </c>
      <c r="AP159" s="867">
        <f t="shared" si="127"/>
        <v>0</v>
      </c>
      <c r="AQ159" s="591">
        <f t="shared" si="113"/>
        <v>0</v>
      </c>
      <c r="AR159" s="868">
        <f>IF(AND($L159=0,$P159=0)=TRUE,VLOOKUP($E159,Plan3!$A$16:$CT$487,$E$7+3,0)/100,0)</f>
        <v>0</v>
      </c>
      <c r="AS159" s="868">
        <f>IF(AND($L159=0,$P159=0)=TRUE,VLOOKUP($E159,Plan3!$A$16:$CT$487,$E$7+6,0)/100,0)</f>
        <v>0</v>
      </c>
      <c r="AT159" s="868">
        <f>IF(AND($L159=0,$P159=0)=TRUE,VLOOKUP($E159,Plan3!$A$16:$CT$487,$E$7+9,0)/100,0)</f>
        <v>0</v>
      </c>
      <c r="AU159" s="868">
        <f>IF(AND($L159=0,$P159=0)=TRUE,VLOOKUP($E159,Plan3!$A$16:$CT$487,$E$7+12,0)/100,0)</f>
        <v>0</v>
      </c>
      <c r="AV159" s="841"/>
      <c r="AW159" s="869">
        <f t="shared" si="128"/>
        <v>0</v>
      </c>
      <c r="AX159" s="870">
        <f t="shared" si="129"/>
        <v>0</v>
      </c>
      <c r="AY159" s="871">
        <f t="shared" si="130"/>
        <v>0</v>
      </c>
      <c r="AZ159" s="237" t="str">
        <f t="shared" si="101"/>
        <v xml:space="preserve">09.004.004.001 </v>
      </c>
      <c r="BA159" s="365"/>
      <c r="BB159" s="365"/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872">
        <f t="shared" si="102"/>
        <v>0</v>
      </c>
      <c r="BM159" s="873">
        <f t="shared" si="103"/>
        <v>0</v>
      </c>
      <c r="BN159" s="874">
        <f t="shared" si="131"/>
        <v>0</v>
      </c>
      <c r="BO159" s="875">
        <f t="shared" si="104"/>
        <v>0</v>
      </c>
      <c r="BP159" s="875">
        <f t="shared" si="105"/>
        <v>0</v>
      </c>
      <c r="BQ159" s="876">
        <f t="shared" si="132"/>
        <v>0</v>
      </c>
      <c r="BR159" s="877">
        <f t="shared" si="133"/>
        <v>0</v>
      </c>
      <c r="BS159" s="875">
        <f t="shared" si="106"/>
        <v>0</v>
      </c>
      <c r="BT159" s="875">
        <f t="shared" si="107"/>
        <v>0</v>
      </c>
      <c r="BU159" s="878">
        <f t="shared" si="134"/>
        <v>0</v>
      </c>
      <c r="CE159" s="486">
        <v>147</v>
      </c>
    </row>
    <row r="160" spans="1:83" s="177" customFormat="1" ht="21.95" customHeight="1" x14ac:dyDescent="0.2">
      <c r="A160" s="237">
        <f t="shared" si="108"/>
        <v>0</v>
      </c>
      <c r="B160" s="237">
        <f t="shared" si="109"/>
        <v>0</v>
      </c>
      <c r="C160" s="393">
        <f t="shared" si="94"/>
        <v>0</v>
      </c>
      <c r="D160" s="393" t="str">
        <f t="shared" si="95"/>
        <v xml:space="preserve">09 </v>
      </c>
      <c r="E160" s="959" t="s">
        <v>2089</v>
      </c>
      <c r="F160" s="959" t="s">
        <v>2251</v>
      </c>
      <c r="G160" s="959" t="s">
        <v>15</v>
      </c>
      <c r="H160" s="965">
        <v>141.6</v>
      </c>
      <c r="I160" s="970">
        <v>38.909999999999997</v>
      </c>
      <c r="J160" s="964">
        <v>5509.66</v>
      </c>
      <c r="K160" s="367">
        <v>0</v>
      </c>
      <c r="L160" s="367">
        <f>IF($H160="",0,VLOOKUP($E160,Plan3!$A$16:$CT$384,$E$7,0)%)</f>
        <v>0</v>
      </c>
      <c r="M160" s="368">
        <f t="shared" si="114"/>
        <v>0</v>
      </c>
      <c r="N160" s="368">
        <f t="shared" si="115"/>
        <v>0</v>
      </c>
      <c r="O160" s="367">
        <v>0</v>
      </c>
      <c r="P160" s="367">
        <f>VLOOKUP($E160,Plan3!$A$492:$P$858,13,0)%</f>
        <v>0</v>
      </c>
      <c r="Q160" s="368">
        <f t="shared" si="116"/>
        <v>0</v>
      </c>
      <c r="R160" s="368">
        <f t="shared" si="117"/>
        <v>0</v>
      </c>
      <c r="S160" s="880">
        <v>5573.572056</v>
      </c>
      <c r="T160" s="880">
        <f t="shared" si="118"/>
        <v>0</v>
      </c>
      <c r="U160" s="880">
        <f>IF($I160="",0,($S160-$T160)*(1+('Econômico Macro'!$R$12/100)))</f>
        <v>5669.9948525688005</v>
      </c>
      <c r="V160" s="880">
        <f t="shared" si="119"/>
        <v>5669.9948525688005</v>
      </c>
      <c r="W160" s="880">
        <f t="shared" si="120"/>
        <v>0</v>
      </c>
      <c r="X160" s="367">
        <f t="shared" si="96"/>
        <v>0</v>
      </c>
      <c r="Y160" s="367">
        <f t="shared" si="97"/>
        <v>0</v>
      </c>
      <c r="Z160" s="367">
        <f t="shared" si="98"/>
        <v>0</v>
      </c>
      <c r="AA160" s="367">
        <f t="shared" si="99"/>
        <v>0</v>
      </c>
      <c r="AB160" s="369" t="str">
        <f t="shared" si="100"/>
        <v>Não Iniciada</v>
      </c>
      <c r="AC160" s="365"/>
      <c r="AD160" s="368">
        <v>1</v>
      </c>
      <c r="AE160" s="368">
        <f t="shared" si="121"/>
        <v>-1</v>
      </c>
      <c r="AF160" s="365"/>
      <c r="AG160" s="863">
        <f t="shared" si="110"/>
        <v>0</v>
      </c>
      <c r="AH160" s="864">
        <f t="shared" si="122"/>
        <v>0</v>
      </c>
      <c r="AI160" s="863">
        <f t="shared" si="111"/>
        <v>0</v>
      </c>
      <c r="AJ160" s="864">
        <f t="shared" si="123"/>
        <v>0</v>
      </c>
      <c r="AK160" s="365"/>
      <c r="AL160" s="865">
        <f t="shared" si="112"/>
        <v>0</v>
      </c>
      <c r="AM160" s="866">
        <f t="shared" si="124"/>
        <v>0</v>
      </c>
      <c r="AN160" s="866">
        <f t="shared" si="125"/>
        <v>0</v>
      </c>
      <c r="AO160" s="866">
        <f t="shared" si="126"/>
        <v>0</v>
      </c>
      <c r="AP160" s="867">
        <f t="shared" si="127"/>
        <v>0</v>
      </c>
      <c r="AQ160" s="591">
        <f t="shared" si="113"/>
        <v>0</v>
      </c>
      <c r="AR160" s="868">
        <f>IF(AND($L160=0,$P160=0)=TRUE,VLOOKUP($E160,Plan3!$A$16:$CT$487,$E$7+3,0)/100,0)</f>
        <v>0</v>
      </c>
      <c r="AS160" s="868">
        <f>IF(AND($L160=0,$P160=0)=TRUE,VLOOKUP($E160,Plan3!$A$16:$CT$487,$E$7+6,0)/100,0)</f>
        <v>0</v>
      </c>
      <c r="AT160" s="868">
        <f>IF(AND($L160=0,$P160=0)=TRUE,VLOOKUP($E160,Plan3!$A$16:$CT$487,$E$7+9,0)/100,0)</f>
        <v>0</v>
      </c>
      <c r="AU160" s="868">
        <f>IF(AND($L160=0,$P160=0)=TRUE,VLOOKUP($E160,Plan3!$A$16:$CT$487,$E$7+12,0)/100,0)</f>
        <v>0</v>
      </c>
      <c r="AV160" s="841"/>
      <c r="AW160" s="869">
        <f t="shared" si="128"/>
        <v>0</v>
      </c>
      <c r="AX160" s="870">
        <f t="shared" si="129"/>
        <v>0</v>
      </c>
      <c r="AY160" s="871">
        <f t="shared" si="130"/>
        <v>0</v>
      </c>
      <c r="AZ160" s="237" t="str">
        <f t="shared" si="101"/>
        <v xml:space="preserve">09.004.004.002 </v>
      </c>
      <c r="BA160" s="365"/>
      <c r="BB160" s="365"/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872">
        <f t="shared" si="102"/>
        <v>0</v>
      </c>
      <c r="BM160" s="873">
        <f t="shared" si="103"/>
        <v>0</v>
      </c>
      <c r="BN160" s="874">
        <f t="shared" si="131"/>
        <v>0</v>
      </c>
      <c r="BO160" s="875">
        <f t="shared" si="104"/>
        <v>0</v>
      </c>
      <c r="BP160" s="875">
        <f t="shared" si="105"/>
        <v>0</v>
      </c>
      <c r="BQ160" s="876">
        <f t="shared" si="132"/>
        <v>0</v>
      </c>
      <c r="BR160" s="877">
        <f t="shared" si="133"/>
        <v>0</v>
      </c>
      <c r="BS160" s="875">
        <f t="shared" si="106"/>
        <v>0</v>
      </c>
      <c r="BT160" s="875">
        <f t="shared" si="107"/>
        <v>0</v>
      </c>
      <c r="BU160" s="878">
        <f t="shared" si="134"/>
        <v>0</v>
      </c>
      <c r="CE160" s="486">
        <v>148</v>
      </c>
    </row>
    <row r="161" spans="1:83" s="177" customFormat="1" ht="21.95" customHeight="1" x14ac:dyDescent="0.2">
      <c r="A161" s="237">
        <f t="shared" si="108"/>
        <v>0</v>
      </c>
      <c r="B161" s="237">
        <f t="shared" si="109"/>
        <v>0</v>
      </c>
      <c r="C161" s="393">
        <f t="shared" si="94"/>
        <v>0</v>
      </c>
      <c r="D161" s="393" t="str">
        <f t="shared" si="95"/>
        <v xml:space="preserve">09 </v>
      </c>
      <c r="E161" s="959" t="s">
        <v>2090</v>
      </c>
      <c r="F161" s="959" t="s">
        <v>2252</v>
      </c>
      <c r="G161" s="959" t="s">
        <v>15</v>
      </c>
      <c r="H161" s="970">
        <v>76.7</v>
      </c>
      <c r="I161" s="970">
        <v>38.909999999999997</v>
      </c>
      <c r="J161" s="964">
        <v>2984.4</v>
      </c>
      <c r="K161" s="367">
        <v>0</v>
      </c>
      <c r="L161" s="367">
        <f>IF($H161="",0,VLOOKUP($E161,Plan3!$A$16:$CT$384,$E$7,0)%)</f>
        <v>0</v>
      </c>
      <c r="M161" s="368">
        <f t="shared" si="114"/>
        <v>0</v>
      </c>
      <c r="N161" s="368">
        <f t="shared" si="115"/>
        <v>0</v>
      </c>
      <c r="O161" s="367">
        <v>0</v>
      </c>
      <c r="P161" s="367">
        <f>VLOOKUP($E161,Plan3!$A$492:$P$858,13,0)%</f>
        <v>0</v>
      </c>
      <c r="Q161" s="368">
        <f t="shared" si="116"/>
        <v>0</v>
      </c>
      <c r="R161" s="368">
        <f t="shared" si="117"/>
        <v>0</v>
      </c>
      <c r="S161" s="880">
        <v>3019.0190400000001</v>
      </c>
      <c r="T161" s="880">
        <f t="shared" si="118"/>
        <v>0</v>
      </c>
      <c r="U161" s="880">
        <f>IF($I161="",0,($S161-$T161)*(1+('Econômico Macro'!$R$12/100)))</f>
        <v>3071.2480693920006</v>
      </c>
      <c r="V161" s="880">
        <f t="shared" si="119"/>
        <v>3071.2480693920006</v>
      </c>
      <c r="W161" s="880">
        <f t="shared" si="120"/>
        <v>0</v>
      </c>
      <c r="X161" s="367">
        <f t="shared" si="96"/>
        <v>0</v>
      </c>
      <c r="Y161" s="367">
        <f t="shared" si="97"/>
        <v>0</v>
      </c>
      <c r="Z161" s="367">
        <f t="shared" si="98"/>
        <v>0</v>
      </c>
      <c r="AA161" s="367">
        <f t="shared" si="99"/>
        <v>0</v>
      </c>
      <c r="AB161" s="369" t="str">
        <f t="shared" si="100"/>
        <v>Não Iniciada</v>
      </c>
      <c r="AC161" s="365"/>
      <c r="AD161" s="368">
        <v>1</v>
      </c>
      <c r="AE161" s="368">
        <f t="shared" si="121"/>
        <v>-1</v>
      </c>
      <c r="AF161" s="365"/>
      <c r="AG161" s="863">
        <f t="shared" si="110"/>
        <v>0</v>
      </c>
      <c r="AH161" s="864">
        <f t="shared" si="122"/>
        <v>0</v>
      </c>
      <c r="AI161" s="863">
        <f t="shared" si="111"/>
        <v>0</v>
      </c>
      <c r="AJ161" s="864">
        <f t="shared" si="123"/>
        <v>0</v>
      </c>
      <c r="AK161" s="365"/>
      <c r="AL161" s="865">
        <f t="shared" si="112"/>
        <v>0</v>
      </c>
      <c r="AM161" s="866">
        <f t="shared" si="124"/>
        <v>0</v>
      </c>
      <c r="AN161" s="866">
        <f t="shared" si="125"/>
        <v>0</v>
      </c>
      <c r="AO161" s="866">
        <f t="shared" si="126"/>
        <v>0</v>
      </c>
      <c r="AP161" s="867">
        <f t="shared" si="127"/>
        <v>0</v>
      </c>
      <c r="AQ161" s="591">
        <f t="shared" si="113"/>
        <v>0</v>
      </c>
      <c r="AR161" s="868">
        <f>IF(AND($L161=0,$P161=0)=TRUE,VLOOKUP($E161,Plan3!$A$16:$CT$487,$E$7+3,0)/100,0)</f>
        <v>0</v>
      </c>
      <c r="AS161" s="868">
        <f>IF(AND($L161=0,$P161=0)=TRUE,VLOOKUP($E161,Plan3!$A$16:$CT$487,$E$7+6,0)/100,0)</f>
        <v>0</v>
      </c>
      <c r="AT161" s="868">
        <f>IF(AND($L161=0,$P161=0)=TRUE,VLOOKUP($E161,Plan3!$A$16:$CT$487,$E$7+9,0)/100,0)</f>
        <v>0</v>
      </c>
      <c r="AU161" s="868">
        <f>IF(AND($L161=0,$P161=0)=TRUE,VLOOKUP($E161,Plan3!$A$16:$CT$487,$E$7+12,0)/100,0)</f>
        <v>0</v>
      </c>
      <c r="AV161" s="841"/>
      <c r="AW161" s="869">
        <f t="shared" si="128"/>
        <v>0</v>
      </c>
      <c r="AX161" s="870">
        <f t="shared" si="129"/>
        <v>0</v>
      </c>
      <c r="AY161" s="871">
        <f t="shared" si="130"/>
        <v>0</v>
      </c>
      <c r="AZ161" s="237" t="str">
        <f t="shared" si="101"/>
        <v xml:space="preserve">09.004.004.003 </v>
      </c>
      <c r="BA161" s="365"/>
      <c r="BB161" s="365"/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872">
        <f t="shared" si="102"/>
        <v>0</v>
      </c>
      <c r="BM161" s="873">
        <f t="shared" si="103"/>
        <v>0</v>
      </c>
      <c r="BN161" s="874">
        <f t="shared" si="131"/>
        <v>0</v>
      </c>
      <c r="BO161" s="875">
        <f t="shared" si="104"/>
        <v>0</v>
      </c>
      <c r="BP161" s="875">
        <f t="shared" si="105"/>
        <v>0</v>
      </c>
      <c r="BQ161" s="876">
        <f t="shared" si="132"/>
        <v>0</v>
      </c>
      <c r="BR161" s="877">
        <f t="shared" si="133"/>
        <v>0</v>
      </c>
      <c r="BS161" s="875">
        <f t="shared" si="106"/>
        <v>0</v>
      </c>
      <c r="BT161" s="875">
        <f t="shared" si="107"/>
        <v>0</v>
      </c>
      <c r="BU161" s="878">
        <f t="shared" si="134"/>
        <v>0</v>
      </c>
      <c r="CE161" s="486">
        <v>149</v>
      </c>
    </row>
    <row r="162" spans="1:83" s="177" customFormat="1" ht="21.95" customHeight="1" x14ac:dyDescent="0.2">
      <c r="A162" s="237">
        <f t="shared" si="108"/>
        <v>0</v>
      </c>
      <c r="B162" s="237">
        <f t="shared" si="109"/>
        <v>0</v>
      </c>
      <c r="C162" s="393">
        <f t="shared" si="94"/>
        <v>0</v>
      </c>
      <c r="D162" s="393" t="str">
        <f t="shared" si="95"/>
        <v xml:space="preserve">09 </v>
      </c>
      <c r="E162" s="959" t="s">
        <v>2091</v>
      </c>
      <c r="F162" s="959" t="s">
        <v>485</v>
      </c>
      <c r="G162" s="959" t="s">
        <v>15</v>
      </c>
      <c r="H162" s="965">
        <v>302.14999999999998</v>
      </c>
      <c r="I162" s="970">
        <v>62.315600000000003</v>
      </c>
      <c r="J162" s="962">
        <v>18828.650000000001</v>
      </c>
      <c r="K162" s="367">
        <v>0</v>
      </c>
      <c r="L162" s="367">
        <f>IF($H162="",0,VLOOKUP($E162,Plan3!$A$16:$CT$384,$E$7,0)%)</f>
        <v>0</v>
      </c>
      <c r="M162" s="368">
        <f t="shared" si="114"/>
        <v>0</v>
      </c>
      <c r="N162" s="368">
        <f t="shared" si="115"/>
        <v>0</v>
      </c>
      <c r="O162" s="367">
        <v>0</v>
      </c>
      <c r="P162" s="367">
        <f>VLOOKUP($E162,Plan3!$A$492:$P$858,13,0)%</f>
        <v>0</v>
      </c>
      <c r="Q162" s="368">
        <f t="shared" si="116"/>
        <v>0</v>
      </c>
      <c r="R162" s="368">
        <f t="shared" si="117"/>
        <v>0</v>
      </c>
      <c r="S162" s="880">
        <v>19047.062340000004</v>
      </c>
      <c r="T162" s="880">
        <f t="shared" si="118"/>
        <v>0</v>
      </c>
      <c r="U162" s="880">
        <f>IF($I162="",0,($S162-$T162)*(1+('Econômico Macro'!$R$12/100)))</f>
        <v>19376.576518482005</v>
      </c>
      <c r="V162" s="880">
        <f t="shared" si="119"/>
        <v>19376.576518482005</v>
      </c>
      <c r="W162" s="880">
        <f t="shared" si="120"/>
        <v>0</v>
      </c>
      <c r="X162" s="367">
        <f t="shared" si="96"/>
        <v>0</v>
      </c>
      <c r="Y162" s="367">
        <f t="shared" si="97"/>
        <v>0</v>
      </c>
      <c r="Z162" s="367">
        <f t="shared" si="98"/>
        <v>0</v>
      </c>
      <c r="AA162" s="367">
        <f t="shared" si="99"/>
        <v>0</v>
      </c>
      <c r="AB162" s="369" t="str">
        <f t="shared" si="100"/>
        <v>Não Iniciada</v>
      </c>
      <c r="AC162" s="365"/>
      <c r="AD162" s="368">
        <v>1</v>
      </c>
      <c r="AE162" s="368">
        <f t="shared" si="121"/>
        <v>-1</v>
      </c>
      <c r="AF162" s="365"/>
      <c r="AG162" s="863">
        <f t="shared" si="110"/>
        <v>0</v>
      </c>
      <c r="AH162" s="864">
        <f t="shared" si="122"/>
        <v>0</v>
      </c>
      <c r="AI162" s="863">
        <f t="shared" si="111"/>
        <v>0</v>
      </c>
      <c r="AJ162" s="864">
        <f t="shared" si="123"/>
        <v>0</v>
      </c>
      <c r="AK162" s="365"/>
      <c r="AL162" s="865">
        <f t="shared" si="112"/>
        <v>0</v>
      </c>
      <c r="AM162" s="866">
        <f t="shared" si="124"/>
        <v>0</v>
      </c>
      <c r="AN162" s="866">
        <f t="shared" si="125"/>
        <v>0</v>
      </c>
      <c r="AO162" s="866">
        <f t="shared" si="126"/>
        <v>0</v>
      </c>
      <c r="AP162" s="867">
        <f t="shared" si="127"/>
        <v>0</v>
      </c>
      <c r="AQ162" s="591">
        <f t="shared" si="113"/>
        <v>0</v>
      </c>
      <c r="AR162" s="868">
        <f>IF(AND($L162=0,$P162=0)=TRUE,VLOOKUP($E162,Plan3!$A$16:$CT$487,$E$7+3,0)/100,0)</f>
        <v>0</v>
      </c>
      <c r="AS162" s="868">
        <f>IF(AND($L162=0,$P162=0)=TRUE,VLOOKUP($E162,Plan3!$A$16:$CT$487,$E$7+6,0)/100,0)</f>
        <v>0</v>
      </c>
      <c r="AT162" s="868">
        <f>IF(AND($L162=0,$P162=0)=TRUE,VLOOKUP($E162,Plan3!$A$16:$CT$487,$E$7+9,0)/100,0)</f>
        <v>0</v>
      </c>
      <c r="AU162" s="868">
        <f>IF(AND($L162=0,$P162=0)=TRUE,VLOOKUP($E162,Plan3!$A$16:$CT$487,$E$7+12,0)/100,0)</f>
        <v>0</v>
      </c>
      <c r="AV162" s="841"/>
      <c r="AW162" s="869">
        <f t="shared" si="128"/>
        <v>0</v>
      </c>
      <c r="AX162" s="870">
        <f t="shared" si="129"/>
        <v>0</v>
      </c>
      <c r="AY162" s="871">
        <f t="shared" si="130"/>
        <v>0</v>
      </c>
      <c r="AZ162" s="237" t="str">
        <f t="shared" si="101"/>
        <v xml:space="preserve">09.004.004.004 </v>
      </c>
      <c r="BA162" s="365"/>
      <c r="BB162" s="365"/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872">
        <f t="shared" si="102"/>
        <v>0</v>
      </c>
      <c r="BM162" s="873">
        <f t="shared" si="103"/>
        <v>0</v>
      </c>
      <c r="BN162" s="874">
        <f t="shared" si="131"/>
        <v>0</v>
      </c>
      <c r="BO162" s="875">
        <f t="shared" si="104"/>
        <v>0</v>
      </c>
      <c r="BP162" s="875">
        <f t="shared" si="105"/>
        <v>0</v>
      </c>
      <c r="BQ162" s="876">
        <f t="shared" si="132"/>
        <v>0</v>
      </c>
      <c r="BR162" s="877">
        <f t="shared" si="133"/>
        <v>0</v>
      </c>
      <c r="BS162" s="875">
        <f t="shared" si="106"/>
        <v>0</v>
      </c>
      <c r="BT162" s="875">
        <f t="shared" si="107"/>
        <v>0</v>
      </c>
      <c r="BU162" s="878">
        <f t="shared" si="134"/>
        <v>0</v>
      </c>
      <c r="CE162" s="486">
        <v>150</v>
      </c>
    </row>
    <row r="163" spans="1:83" s="177" customFormat="1" ht="21.95" customHeight="1" x14ac:dyDescent="0.2">
      <c r="A163" s="237">
        <f t="shared" si="108"/>
        <v>0</v>
      </c>
      <c r="B163" s="237">
        <f t="shared" si="109"/>
        <v>0</v>
      </c>
      <c r="C163" s="393">
        <f t="shared" si="94"/>
        <v>0</v>
      </c>
      <c r="D163" s="393" t="str">
        <f t="shared" si="95"/>
        <v xml:space="preserve">09 </v>
      </c>
      <c r="E163" s="959" t="s">
        <v>2092</v>
      </c>
      <c r="F163" s="959" t="s">
        <v>781</v>
      </c>
      <c r="G163" s="959" t="s">
        <v>15</v>
      </c>
      <c r="H163" s="970">
        <v>73.209999999999994</v>
      </c>
      <c r="I163" s="970">
        <v>80.2256</v>
      </c>
      <c r="J163" s="964">
        <v>5873.31</v>
      </c>
      <c r="K163" s="367">
        <v>0</v>
      </c>
      <c r="L163" s="367">
        <f>IF($H163="",0,VLOOKUP($E163,Plan3!$A$16:$CT$384,$E$7,0)%)</f>
        <v>0</v>
      </c>
      <c r="M163" s="368">
        <f t="shared" si="114"/>
        <v>0</v>
      </c>
      <c r="N163" s="368">
        <f t="shared" si="115"/>
        <v>0</v>
      </c>
      <c r="O163" s="367">
        <v>0</v>
      </c>
      <c r="P163" s="367">
        <f>VLOOKUP($E163,Plan3!$A$492:$P$858,13,0)%</f>
        <v>0</v>
      </c>
      <c r="Q163" s="368">
        <f t="shared" si="116"/>
        <v>0</v>
      </c>
      <c r="R163" s="368">
        <f t="shared" si="117"/>
        <v>0</v>
      </c>
      <c r="S163" s="880">
        <v>5941.4403960000009</v>
      </c>
      <c r="T163" s="880">
        <f t="shared" si="118"/>
        <v>0</v>
      </c>
      <c r="U163" s="880">
        <f>IF($I163="",0,($S163-$T163)*(1+('Econômico Macro'!$R$12/100)))</f>
        <v>6044.2273148508011</v>
      </c>
      <c r="V163" s="880">
        <f t="shared" si="119"/>
        <v>6044.2273148508011</v>
      </c>
      <c r="W163" s="880">
        <f t="shared" si="120"/>
        <v>0</v>
      </c>
      <c r="X163" s="367">
        <f t="shared" si="96"/>
        <v>0</v>
      </c>
      <c r="Y163" s="367">
        <f t="shared" si="97"/>
        <v>0</v>
      </c>
      <c r="Z163" s="367">
        <f t="shared" si="98"/>
        <v>0</v>
      </c>
      <c r="AA163" s="367">
        <f t="shared" si="99"/>
        <v>0</v>
      </c>
      <c r="AB163" s="369" t="str">
        <f t="shared" si="100"/>
        <v>Não Iniciada</v>
      </c>
      <c r="AC163" s="365"/>
      <c r="AD163" s="368">
        <v>1</v>
      </c>
      <c r="AE163" s="368">
        <f t="shared" si="121"/>
        <v>-1</v>
      </c>
      <c r="AF163" s="365"/>
      <c r="AG163" s="863">
        <f t="shared" si="110"/>
        <v>0</v>
      </c>
      <c r="AH163" s="864">
        <f t="shared" si="122"/>
        <v>0</v>
      </c>
      <c r="AI163" s="863">
        <f t="shared" si="111"/>
        <v>0</v>
      </c>
      <c r="AJ163" s="864">
        <f t="shared" si="123"/>
        <v>0</v>
      </c>
      <c r="AK163" s="365"/>
      <c r="AL163" s="865">
        <f t="shared" si="112"/>
        <v>0</v>
      </c>
      <c r="AM163" s="866">
        <f t="shared" si="124"/>
        <v>0</v>
      </c>
      <c r="AN163" s="866">
        <f t="shared" si="125"/>
        <v>0</v>
      </c>
      <c r="AO163" s="866">
        <f t="shared" si="126"/>
        <v>0</v>
      </c>
      <c r="AP163" s="867">
        <f t="shared" si="127"/>
        <v>0</v>
      </c>
      <c r="AQ163" s="591">
        <f t="shared" si="113"/>
        <v>0</v>
      </c>
      <c r="AR163" s="868">
        <f>IF(AND($L163=0,$P163=0)=TRUE,VLOOKUP($E163,Plan3!$A$16:$CT$487,$E$7+3,0)/100,0)</f>
        <v>0</v>
      </c>
      <c r="AS163" s="868">
        <f>IF(AND($L163=0,$P163=0)=TRUE,VLOOKUP($E163,Plan3!$A$16:$CT$487,$E$7+6,0)/100,0)</f>
        <v>0</v>
      </c>
      <c r="AT163" s="868">
        <f>IF(AND($L163=0,$P163=0)=TRUE,VLOOKUP($E163,Plan3!$A$16:$CT$487,$E$7+9,0)/100,0)</f>
        <v>0</v>
      </c>
      <c r="AU163" s="868">
        <f>IF(AND($L163=0,$P163=0)=TRUE,VLOOKUP($E163,Plan3!$A$16:$CT$487,$E$7+12,0)/100,0)</f>
        <v>0</v>
      </c>
      <c r="AV163" s="841"/>
      <c r="AW163" s="869">
        <f t="shared" si="128"/>
        <v>0</v>
      </c>
      <c r="AX163" s="870">
        <f t="shared" si="129"/>
        <v>0</v>
      </c>
      <c r="AY163" s="871">
        <f t="shared" si="130"/>
        <v>0</v>
      </c>
      <c r="AZ163" s="237" t="str">
        <f t="shared" si="101"/>
        <v xml:space="preserve">09.004.004.005 </v>
      </c>
      <c r="BA163" s="365"/>
      <c r="BB163" s="365"/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872">
        <f t="shared" si="102"/>
        <v>0</v>
      </c>
      <c r="BM163" s="873">
        <f t="shared" si="103"/>
        <v>0</v>
      </c>
      <c r="BN163" s="874">
        <f t="shared" si="131"/>
        <v>0</v>
      </c>
      <c r="BO163" s="875">
        <f t="shared" si="104"/>
        <v>0</v>
      </c>
      <c r="BP163" s="875">
        <f t="shared" si="105"/>
        <v>0</v>
      </c>
      <c r="BQ163" s="876">
        <f t="shared" si="132"/>
        <v>0</v>
      </c>
      <c r="BR163" s="877">
        <f t="shared" si="133"/>
        <v>0</v>
      </c>
      <c r="BS163" s="875">
        <f t="shared" si="106"/>
        <v>0</v>
      </c>
      <c r="BT163" s="875">
        <f t="shared" si="107"/>
        <v>0</v>
      </c>
      <c r="BU163" s="878">
        <f t="shared" si="134"/>
        <v>0</v>
      </c>
      <c r="CE163" s="486">
        <v>151</v>
      </c>
    </row>
    <row r="164" spans="1:83" s="177" customFormat="1" ht="21.95" customHeight="1" x14ac:dyDescent="0.2">
      <c r="A164" s="237">
        <f t="shared" si="108"/>
        <v>0</v>
      </c>
      <c r="B164" s="237">
        <f t="shared" si="109"/>
        <v>0</v>
      </c>
      <c r="C164" s="393">
        <f t="shared" si="94"/>
        <v>0</v>
      </c>
      <c r="D164" s="393" t="str">
        <f t="shared" si="95"/>
        <v xml:space="preserve">09 </v>
      </c>
      <c r="E164" s="967" t="s">
        <v>2253</v>
      </c>
      <c r="F164" s="967" t="s">
        <v>2254</v>
      </c>
      <c r="G164" s="967"/>
      <c r="H164" s="968"/>
      <c r="I164" s="968"/>
      <c r="J164" s="974">
        <v>1116.97</v>
      </c>
      <c r="K164" s="367">
        <v>0</v>
      </c>
      <c r="L164" s="367">
        <f>IF($H164="",0,VLOOKUP($E164,Plan3!$A$16:$CT$384,$E$7,0)%)</f>
        <v>0</v>
      </c>
      <c r="M164" s="368">
        <f t="shared" si="114"/>
        <v>0</v>
      </c>
      <c r="N164" s="368">
        <f t="shared" si="115"/>
        <v>0</v>
      </c>
      <c r="O164" s="367">
        <v>0</v>
      </c>
      <c r="P164" s="367">
        <f>VLOOKUP($E164,Plan3!$A$492:$P$858,13,0)%</f>
        <v>0</v>
      </c>
      <c r="Q164" s="368">
        <f t="shared" si="116"/>
        <v>0</v>
      </c>
      <c r="R164" s="368">
        <f t="shared" si="117"/>
        <v>0</v>
      </c>
      <c r="S164" s="880">
        <v>0</v>
      </c>
      <c r="T164" s="880">
        <f t="shared" si="118"/>
        <v>0</v>
      </c>
      <c r="U164" s="880">
        <f>IF($I164="",0,($S164-$T164)*(1+('Econômico Macro'!$R$12/100)))</f>
        <v>0</v>
      </c>
      <c r="V164" s="880">
        <f t="shared" si="119"/>
        <v>0</v>
      </c>
      <c r="W164" s="880">
        <f t="shared" si="120"/>
        <v>0</v>
      </c>
      <c r="X164" s="367">
        <f t="shared" si="96"/>
        <v>0</v>
      </c>
      <c r="Y164" s="367">
        <f t="shared" si="97"/>
        <v>0</v>
      </c>
      <c r="Z164" s="367">
        <f t="shared" si="98"/>
        <v>0</v>
      </c>
      <c r="AA164" s="367">
        <f t="shared" si="99"/>
        <v>0</v>
      </c>
      <c r="AB164" s="369" t="str">
        <f t="shared" si="100"/>
        <v>Não Iniciada</v>
      </c>
      <c r="AC164" s="365"/>
      <c r="AD164" s="368">
        <v>1</v>
      </c>
      <c r="AE164" s="368">
        <f t="shared" si="121"/>
        <v>-1</v>
      </c>
      <c r="AF164" s="365"/>
      <c r="AG164" s="863">
        <f t="shared" si="110"/>
        <v>0</v>
      </c>
      <c r="AH164" s="864">
        <f t="shared" si="122"/>
        <v>0</v>
      </c>
      <c r="AI164" s="863">
        <f t="shared" si="111"/>
        <v>0</v>
      </c>
      <c r="AJ164" s="864">
        <f t="shared" si="123"/>
        <v>0</v>
      </c>
      <c r="AK164" s="365"/>
      <c r="AL164" s="865">
        <f t="shared" si="112"/>
        <v>0</v>
      </c>
      <c r="AM164" s="866">
        <f t="shared" si="124"/>
        <v>0</v>
      </c>
      <c r="AN164" s="866">
        <f t="shared" si="125"/>
        <v>0</v>
      </c>
      <c r="AO164" s="866">
        <f t="shared" si="126"/>
        <v>0</v>
      </c>
      <c r="AP164" s="867">
        <f t="shared" si="127"/>
        <v>0</v>
      </c>
      <c r="AQ164" s="591"/>
      <c r="AR164" s="868"/>
      <c r="AS164" s="868"/>
      <c r="AT164" s="868"/>
      <c r="AU164" s="868"/>
      <c r="AV164" s="841"/>
      <c r="AW164" s="869"/>
      <c r="AX164" s="870"/>
      <c r="AY164" s="871"/>
      <c r="AZ164" s="237" t="str">
        <f t="shared" si="101"/>
        <v xml:space="preserve">09.004.005 </v>
      </c>
      <c r="BA164" s="365"/>
      <c r="BB164" s="365"/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872">
        <f t="shared" si="102"/>
        <v>0</v>
      </c>
      <c r="BM164" s="873">
        <f t="shared" si="103"/>
        <v>0</v>
      </c>
      <c r="BN164" s="874">
        <f t="shared" si="131"/>
        <v>0</v>
      </c>
      <c r="BO164" s="875">
        <f t="shared" si="104"/>
        <v>0</v>
      </c>
      <c r="BP164" s="875">
        <f t="shared" si="105"/>
        <v>0</v>
      </c>
      <c r="BQ164" s="876">
        <f t="shared" si="132"/>
        <v>0</v>
      </c>
      <c r="BR164" s="877">
        <f t="shared" si="133"/>
        <v>0</v>
      </c>
      <c r="BS164" s="875">
        <f t="shared" si="106"/>
        <v>0</v>
      </c>
      <c r="BT164" s="875">
        <f t="shared" si="107"/>
        <v>0</v>
      </c>
      <c r="BU164" s="878">
        <f t="shared" si="134"/>
        <v>0</v>
      </c>
      <c r="CE164" s="486">
        <v>152</v>
      </c>
    </row>
    <row r="165" spans="1:83" s="177" customFormat="1" ht="21.95" customHeight="1" x14ac:dyDescent="0.2">
      <c r="A165" s="237">
        <f t="shared" si="108"/>
        <v>0</v>
      </c>
      <c r="B165" s="237">
        <f t="shared" si="109"/>
        <v>0</v>
      </c>
      <c r="C165" s="393">
        <f t="shared" si="94"/>
        <v>0</v>
      </c>
      <c r="D165" s="393" t="str">
        <f t="shared" si="95"/>
        <v xml:space="preserve">09 </v>
      </c>
      <c r="E165" s="959" t="s">
        <v>2255</v>
      </c>
      <c r="F165" s="959" t="s">
        <v>2256</v>
      </c>
      <c r="G165" s="959" t="s">
        <v>15</v>
      </c>
      <c r="H165" s="960">
        <v>2.8</v>
      </c>
      <c r="I165" s="965">
        <v>398.91860000000003</v>
      </c>
      <c r="J165" s="964">
        <v>1116.97</v>
      </c>
      <c r="K165" s="367">
        <v>0</v>
      </c>
      <c r="L165" s="367">
        <f>IF($H165="",0,VLOOKUP($E165,Plan3!$A$16:$CT$384,$E$7,0)%)</f>
        <v>0</v>
      </c>
      <c r="M165" s="368">
        <f t="shared" si="114"/>
        <v>0</v>
      </c>
      <c r="N165" s="368">
        <f t="shared" si="115"/>
        <v>0</v>
      </c>
      <c r="O165" s="367">
        <v>0</v>
      </c>
      <c r="P165" s="367">
        <f>VLOOKUP($E165,Plan3!$A$492:$P$858,13,0)%</f>
        <v>0</v>
      </c>
      <c r="Q165" s="368">
        <f t="shared" si="116"/>
        <v>0</v>
      </c>
      <c r="R165" s="368">
        <f t="shared" si="117"/>
        <v>0</v>
      </c>
      <c r="S165" s="880">
        <v>1129.9268520000001</v>
      </c>
      <c r="T165" s="880">
        <f t="shared" si="118"/>
        <v>0</v>
      </c>
      <c r="U165" s="880">
        <f>IF($I165="",0,($S165-$T165)*(1+('Econômico Macro'!$R$12/100)))</f>
        <v>1149.4745865396001</v>
      </c>
      <c r="V165" s="880">
        <f t="shared" si="119"/>
        <v>1149.4745865396001</v>
      </c>
      <c r="W165" s="880">
        <f t="shared" si="120"/>
        <v>0</v>
      </c>
      <c r="X165" s="367">
        <f t="shared" si="96"/>
        <v>0</v>
      </c>
      <c r="Y165" s="367">
        <f t="shared" si="97"/>
        <v>0</v>
      </c>
      <c r="Z165" s="367">
        <f t="shared" si="98"/>
        <v>0</v>
      </c>
      <c r="AA165" s="367">
        <f t="shared" si="99"/>
        <v>0</v>
      </c>
      <c r="AB165" s="369" t="str">
        <f t="shared" si="100"/>
        <v>Não Iniciada</v>
      </c>
      <c r="AC165" s="365"/>
      <c r="AD165" s="368">
        <v>1</v>
      </c>
      <c r="AE165" s="368">
        <f t="shared" si="121"/>
        <v>-1</v>
      </c>
      <c r="AF165" s="365"/>
      <c r="AG165" s="863">
        <f t="shared" si="110"/>
        <v>0</v>
      </c>
      <c r="AH165" s="864">
        <f t="shared" si="122"/>
        <v>0</v>
      </c>
      <c r="AI165" s="863">
        <f t="shared" si="111"/>
        <v>0</v>
      </c>
      <c r="AJ165" s="864">
        <f t="shared" si="123"/>
        <v>0</v>
      </c>
      <c r="AK165" s="365"/>
      <c r="AL165" s="865">
        <f t="shared" si="112"/>
        <v>0</v>
      </c>
      <c r="AM165" s="866">
        <f t="shared" si="124"/>
        <v>0</v>
      </c>
      <c r="AN165" s="866">
        <f t="shared" si="125"/>
        <v>0</v>
      </c>
      <c r="AO165" s="866">
        <f t="shared" si="126"/>
        <v>0</v>
      </c>
      <c r="AP165" s="867">
        <f t="shared" si="127"/>
        <v>0</v>
      </c>
      <c r="AQ165" s="591">
        <f t="shared" si="113"/>
        <v>0</v>
      </c>
      <c r="AR165" s="868">
        <f>IF(AND($L165=0,$P165=0)=TRUE,VLOOKUP($E165,Plan3!$A$16:$CT$487,$E$7+3,0)/100,0)</f>
        <v>0</v>
      </c>
      <c r="AS165" s="868">
        <f>IF(AND($L165=0,$P165=0)=TRUE,VLOOKUP($E165,Plan3!$A$16:$CT$487,$E$7+6,0)/100,0)</f>
        <v>0</v>
      </c>
      <c r="AT165" s="868">
        <f>IF(AND($L165=0,$P165=0)=TRUE,VLOOKUP($E165,Plan3!$A$16:$CT$487,$E$7+9,0)/100,0)</f>
        <v>0</v>
      </c>
      <c r="AU165" s="868">
        <f>IF(AND($L165=0,$P165=0)=TRUE,VLOOKUP($E165,Plan3!$A$16:$CT$487,$E$7+12,0)/100,0)</f>
        <v>0</v>
      </c>
      <c r="AV165" s="841"/>
      <c r="AW165" s="869">
        <f t="shared" si="128"/>
        <v>0</v>
      </c>
      <c r="AX165" s="870">
        <f t="shared" si="129"/>
        <v>0</v>
      </c>
      <c r="AY165" s="871">
        <f t="shared" si="130"/>
        <v>0</v>
      </c>
      <c r="AZ165" s="237" t="str">
        <f t="shared" si="101"/>
        <v xml:space="preserve">09.004.005.001 </v>
      </c>
      <c r="BA165" s="365"/>
      <c r="BB165" s="365"/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872">
        <f t="shared" si="102"/>
        <v>0</v>
      </c>
      <c r="BM165" s="873">
        <f t="shared" si="103"/>
        <v>0</v>
      </c>
      <c r="BN165" s="874">
        <f t="shared" si="131"/>
        <v>0</v>
      </c>
      <c r="BO165" s="875">
        <f t="shared" si="104"/>
        <v>0</v>
      </c>
      <c r="BP165" s="875">
        <f t="shared" si="105"/>
        <v>0</v>
      </c>
      <c r="BQ165" s="876">
        <f t="shared" si="132"/>
        <v>0</v>
      </c>
      <c r="BR165" s="877">
        <f t="shared" si="133"/>
        <v>0</v>
      </c>
      <c r="BS165" s="875">
        <f t="shared" si="106"/>
        <v>0</v>
      </c>
      <c r="BT165" s="875">
        <f t="shared" si="107"/>
        <v>0</v>
      </c>
      <c r="BU165" s="878">
        <f t="shared" si="134"/>
        <v>0</v>
      </c>
      <c r="CE165" s="486">
        <v>153</v>
      </c>
    </row>
    <row r="166" spans="1:83" s="177" customFormat="1" ht="21.95" customHeight="1" x14ac:dyDescent="0.2">
      <c r="A166" s="237">
        <f t="shared" si="108"/>
        <v>0</v>
      </c>
      <c r="B166" s="237">
        <f t="shared" si="109"/>
        <v>0</v>
      </c>
      <c r="C166" s="393">
        <f t="shared" si="94"/>
        <v>0</v>
      </c>
      <c r="D166" s="393" t="str">
        <f t="shared" si="95"/>
        <v xml:space="preserve">09 </v>
      </c>
      <c r="E166" s="967" t="s">
        <v>638</v>
      </c>
      <c r="F166" s="967" t="s">
        <v>116</v>
      </c>
      <c r="G166" s="967"/>
      <c r="H166" s="968"/>
      <c r="I166" s="968"/>
      <c r="J166" s="969">
        <v>44137.38</v>
      </c>
      <c r="K166" s="367">
        <v>0</v>
      </c>
      <c r="L166" s="367">
        <f>IF($H166="",0,VLOOKUP($E166,Plan3!$A$16:$CT$384,$E$7,0)%)</f>
        <v>0</v>
      </c>
      <c r="M166" s="368">
        <f t="shared" si="114"/>
        <v>0</v>
      </c>
      <c r="N166" s="368">
        <f t="shared" si="115"/>
        <v>0</v>
      </c>
      <c r="O166" s="367">
        <v>0</v>
      </c>
      <c r="P166" s="367">
        <f>VLOOKUP($E166,Plan3!$A$492:$P$858,13,0)%</f>
        <v>0</v>
      </c>
      <c r="Q166" s="368">
        <f t="shared" si="116"/>
        <v>0</v>
      </c>
      <c r="R166" s="368">
        <f t="shared" si="117"/>
        <v>0</v>
      </c>
      <c r="S166" s="880">
        <v>0</v>
      </c>
      <c r="T166" s="880">
        <f t="shared" si="118"/>
        <v>0</v>
      </c>
      <c r="U166" s="880">
        <f>IF($I166="",0,($S166-$T166)*(1+('Econômico Macro'!$R$12/100)))</f>
        <v>0</v>
      </c>
      <c r="V166" s="880">
        <f t="shared" si="119"/>
        <v>0</v>
      </c>
      <c r="W166" s="880">
        <f t="shared" si="120"/>
        <v>0</v>
      </c>
      <c r="X166" s="367">
        <f t="shared" si="96"/>
        <v>0</v>
      </c>
      <c r="Y166" s="367">
        <f t="shared" si="97"/>
        <v>0</v>
      </c>
      <c r="Z166" s="367">
        <f t="shared" si="98"/>
        <v>0</v>
      </c>
      <c r="AA166" s="367">
        <f t="shared" si="99"/>
        <v>0</v>
      </c>
      <c r="AB166" s="369" t="str">
        <f t="shared" si="100"/>
        <v>Não Iniciada</v>
      </c>
      <c r="AC166" s="365"/>
      <c r="AD166" s="368">
        <v>1</v>
      </c>
      <c r="AE166" s="368">
        <f t="shared" si="121"/>
        <v>-1</v>
      </c>
      <c r="AF166" s="365"/>
      <c r="AG166" s="863">
        <f t="shared" si="110"/>
        <v>0</v>
      </c>
      <c r="AH166" s="864">
        <f t="shared" si="122"/>
        <v>0</v>
      </c>
      <c r="AI166" s="863">
        <f t="shared" si="111"/>
        <v>0</v>
      </c>
      <c r="AJ166" s="864">
        <f t="shared" si="123"/>
        <v>0</v>
      </c>
      <c r="AK166" s="365"/>
      <c r="AL166" s="865">
        <f t="shared" si="112"/>
        <v>0</v>
      </c>
      <c r="AM166" s="866">
        <f t="shared" si="124"/>
        <v>0</v>
      </c>
      <c r="AN166" s="866">
        <f t="shared" si="125"/>
        <v>0</v>
      </c>
      <c r="AO166" s="866">
        <f t="shared" si="126"/>
        <v>0</v>
      </c>
      <c r="AP166" s="867">
        <f t="shared" si="127"/>
        <v>0</v>
      </c>
      <c r="AQ166" s="591"/>
      <c r="AR166" s="868"/>
      <c r="AS166" s="868"/>
      <c r="AT166" s="868"/>
      <c r="AU166" s="868"/>
      <c r="AV166" s="841"/>
      <c r="AW166" s="869"/>
      <c r="AX166" s="870"/>
      <c r="AY166" s="871"/>
      <c r="AZ166" s="237" t="str">
        <f t="shared" si="101"/>
        <v xml:space="preserve">09.005 </v>
      </c>
      <c r="BA166" s="365"/>
      <c r="BB166" s="365"/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872">
        <f t="shared" si="102"/>
        <v>0</v>
      </c>
      <c r="BM166" s="873">
        <f t="shared" si="103"/>
        <v>0</v>
      </c>
      <c r="BN166" s="874">
        <f t="shared" si="131"/>
        <v>0</v>
      </c>
      <c r="BO166" s="875">
        <f t="shared" si="104"/>
        <v>0</v>
      </c>
      <c r="BP166" s="875">
        <f t="shared" si="105"/>
        <v>0</v>
      </c>
      <c r="BQ166" s="876">
        <f t="shared" si="132"/>
        <v>0</v>
      </c>
      <c r="BR166" s="877">
        <f t="shared" si="133"/>
        <v>0</v>
      </c>
      <c r="BS166" s="875">
        <f t="shared" si="106"/>
        <v>0</v>
      </c>
      <c r="BT166" s="875">
        <f t="shared" si="107"/>
        <v>0</v>
      </c>
      <c r="BU166" s="878">
        <f t="shared" si="134"/>
        <v>0</v>
      </c>
      <c r="CE166" s="486">
        <v>154</v>
      </c>
    </row>
    <row r="167" spans="1:83" s="177" customFormat="1" ht="21.95" customHeight="1" x14ac:dyDescent="0.2">
      <c r="A167" s="237">
        <f t="shared" si="108"/>
        <v>0</v>
      </c>
      <c r="B167" s="237">
        <f t="shared" si="109"/>
        <v>0</v>
      </c>
      <c r="C167" s="393">
        <f t="shared" si="94"/>
        <v>0</v>
      </c>
      <c r="D167" s="393" t="str">
        <f t="shared" si="95"/>
        <v xml:space="preserve">09 </v>
      </c>
      <c r="E167" s="959" t="s">
        <v>2093</v>
      </c>
      <c r="F167" s="959" t="s">
        <v>1961</v>
      </c>
      <c r="G167" s="959" t="s">
        <v>90</v>
      </c>
      <c r="H167" s="965">
        <v>568.64</v>
      </c>
      <c r="I167" s="970">
        <v>57.456000000000003</v>
      </c>
      <c r="J167" s="962">
        <v>32671.78</v>
      </c>
      <c r="K167" s="367">
        <v>0</v>
      </c>
      <c r="L167" s="367">
        <f>IF($H167="",0,VLOOKUP($E167,Plan3!$A$16:$CT$384,$E$7,0)%)</f>
        <v>0</v>
      </c>
      <c r="M167" s="368">
        <f t="shared" si="114"/>
        <v>0</v>
      </c>
      <c r="N167" s="368">
        <f t="shared" si="115"/>
        <v>0</v>
      </c>
      <c r="O167" s="367">
        <v>0</v>
      </c>
      <c r="P167" s="367">
        <f>VLOOKUP($E167,Plan3!$A$492:$P$858,13,0)%</f>
        <v>0</v>
      </c>
      <c r="Q167" s="368">
        <f t="shared" si="116"/>
        <v>0</v>
      </c>
      <c r="R167" s="368">
        <f t="shared" si="117"/>
        <v>0</v>
      </c>
      <c r="S167" s="880">
        <v>33050.772647999998</v>
      </c>
      <c r="T167" s="880">
        <f t="shared" si="118"/>
        <v>0</v>
      </c>
      <c r="U167" s="880">
        <f>IF($I167="",0,($S167-$T167)*(1+('Econômico Macro'!$R$12/100)))</f>
        <v>33622.5510148104</v>
      </c>
      <c r="V167" s="880">
        <f t="shared" si="119"/>
        <v>33622.5510148104</v>
      </c>
      <c r="W167" s="880">
        <f t="shared" si="120"/>
        <v>0</v>
      </c>
      <c r="X167" s="367">
        <f t="shared" si="96"/>
        <v>0</v>
      </c>
      <c r="Y167" s="367">
        <f t="shared" si="97"/>
        <v>0</v>
      </c>
      <c r="Z167" s="367">
        <f t="shared" si="98"/>
        <v>0</v>
      </c>
      <c r="AA167" s="367">
        <f t="shared" si="99"/>
        <v>0</v>
      </c>
      <c r="AB167" s="369" t="str">
        <f t="shared" si="100"/>
        <v>Não Iniciada</v>
      </c>
      <c r="AC167" s="365"/>
      <c r="AD167" s="368">
        <v>1</v>
      </c>
      <c r="AE167" s="368">
        <f t="shared" si="121"/>
        <v>-1</v>
      </c>
      <c r="AF167" s="365"/>
      <c r="AG167" s="863">
        <f t="shared" si="110"/>
        <v>0</v>
      </c>
      <c r="AH167" s="864">
        <f t="shared" si="122"/>
        <v>0</v>
      </c>
      <c r="AI167" s="863">
        <f t="shared" si="111"/>
        <v>0</v>
      </c>
      <c r="AJ167" s="864">
        <f t="shared" si="123"/>
        <v>0</v>
      </c>
      <c r="AK167" s="365"/>
      <c r="AL167" s="865">
        <f t="shared" si="112"/>
        <v>0</v>
      </c>
      <c r="AM167" s="866">
        <f t="shared" si="124"/>
        <v>0</v>
      </c>
      <c r="AN167" s="866">
        <f t="shared" si="125"/>
        <v>0</v>
      </c>
      <c r="AO167" s="866">
        <f t="shared" si="126"/>
        <v>0</v>
      </c>
      <c r="AP167" s="867">
        <f t="shared" si="127"/>
        <v>0</v>
      </c>
      <c r="AQ167" s="591">
        <f t="shared" si="113"/>
        <v>0</v>
      </c>
      <c r="AR167" s="868">
        <f>IF(AND($L167=0,$P167=0)=TRUE,VLOOKUP($E167,Plan3!$A$16:$CT$487,$E$7+3,0)/100,0)</f>
        <v>0</v>
      </c>
      <c r="AS167" s="868">
        <f>IF(AND($L167=0,$P167=0)=TRUE,VLOOKUP($E167,Plan3!$A$16:$CT$487,$E$7+6,0)/100,0)</f>
        <v>0</v>
      </c>
      <c r="AT167" s="868">
        <f>IF(AND($L167=0,$P167=0)=TRUE,VLOOKUP($E167,Plan3!$A$16:$CT$487,$E$7+9,0)/100,0)</f>
        <v>0</v>
      </c>
      <c r="AU167" s="868">
        <f>IF(AND($L167=0,$P167=0)=TRUE,VLOOKUP($E167,Plan3!$A$16:$CT$487,$E$7+12,0)/100,0)</f>
        <v>0</v>
      </c>
      <c r="AV167" s="841"/>
      <c r="AW167" s="869">
        <f t="shared" si="128"/>
        <v>0</v>
      </c>
      <c r="AX167" s="870">
        <f t="shared" si="129"/>
        <v>0</v>
      </c>
      <c r="AY167" s="871">
        <f t="shared" si="130"/>
        <v>0</v>
      </c>
      <c r="AZ167" s="237" t="str">
        <f t="shared" si="101"/>
        <v xml:space="preserve">09.005.000.001 </v>
      </c>
      <c r="BA167" s="365"/>
      <c r="BB167" s="365"/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872">
        <f t="shared" si="102"/>
        <v>0</v>
      </c>
      <c r="BM167" s="873">
        <f t="shared" si="103"/>
        <v>0</v>
      </c>
      <c r="BN167" s="874">
        <f t="shared" si="131"/>
        <v>0</v>
      </c>
      <c r="BO167" s="875">
        <f t="shared" si="104"/>
        <v>0</v>
      </c>
      <c r="BP167" s="875">
        <f t="shared" si="105"/>
        <v>0</v>
      </c>
      <c r="BQ167" s="876">
        <f t="shared" si="132"/>
        <v>0</v>
      </c>
      <c r="BR167" s="877">
        <f t="shared" si="133"/>
        <v>0</v>
      </c>
      <c r="BS167" s="875">
        <f t="shared" si="106"/>
        <v>0</v>
      </c>
      <c r="BT167" s="875">
        <f t="shared" si="107"/>
        <v>0</v>
      </c>
      <c r="BU167" s="878">
        <f t="shared" si="134"/>
        <v>0</v>
      </c>
      <c r="CE167" s="486">
        <v>155</v>
      </c>
    </row>
    <row r="168" spans="1:83" s="177" customFormat="1" ht="21.95" customHeight="1" x14ac:dyDescent="0.2">
      <c r="A168" s="237">
        <f t="shared" si="108"/>
        <v>0</v>
      </c>
      <c r="B168" s="237">
        <f t="shared" si="109"/>
        <v>0</v>
      </c>
      <c r="C168" s="393">
        <f t="shared" si="94"/>
        <v>0</v>
      </c>
      <c r="D168" s="393" t="str">
        <f t="shared" si="95"/>
        <v xml:space="preserve">09 </v>
      </c>
      <c r="E168" s="959" t="s">
        <v>2094</v>
      </c>
      <c r="F168" s="959" t="s">
        <v>1962</v>
      </c>
      <c r="G168" s="959" t="s">
        <v>90</v>
      </c>
      <c r="H168" s="965">
        <v>568.64</v>
      </c>
      <c r="I168" s="970">
        <v>10</v>
      </c>
      <c r="J168" s="964">
        <v>5686.4</v>
      </c>
      <c r="K168" s="367">
        <v>0</v>
      </c>
      <c r="L168" s="367">
        <f>IF($H168="",0,VLOOKUP($E168,Plan3!$A$16:$CT$384,$E$7,0)%)</f>
        <v>0</v>
      </c>
      <c r="M168" s="368">
        <f t="shared" si="114"/>
        <v>0</v>
      </c>
      <c r="N168" s="368">
        <f t="shared" si="115"/>
        <v>0</v>
      </c>
      <c r="O168" s="367">
        <v>0</v>
      </c>
      <c r="P168" s="367">
        <f>VLOOKUP($E168,Plan3!$A$492:$P$858,13,0)%</f>
        <v>0</v>
      </c>
      <c r="Q168" s="368">
        <f t="shared" si="116"/>
        <v>0</v>
      </c>
      <c r="R168" s="368">
        <f t="shared" si="117"/>
        <v>0</v>
      </c>
      <c r="S168" s="880">
        <v>5752.3622400000004</v>
      </c>
      <c r="T168" s="880">
        <f t="shared" si="118"/>
        <v>0</v>
      </c>
      <c r="U168" s="880">
        <f>IF($I168="",0,($S168-$T168)*(1+('Econômico Macro'!$R$12/100)))</f>
        <v>5851.8781067520013</v>
      </c>
      <c r="V168" s="880">
        <f t="shared" si="119"/>
        <v>5851.8781067520013</v>
      </c>
      <c r="W168" s="880">
        <f t="shared" si="120"/>
        <v>0</v>
      </c>
      <c r="X168" s="367">
        <f t="shared" si="96"/>
        <v>0</v>
      </c>
      <c r="Y168" s="367">
        <f t="shared" si="97"/>
        <v>0</v>
      </c>
      <c r="Z168" s="367">
        <f t="shared" si="98"/>
        <v>0</v>
      </c>
      <c r="AA168" s="367">
        <f t="shared" si="99"/>
        <v>0</v>
      </c>
      <c r="AB168" s="369" t="str">
        <f t="shared" si="100"/>
        <v>Não Iniciada</v>
      </c>
      <c r="AC168" s="365"/>
      <c r="AD168" s="368">
        <v>1</v>
      </c>
      <c r="AE168" s="368">
        <f t="shared" si="121"/>
        <v>-1</v>
      </c>
      <c r="AF168" s="365"/>
      <c r="AG168" s="863">
        <f t="shared" si="110"/>
        <v>0</v>
      </c>
      <c r="AH168" s="864">
        <f t="shared" si="122"/>
        <v>0</v>
      </c>
      <c r="AI168" s="863">
        <f t="shared" si="111"/>
        <v>0</v>
      </c>
      <c r="AJ168" s="864">
        <f t="shared" si="123"/>
        <v>0</v>
      </c>
      <c r="AK168" s="365"/>
      <c r="AL168" s="865">
        <f t="shared" si="112"/>
        <v>0</v>
      </c>
      <c r="AM168" s="866">
        <f t="shared" si="124"/>
        <v>0</v>
      </c>
      <c r="AN168" s="866">
        <f t="shared" si="125"/>
        <v>0</v>
      </c>
      <c r="AO168" s="866">
        <f t="shared" si="126"/>
        <v>0</v>
      </c>
      <c r="AP168" s="867">
        <f t="shared" si="127"/>
        <v>0</v>
      </c>
      <c r="AQ168" s="591">
        <f t="shared" si="113"/>
        <v>0</v>
      </c>
      <c r="AR168" s="868">
        <f>IF(AND($L168=0,$P168=0)=TRUE,VLOOKUP($E168,Plan3!$A$16:$CT$487,$E$7+3,0)/100,0)</f>
        <v>0</v>
      </c>
      <c r="AS168" s="868">
        <f>IF(AND($L168=0,$P168=0)=TRUE,VLOOKUP($E168,Plan3!$A$16:$CT$487,$E$7+6,0)/100,0)</f>
        <v>0</v>
      </c>
      <c r="AT168" s="868">
        <f>IF(AND($L168=0,$P168=0)=TRUE,VLOOKUP($E168,Plan3!$A$16:$CT$487,$E$7+9,0)/100,0)</f>
        <v>0</v>
      </c>
      <c r="AU168" s="868">
        <f>IF(AND($L168=0,$P168=0)=TRUE,VLOOKUP($E168,Plan3!$A$16:$CT$487,$E$7+12,0)/100,0)</f>
        <v>0</v>
      </c>
      <c r="AV168" s="841"/>
      <c r="AW168" s="869">
        <f t="shared" si="128"/>
        <v>0</v>
      </c>
      <c r="AX168" s="870">
        <f t="shared" si="129"/>
        <v>0</v>
      </c>
      <c r="AY168" s="871">
        <f t="shared" si="130"/>
        <v>0</v>
      </c>
      <c r="AZ168" s="237" t="str">
        <f t="shared" si="101"/>
        <v xml:space="preserve">09.005.000.002 </v>
      </c>
      <c r="BA168" s="365"/>
      <c r="BB168" s="365"/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872">
        <f t="shared" si="102"/>
        <v>0</v>
      </c>
      <c r="BM168" s="873">
        <f t="shared" si="103"/>
        <v>0</v>
      </c>
      <c r="BN168" s="874">
        <f t="shared" si="131"/>
        <v>0</v>
      </c>
      <c r="BO168" s="875">
        <f t="shared" si="104"/>
        <v>0</v>
      </c>
      <c r="BP168" s="875">
        <f t="shared" si="105"/>
        <v>0</v>
      </c>
      <c r="BQ168" s="876">
        <f t="shared" si="132"/>
        <v>0</v>
      </c>
      <c r="BR168" s="877">
        <f t="shared" si="133"/>
        <v>0</v>
      </c>
      <c r="BS168" s="875">
        <f t="shared" si="106"/>
        <v>0</v>
      </c>
      <c r="BT168" s="875">
        <f t="shared" si="107"/>
        <v>0</v>
      </c>
      <c r="BU168" s="878">
        <f t="shared" si="134"/>
        <v>0</v>
      </c>
      <c r="CE168" s="486">
        <v>156</v>
      </c>
    </row>
    <row r="169" spans="1:83" s="177" customFormat="1" ht="21.95" customHeight="1" x14ac:dyDescent="0.2">
      <c r="A169" s="237">
        <f t="shared" si="108"/>
        <v>0</v>
      </c>
      <c r="B169" s="237">
        <f t="shared" si="109"/>
        <v>0</v>
      </c>
      <c r="C169" s="393">
        <f t="shared" si="94"/>
        <v>0</v>
      </c>
      <c r="D169" s="393" t="str">
        <f t="shared" si="95"/>
        <v xml:space="preserve">09 </v>
      </c>
      <c r="E169" s="959" t="s">
        <v>2095</v>
      </c>
      <c r="F169" s="959" t="s">
        <v>784</v>
      </c>
      <c r="G169" s="959" t="s">
        <v>90</v>
      </c>
      <c r="H169" s="970">
        <v>13.76</v>
      </c>
      <c r="I169" s="965">
        <v>420</v>
      </c>
      <c r="J169" s="964">
        <v>5779.2</v>
      </c>
      <c r="K169" s="367">
        <v>0</v>
      </c>
      <c r="L169" s="367">
        <f>IF($H169="",0,VLOOKUP($E169,Plan3!$A$16:$CT$384,$E$7,0)%)</f>
        <v>0</v>
      </c>
      <c r="M169" s="368">
        <f t="shared" si="114"/>
        <v>0</v>
      </c>
      <c r="N169" s="368">
        <f t="shared" si="115"/>
        <v>0</v>
      </c>
      <c r="O169" s="367">
        <v>0</v>
      </c>
      <c r="P169" s="367">
        <f>VLOOKUP($E169,Plan3!$A$492:$P$858,13,0)%</f>
        <v>0</v>
      </c>
      <c r="Q169" s="368">
        <f t="shared" si="116"/>
        <v>0</v>
      </c>
      <c r="R169" s="368">
        <f t="shared" si="117"/>
        <v>0</v>
      </c>
      <c r="S169" s="880">
        <v>5846.2387200000003</v>
      </c>
      <c r="T169" s="880">
        <f t="shared" si="118"/>
        <v>0</v>
      </c>
      <c r="U169" s="880">
        <f>IF($I169="",0,($S169-$T169)*(1+('Econômico Macro'!$R$12/100)))</f>
        <v>5947.3786498560012</v>
      </c>
      <c r="V169" s="880">
        <f t="shared" si="119"/>
        <v>5947.3786498560012</v>
      </c>
      <c r="W169" s="880">
        <f t="shared" si="120"/>
        <v>0</v>
      </c>
      <c r="X169" s="367">
        <f t="shared" si="96"/>
        <v>0</v>
      </c>
      <c r="Y169" s="367">
        <f t="shared" si="97"/>
        <v>0</v>
      </c>
      <c r="Z169" s="367">
        <f t="shared" si="98"/>
        <v>0</v>
      </c>
      <c r="AA169" s="367">
        <f t="shared" si="99"/>
        <v>0</v>
      </c>
      <c r="AB169" s="369" t="str">
        <f t="shared" si="100"/>
        <v>Não Iniciada</v>
      </c>
      <c r="AC169" s="365"/>
      <c r="AD169" s="368">
        <v>1</v>
      </c>
      <c r="AE169" s="368">
        <f t="shared" si="121"/>
        <v>-1</v>
      </c>
      <c r="AF169" s="365"/>
      <c r="AG169" s="863">
        <f t="shared" si="110"/>
        <v>0</v>
      </c>
      <c r="AH169" s="864">
        <f t="shared" si="122"/>
        <v>0</v>
      </c>
      <c r="AI169" s="863">
        <f t="shared" si="111"/>
        <v>0</v>
      </c>
      <c r="AJ169" s="864">
        <f t="shared" si="123"/>
        <v>0</v>
      </c>
      <c r="AK169" s="365"/>
      <c r="AL169" s="865">
        <f t="shared" si="112"/>
        <v>0</v>
      </c>
      <c r="AM169" s="866">
        <f t="shared" si="124"/>
        <v>0</v>
      </c>
      <c r="AN169" s="866">
        <f t="shared" si="125"/>
        <v>0</v>
      </c>
      <c r="AO169" s="866">
        <f t="shared" si="126"/>
        <v>0</v>
      </c>
      <c r="AP169" s="867">
        <f t="shared" si="127"/>
        <v>0</v>
      </c>
      <c r="AQ169" s="591">
        <f t="shared" si="113"/>
        <v>0</v>
      </c>
      <c r="AR169" s="868">
        <f>IF(AND($L169=0,$P169=0)=TRUE,VLOOKUP($E169,Plan3!$A$16:$CT$487,$E$7+3,0)/100,0)</f>
        <v>0</v>
      </c>
      <c r="AS169" s="868">
        <f>IF(AND($L169=0,$P169=0)=TRUE,VLOOKUP($E169,Plan3!$A$16:$CT$487,$E$7+6,0)/100,0)</f>
        <v>0</v>
      </c>
      <c r="AT169" s="868">
        <f>IF(AND($L169=0,$P169=0)=TRUE,VLOOKUP($E169,Plan3!$A$16:$CT$487,$E$7+9,0)/100,0)</f>
        <v>0</v>
      </c>
      <c r="AU169" s="868">
        <f>IF(AND($L169=0,$P169=0)=TRUE,VLOOKUP($E169,Plan3!$A$16:$CT$487,$E$7+12,0)/100,0)</f>
        <v>0</v>
      </c>
      <c r="AV169" s="841"/>
      <c r="AW169" s="869">
        <f t="shared" si="128"/>
        <v>0</v>
      </c>
      <c r="AX169" s="870">
        <f t="shared" si="129"/>
        <v>0</v>
      </c>
      <c r="AY169" s="871">
        <f t="shared" si="130"/>
        <v>0</v>
      </c>
      <c r="AZ169" s="237" t="str">
        <f t="shared" si="101"/>
        <v xml:space="preserve">09.005.000.003 </v>
      </c>
      <c r="BA169" s="365"/>
      <c r="BB169" s="365"/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872">
        <f t="shared" si="102"/>
        <v>0</v>
      </c>
      <c r="BM169" s="873">
        <f t="shared" si="103"/>
        <v>0</v>
      </c>
      <c r="BN169" s="874">
        <f t="shared" si="131"/>
        <v>0</v>
      </c>
      <c r="BO169" s="875">
        <f t="shared" si="104"/>
        <v>0</v>
      </c>
      <c r="BP169" s="875">
        <f t="shared" si="105"/>
        <v>0</v>
      </c>
      <c r="BQ169" s="876">
        <f t="shared" si="132"/>
        <v>0</v>
      </c>
      <c r="BR169" s="877">
        <f t="shared" si="133"/>
        <v>0</v>
      </c>
      <c r="BS169" s="875">
        <f t="shared" si="106"/>
        <v>0</v>
      </c>
      <c r="BT169" s="875">
        <f t="shared" si="107"/>
        <v>0</v>
      </c>
      <c r="BU169" s="878">
        <f t="shared" si="134"/>
        <v>0</v>
      </c>
      <c r="CE169" s="486">
        <v>157</v>
      </c>
    </row>
    <row r="170" spans="1:83" s="177" customFormat="1" ht="21.95" customHeight="1" x14ac:dyDescent="0.2">
      <c r="A170" s="237">
        <f t="shared" si="108"/>
        <v>0</v>
      </c>
      <c r="B170" s="237">
        <f t="shared" si="109"/>
        <v>0</v>
      </c>
      <c r="C170" s="393">
        <f t="shared" si="94"/>
        <v>0</v>
      </c>
      <c r="D170" s="393" t="str">
        <f t="shared" si="95"/>
        <v xml:space="preserve">09 </v>
      </c>
      <c r="E170" s="967" t="s">
        <v>640</v>
      </c>
      <c r="F170" s="967" t="s">
        <v>238</v>
      </c>
      <c r="G170" s="967"/>
      <c r="H170" s="968"/>
      <c r="I170" s="968"/>
      <c r="J170" s="969">
        <v>25373.07</v>
      </c>
      <c r="K170" s="367">
        <v>0</v>
      </c>
      <c r="L170" s="367">
        <f>IF($H170="",0,VLOOKUP($E170,Plan3!$A$16:$CT$384,$E$7,0)%)</f>
        <v>0</v>
      </c>
      <c r="M170" s="368">
        <f t="shared" si="114"/>
        <v>0</v>
      </c>
      <c r="N170" s="368">
        <f t="shared" si="115"/>
        <v>0</v>
      </c>
      <c r="O170" s="367">
        <v>0</v>
      </c>
      <c r="P170" s="367">
        <f>VLOOKUP($E170,Plan3!$A$492:$P$858,13,0)%</f>
        <v>0</v>
      </c>
      <c r="Q170" s="368">
        <f t="shared" si="116"/>
        <v>0</v>
      </c>
      <c r="R170" s="368">
        <f t="shared" si="117"/>
        <v>0</v>
      </c>
      <c r="S170" s="880">
        <v>0</v>
      </c>
      <c r="T170" s="880">
        <f t="shared" si="118"/>
        <v>0</v>
      </c>
      <c r="U170" s="880">
        <f>IF($I170="",0,($S170-$T170)*(1+('Econômico Macro'!$R$12/100)))</f>
        <v>0</v>
      </c>
      <c r="V170" s="880">
        <f t="shared" si="119"/>
        <v>0</v>
      </c>
      <c r="W170" s="880">
        <f t="shared" si="120"/>
        <v>0</v>
      </c>
      <c r="X170" s="367">
        <f t="shared" si="96"/>
        <v>0</v>
      </c>
      <c r="Y170" s="367">
        <f t="shared" si="97"/>
        <v>0</v>
      </c>
      <c r="Z170" s="367">
        <f t="shared" si="98"/>
        <v>0</v>
      </c>
      <c r="AA170" s="367">
        <f t="shared" si="99"/>
        <v>0</v>
      </c>
      <c r="AB170" s="369" t="str">
        <f t="shared" si="100"/>
        <v>Não Iniciada</v>
      </c>
      <c r="AC170" s="365"/>
      <c r="AD170" s="368">
        <v>1</v>
      </c>
      <c r="AE170" s="368">
        <f t="shared" si="121"/>
        <v>-1</v>
      </c>
      <c r="AF170" s="365"/>
      <c r="AG170" s="863">
        <f t="shared" si="110"/>
        <v>0</v>
      </c>
      <c r="AH170" s="864">
        <f t="shared" si="122"/>
        <v>0</v>
      </c>
      <c r="AI170" s="863">
        <f t="shared" si="111"/>
        <v>0</v>
      </c>
      <c r="AJ170" s="864">
        <f t="shared" si="123"/>
        <v>0</v>
      </c>
      <c r="AK170" s="365"/>
      <c r="AL170" s="865">
        <f t="shared" si="112"/>
        <v>0</v>
      </c>
      <c r="AM170" s="866">
        <f t="shared" si="124"/>
        <v>0</v>
      </c>
      <c r="AN170" s="866">
        <f t="shared" si="125"/>
        <v>0</v>
      </c>
      <c r="AO170" s="866">
        <f t="shared" si="126"/>
        <v>0</v>
      </c>
      <c r="AP170" s="867">
        <f t="shared" si="127"/>
        <v>0</v>
      </c>
      <c r="AQ170" s="591"/>
      <c r="AR170" s="868"/>
      <c r="AS170" s="868"/>
      <c r="AT170" s="868"/>
      <c r="AU170" s="868"/>
      <c r="AV170" s="841"/>
      <c r="AW170" s="869"/>
      <c r="AX170" s="870"/>
      <c r="AY170" s="871"/>
      <c r="AZ170" s="237" t="str">
        <f t="shared" si="101"/>
        <v xml:space="preserve">09.006 </v>
      </c>
      <c r="BA170" s="365"/>
      <c r="BB170" s="365"/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872">
        <f t="shared" si="102"/>
        <v>0</v>
      </c>
      <c r="BM170" s="873">
        <f t="shared" si="103"/>
        <v>0</v>
      </c>
      <c r="BN170" s="874">
        <f t="shared" si="131"/>
        <v>0</v>
      </c>
      <c r="BO170" s="875">
        <f t="shared" si="104"/>
        <v>0</v>
      </c>
      <c r="BP170" s="875">
        <f t="shared" si="105"/>
        <v>0</v>
      </c>
      <c r="BQ170" s="876">
        <f t="shared" si="132"/>
        <v>0</v>
      </c>
      <c r="BR170" s="877">
        <f t="shared" si="133"/>
        <v>0</v>
      </c>
      <c r="BS170" s="875">
        <f t="shared" si="106"/>
        <v>0</v>
      </c>
      <c r="BT170" s="875">
        <f t="shared" si="107"/>
        <v>0</v>
      </c>
      <c r="BU170" s="878">
        <f t="shared" si="134"/>
        <v>0</v>
      </c>
      <c r="CE170" s="486">
        <v>158</v>
      </c>
    </row>
    <row r="171" spans="1:83" s="177" customFormat="1" ht="21.95" customHeight="1" x14ac:dyDescent="0.2">
      <c r="A171" s="237">
        <f t="shared" si="108"/>
        <v>0</v>
      </c>
      <c r="B171" s="237">
        <f t="shared" si="109"/>
        <v>0</v>
      </c>
      <c r="C171" s="393">
        <f t="shared" si="94"/>
        <v>0</v>
      </c>
      <c r="D171" s="393" t="str">
        <f t="shared" si="95"/>
        <v xml:space="preserve">09 </v>
      </c>
      <c r="E171" s="959" t="s">
        <v>641</v>
      </c>
      <c r="F171" s="959" t="s">
        <v>503</v>
      </c>
      <c r="G171" s="959" t="s">
        <v>15</v>
      </c>
      <c r="H171" s="960">
        <v>7.2</v>
      </c>
      <c r="I171" s="970">
        <v>25.9117</v>
      </c>
      <c r="J171" s="966">
        <v>186.56</v>
      </c>
      <c r="K171" s="367">
        <v>0</v>
      </c>
      <c r="L171" s="367">
        <f>IF($H171="",0,VLOOKUP($E171,Plan3!$A$16:$CT$384,$E$7,0)%)</f>
        <v>0</v>
      </c>
      <c r="M171" s="368">
        <f t="shared" si="114"/>
        <v>0</v>
      </c>
      <c r="N171" s="368">
        <f t="shared" si="115"/>
        <v>0</v>
      </c>
      <c r="O171" s="367">
        <v>0</v>
      </c>
      <c r="P171" s="367">
        <f>VLOOKUP($E171,Plan3!$A$492:$P$858,13,0)%</f>
        <v>0</v>
      </c>
      <c r="Q171" s="368">
        <f t="shared" si="116"/>
        <v>0</v>
      </c>
      <c r="R171" s="368">
        <f t="shared" si="117"/>
        <v>0</v>
      </c>
      <c r="S171" s="880">
        <v>188.724096</v>
      </c>
      <c r="T171" s="880">
        <f t="shared" si="118"/>
        <v>0</v>
      </c>
      <c r="U171" s="880">
        <f>IF($I171="",0,($S171-$T171)*(1+('Econômico Macro'!$R$12/100)))</f>
        <v>191.98902286080002</v>
      </c>
      <c r="V171" s="880">
        <f t="shared" si="119"/>
        <v>191.98902286080002</v>
      </c>
      <c r="W171" s="880">
        <f t="shared" si="120"/>
        <v>0</v>
      </c>
      <c r="X171" s="367">
        <f t="shared" si="96"/>
        <v>0</v>
      </c>
      <c r="Y171" s="367">
        <f t="shared" si="97"/>
        <v>0</v>
      </c>
      <c r="Z171" s="367">
        <f t="shared" si="98"/>
        <v>0</v>
      </c>
      <c r="AA171" s="367">
        <f t="shared" si="99"/>
        <v>0</v>
      </c>
      <c r="AB171" s="369" t="str">
        <f t="shared" si="100"/>
        <v>Não Iniciada</v>
      </c>
      <c r="AC171" s="365"/>
      <c r="AD171" s="368">
        <v>1</v>
      </c>
      <c r="AE171" s="368">
        <f t="shared" si="121"/>
        <v>-1</v>
      </c>
      <c r="AF171" s="365"/>
      <c r="AG171" s="863">
        <f t="shared" si="110"/>
        <v>0</v>
      </c>
      <c r="AH171" s="864">
        <f t="shared" si="122"/>
        <v>0</v>
      </c>
      <c r="AI171" s="863">
        <f t="shared" si="111"/>
        <v>0</v>
      </c>
      <c r="AJ171" s="864">
        <f t="shared" si="123"/>
        <v>0</v>
      </c>
      <c r="AK171" s="365"/>
      <c r="AL171" s="865">
        <f t="shared" si="112"/>
        <v>0</v>
      </c>
      <c r="AM171" s="866">
        <f t="shared" si="124"/>
        <v>0</v>
      </c>
      <c r="AN171" s="866">
        <f t="shared" si="125"/>
        <v>0</v>
      </c>
      <c r="AO171" s="866">
        <f t="shared" si="126"/>
        <v>0</v>
      </c>
      <c r="AP171" s="867">
        <f t="shared" si="127"/>
        <v>0</v>
      </c>
      <c r="AQ171" s="591">
        <f t="shared" si="113"/>
        <v>0</v>
      </c>
      <c r="AR171" s="868">
        <f>IF(AND($L171=0,$P171=0)=TRUE,VLOOKUP($E171,Plan3!$A$16:$CT$487,$E$7+3,0)/100,0)</f>
        <v>0</v>
      </c>
      <c r="AS171" s="868">
        <f>IF(AND($L171=0,$P171=0)=TRUE,VLOOKUP($E171,Plan3!$A$16:$CT$487,$E$7+6,0)/100,0)</f>
        <v>0</v>
      </c>
      <c r="AT171" s="868">
        <f>IF(AND($L171=0,$P171=0)=TRUE,VLOOKUP($E171,Plan3!$A$16:$CT$487,$E$7+9,0)/100,0)</f>
        <v>0</v>
      </c>
      <c r="AU171" s="868">
        <f>IF(AND($L171=0,$P171=0)=TRUE,VLOOKUP($E171,Plan3!$A$16:$CT$487,$E$7+12,0)/100,0)</f>
        <v>0</v>
      </c>
      <c r="AV171" s="841"/>
      <c r="AW171" s="869">
        <f t="shared" si="128"/>
        <v>0</v>
      </c>
      <c r="AX171" s="870">
        <f t="shared" si="129"/>
        <v>0</v>
      </c>
      <c r="AY171" s="871">
        <f t="shared" si="130"/>
        <v>0</v>
      </c>
      <c r="AZ171" s="237" t="str">
        <f t="shared" si="101"/>
        <v xml:space="preserve">09.006.000.001 </v>
      </c>
      <c r="BA171" s="365"/>
      <c r="BB171" s="365"/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872">
        <f t="shared" si="102"/>
        <v>0</v>
      </c>
      <c r="BM171" s="873">
        <f t="shared" si="103"/>
        <v>0</v>
      </c>
      <c r="BN171" s="874">
        <f t="shared" si="131"/>
        <v>0</v>
      </c>
      <c r="BO171" s="875">
        <f t="shared" si="104"/>
        <v>0</v>
      </c>
      <c r="BP171" s="875">
        <f t="shared" si="105"/>
        <v>0</v>
      </c>
      <c r="BQ171" s="876">
        <f t="shared" si="132"/>
        <v>0</v>
      </c>
      <c r="BR171" s="877">
        <f t="shared" si="133"/>
        <v>0</v>
      </c>
      <c r="BS171" s="875">
        <f t="shared" si="106"/>
        <v>0</v>
      </c>
      <c r="BT171" s="875">
        <f t="shared" si="107"/>
        <v>0</v>
      </c>
      <c r="BU171" s="878">
        <f t="shared" si="134"/>
        <v>0</v>
      </c>
      <c r="CE171" s="486">
        <v>159</v>
      </c>
    </row>
    <row r="172" spans="1:83" s="177" customFormat="1" ht="21.95" customHeight="1" x14ac:dyDescent="0.2">
      <c r="A172" s="237">
        <f t="shared" si="108"/>
        <v>0</v>
      </c>
      <c r="B172" s="237">
        <f t="shared" si="109"/>
        <v>0</v>
      </c>
      <c r="C172" s="393">
        <f t="shared" si="94"/>
        <v>0</v>
      </c>
      <c r="D172" s="393" t="str">
        <f t="shared" si="95"/>
        <v xml:space="preserve">09 </v>
      </c>
      <c r="E172" s="959" t="s">
        <v>642</v>
      </c>
      <c r="F172" s="959" t="s">
        <v>1409</v>
      </c>
      <c r="G172" s="959" t="s">
        <v>90</v>
      </c>
      <c r="H172" s="960">
        <v>7.32</v>
      </c>
      <c r="I172" s="970">
        <v>76.728300000000004</v>
      </c>
      <c r="J172" s="966">
        <v>561.65</v>
      </c>
      <c r="K172" s="367">
        <v>0</v>
      </c>
      <c r="L172" s="367">
        <f>IF($H172="",0,VLOOKUP($E172,Plan3!$A$16:$CT$384,$E$7,0)%)</f>
        <v>0</v>
      </c>
      <c r="M172" s="368">
        <f t="shared" si="114"/>
        <v>0</v>
      </c>
      <c r="N172" s="368">
        <f t="shared" si="115"/>
        <v>0</v>
      </c>
      <c r="O172" s="367">
        <v>0</v>
      </c>
      <c r="P172" s="367">
        <f>VLOOKUP($E172,Plan3!$A$492:$P$858,13,0)%</f>
        <v>0</v>
      </c>
      <c r="Q172" s="368">
        <f t="shared" si="116"/>
        <v>0</v>
      </c>
      <c r="R172" s="368">
        <f t="shared" si="117"/>
        <v>0</v>
      </c>
      <c r="S172" s="880">
        <v>568.16513999999995</v>
      </c>
      <c r="T172" s="880">
        <f t="shared" si="118"/>
        <v>0</v>
      </c>
      <c r="U172" s="880">
        <f>IF($I172="",0,($S172-$T172)*(1+('Econômico Macro'!$R$12/100)))</f>
        <v>577.99439692199996</v>
      </c>
      <c r="V172" s="880">
        <f t="shared" si="119"/>
        <v>577.99439692199996</v>
      </c>
      <c r="W172" s="880">
        <f t="shared" si="120"/>
        <v>0</v>
      </c>
      <c r="X172" s="367">
        <f t="shared" si="96"/>
        <v>0</v>
      </c>
      <c r="Y172" s="367">
        <f t="shared" si="97"/>
        <v>0</v>
      </c>
      <c r="Z172" s="367">
        <f t="shared" si="98"/>
        <v>0</v>
      </c>
      <c r="AA172" s="367">
        <f t="shared" si="99"/>
        <v>0</v>
      </c>
      <c r="AB172" s="369" t="str">
        <f t="shared" si="100"/>
        <v>Não Iniciada</v>
      </c>
      <c r="AC172" s="365"/>
      <c r="AD172" s="368">
        <v>1</v>
      </c>
      <c r="AE172" s="368">
        <f t="shared" si="121"/>
        <v>-1</v>
      </c>
      <c r="AF172" s="365"/>
      <c r="AG172" s="863">
        <f t="shared" si="110"/>
        <v>0</v>
      </c>
      <c r="AH172" s="864">
        <f t="shared" si="122"/>
        <v>0</v>
      </c>
      <c r="AI172" s="863">
        <f t="shared" si="111"/>
        <v>0</v>
      </c>
      <c r="AJ172" s="864">
        <f t="shared" si="123"/>
        <v>0</v>
      </c>
      <c r="AK172" s="365"/>
      <c r="AL172" s="865">
        <f t="shared" si="112"/>
        <v>0</v>
      </c>
      <c r="AM172" s="866">
        <f t="shared" si="124"/>
        <v>0</v>
      </c>
      <c r="AN172" s="866">
        <f t="shared" si="125"/>
        <v>0</v>
      </c>
      <c r="AO172" s="866">
        <f t="shared" si="126"/>
        <v>0</v>
      </c>
      <c r="AP172" s="867">
        <f t="shared" si="127"/>
        <v>0</v>
      </c>
      <c r="AQ172" s="591">
        <f t="shared" si="113"/>
        <v>0</v>
      </c>
      <c r="AR172" s="868">
        <f>IF(AND($L172=0,$P172=0)=TRUE,VLOOKUP($E172,Plan3!$A$16:$CT$487,$E$7+3,0)/100,0)</f>
        <v>0</v>
      </c>
      <c r="AS172" s="868">
        <f>IF(AND($L172=0,$P172=0)=TRUE,VLOOKUP($E172,Plan3!$A$16:$CT$487,$E$7+6,0)/100,0)</f>
        <v>0</v>
      </c>
      <c r="AT172" s="868">
        <f>IF(AND($L172=0,$P172=0)=TRUE,VLOOKUP($E172,Plan3!$A$16:$CT$487,$E$7+9,0)/100,0)</f>
        <v>0</v>
      </c>
      <c r="AU172" s="868">
        <f>IF(AND($L172=0,$P172=0)=TRUE,VLOOKUP($E172,Plan3!$A$16:$CT$487,$E$7+12,0)/100,0)</f>
        <v>0</v>
      </c>
      <c r="AV172" s="841"/>
      <c r="AW172" s="869">
        <f t="shared" si="128"/>
        <v>0</v>
      </c>
      <c r="AX172" s="870">
        <f t="shared" si="129"/>
        <v>0</v>
      </c>
      <c r="AY172" s="871">
        <f t="shared" si="130"/>
        <v>0</v>
      </c>
      <c r="AZ172" s="237" t="str">
        <f t="shared" si="101"/>
        <v xml:space="preserve">09.006.000.002 </v>
      </c>
      <c r="BA172" s="365"/>
      <c r="BB172" s="365"/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872">
        <f t="shared" si="102"/>
        <v>0</v>
      </c>
      <c r="BM172" s="873">
        <f t="shared" si="103"/>
        <v>0</v>
      </c>
      <c r="BN172" s="874">
        <f t="shared" si="131"/>
        <v>0</v>
      </c>
      <c r="BO172" s="875">
        <f t="shared" si="104"/>
        <v>0</v>
      </c>
      <c r="BP172" s="875">
        <f t="shared" si="105"/>
        <v>0</v>
      </c>
      <c r="BQ172" s="876">
        <f t="shared" si="132"/>
        <v>0</v>
      </c>
      <c r="BR172" s="877">
        <f t="shared" si="133"/>
        <v>0</v>
      </c>
      <c r="BS172" s="875">
        <f t="shared" si="106"/>
        <v>0</v>
      </c>
      <c r="BT172" s="875">
        <f t="shared" si="107"/>
        <v>0</v>
      </c>
      <c r="BU172" s="878">
        <f t="shared" si="134"/>
        <v>0</v>
      </c>
      <c r="CE172" s="486">
        <v>160</v>
      </c>
    </row>
    <row r="173" spans="1:83" s="177" customFormat="1" ht="21.95" customHeight="1" x14ac:dyDescent="0.2">
      <c r="A173" s="237">
        <f t="shared" si="108"/>
        <v>0</v>
      </c>
      <c r="B173" s="237">
        <f t="shared" si="109"/>
        <v>0</v>
      </c>
      <c r="C173" s="393">
        <f t="shared" si="94"/>
        <v>0</v>
      </c>
      <c r="D173" s="393" t="str">
        <f t="shared" si="95"/>
        <v xml:space="preserve">09 </v>
      </c>
      <c r="E173" s="959" t="s">
        <v>1963</v>
      </c>
      <c r="F173" s="959" t="s">
        <v>1410</v>
      </c>
      <c r="G173" s="959" t="s">
        <v>90</v>
      </c>
      <c r="H173" s="960">
        <v>3.42</v>
      </c>
      <c r="I173" s="970">
        <v>76.728300000000004</v>
      </c>
      <c r="J173" s="966">
        <v>262.41000000000003</v>
      </c>
      <c r="K173" s="367">
        <v>0</v>
      </c>
      <c r="L173" s="367">
        <f>IF($H173="",0,VLOOKUP($E173,Plan3!$A$16:$CT$384,$E$7,0)%)</f>
        <v>0</v>
      </c>
      <c r="M173" s="368">
        <f t="shared" si="114"/>
        <v>0</v>
      </c>
      <c r="N173" s="368">
        <f t="shared" si="115"/>
        <v>0</v>
      </c>
      <c r="O173" s="367">
        <v>0</v>
      </c>
      <c r="P173" s="367">
        <f>VLOOKUP($E173,Plan3!$A$492:$P$858,13,0)%</f>
        <v>0</v>
      </c>
      <c r="Q173" s="368">
        <f t="shared" si="116"/>
        <v>0</v>
      </c>
      <c r="R173" s="368">
        <f t="shared" si="117"/>
        <v>0</v>
      </c>
      <c r="S173" s="880">
        <v>265.45395600000006</v>
      </c>
      <c r="T173" s="880">
        <f t="shared" si="118"/>
        <v>0</v>
      </c>
      <c r="U173" s="880">
        <f>IF($I173="",0,($S173-$T173)*(1+('Econômico Macro'!$R$12/100)))</f>
        <v>270.04630943880011</v>
      </c>
      <c r="V173" s="880">
        <f t="shared" si="119"/>
        <v>270.04630943880011</v>
      </c>
      <c r="W173" s="880">
        <f t="shared" si="120"/>
        <v>0</v>
      </c>
      <c r="X173" s="367">
        <f t="shared" si="96"/>
        <v>0</v>
      </c>
      <c r="Y173" s="367">
        <f t="shared" si="97"/>
        <v>0</v>
      </c>
      <c r="Z173" s="367">
        <f t="shared" si="98"/>
        <v>0</v>
      </c>
      <c r="AA173" s="367">
        <f t="shared" si="99"/>
        <v>0</v>
      </c>
      <c r="AB173" s="369" t="str">
        <f t="shared" si="100"/>
        <v>Não Iniciada</v>
      </c>
      <c r="AC173" s="365"/>
      <c r="AD173" s="368">
        <v>1</v>
      </c>
      <c r="AE173" s="368">
        <f t="shared" si="121"/>
        <v>-1</v>
      </c>
      <c r="AF173" s="365"/>
      <c r="AG173" s="863">
        <f t="shared" si="110"/>
        <v>0</v>
      </c>
      <c r="AH173" s="864">
        <f t="shared" si="122"/>
        <v>0</v>
      </c>
      <c r="AI173" s="863">
        <f t="shared" si="111"/>
        <v>0</v>
      </c>
      <c r="AJ173" s="864">
        <f t="shared" si="123"/>
        <v>0</v>
      </c>
      <c r="AK173" s="365"/>
      <c r="AL173" s="865">
        <f t="shared" si="112"/>
        <v>0</v>
      </c>
      <c r="AM173" s="866">
        <f t="shared" si="124"/>
        <v>0</v>
      </c>
      <c r="AN173" s="866">
        <f t="shared" si="125"/>
        <v>0</v>
      </c>
      <c r="AO173" s="866">
        <f t="shared" si="126"/>
        <v>0</v>
      </c>
      <c r="AP173" s="867">
        <f t="shared" si="127"/>
        <v>0</v>
      </c>
      <c r="AQ173" s="591">
        <f t="shared" si="113"/>
        <v>0</v>
      </c>
      <c r="AR173" s="868">
        <f>IF(AND($L173=0,$P173=0)=TRUE,VLOOKUP($E173,Plan3!$A$16:$CT$487,$E$7+3,0)/100,0)</f>
        <v>0</v>
      </c>
      <c r="AS173" s="868">
        <f>IF(AND($L173=0,$P173=0)=TRUE,VLOOKUP($E173,Plan3!$A$16:$CT$487,$E$7+6,0)/100,0)</f>
        <v>0</v>
      </c>
      <c r="AT173" s="868">
        <f>IF(AND($L173=0,$P173=0)=TRUE,VLOOKUP($E173,Plan3!$A$16:$CT$487,$E$7+9,0)/100,0)</f>
        <v>0</v>
      </c>
      <c r="AU173" s="868">
        <f>IF(AND($L173=0,$P173=0)=TRUE,VLOOKUP($E173,Plan3!$A$16:$CT$487,$E$7+12,0)/100,0)</f>
        <v>0</v>
      </c>
      <c r="AV173" s="841"/>
      <c r="AW173" s="869">
        <f t="shared" si="128"/>
        <v>0</v>
      </c>
      <c r="AX173" s="870">
        <f t="shared" si="129"/>
        <v>0</v>
      </c>
      <c r="AY173" s="871">
        <f t="shared" si="130"/>
        <v>0</v>
      </c>
      <c r="AZ173" s="237" t="str">
        <f t="shared" si="101"/>
        <v xml:space="preserve">09.006.000.003 </v>
      </c>
      <c r="BA173" s="365"/>
      <c r="BB173" s="365"/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872">
        <f t="shared" si="102"/>
        <v>0</v>
      </c>
      <c r="BM173" s="873">
        <f t="shared" si="103"/>
        <v>0</v>
      </c>
      <c r="BN173" s="874">
        <f t="shared" si="131"/>
        <v>0</v>
      </c>
      <c r="BO173" s="875">
        <f t="shared" si="104"/>
        <v>0</v>
      </c>
      <c r="BP173" s="875">
        <f t="shared" si="105"/>
        <v>0</v>
      </c>
      <c r="BQ173" s="876">
        <f t="shared" si="132"/>
        <v>0</v>
      </c>
      <c r="BR173" s="877">
        <f t="shared" si="133"/>
        <v>0</v>
      </c>
      <c r="BS173" s="875">
        <f t="shared" si="106"/>
        <v>0</v>
      </c>
      <c r="BT173" s="875">
        <f t="shared" si="107"/>
        <v>0</v>
      </c>
      <c r="BU173" s="878">
        <f t="shared" si="134"/>
        <v>0</v>
      </c>
      <c r="CE173" s="486">
        <v>161</v>
      </c>
    </row>
    <row r="174" spans="1:83" s="177" customFormat="1" ht="21.95" customHeight="1" x14ac:dyDescent="0.2">
      <c r="A174" s="237">
        <f t="shared" si="108"/>
        <v>0</v>
      </c>
      <c r="B174" s="237">
        <f t="shared" si="109"/>
        <v>0</v>
      </c>
      <c r="C174" s="393">
        <f t="shared" si="94"/>
        <v>0</v>
      </c>
      <c r="D174" s="393" t="str">
        <f t="shared" si="95"/>
        <v xml:space="preserve">09 </v>
      </c>
      <c r="E174" s="959" t="s">
        <v>2098</v>
      </c>
      <c r="F174" s="959" t="s">
        <v>1411</v>
      </c>
      <c r="G174" s="959" t="s">
        <v>90</v>
      </c>
      <c r="H174" s="960">
        <v>9.6</v>
      </c>
      <c r="I174" s="970">
        <v>76.728300000000004</v>
      </c>
      <c r="J174" s="966">
        <v>736.59</v>
      </c>
      <c r="K174" s="367">
        <v>0</v>
      </c>
      <c r="L174" s="367">
        <f>IF($H174="",0,VLOOKUP($E174,Plan3!$A$16:$CT$384,$E$7,0)%)</f>
        <v>0</v>
      </c>
      <c r="M174" s="368">
        <f t="shared" si="114"/>
        <v>0</v>
      </c>
      <c r="N174" s="368">
        <f t="shared" si="115"/>
        <v>0</v>
      </c>
      <c r="O174" s="367">
        <v>0</v>
      </c>
      <c r="P174" s="367">
        <f>VLOOKUP($E174,Plan3!$A$492:$P$858,13,0)%</f>
        <v>0</v>
      </c>
      <c r="Q174" s="368">
        <f t="shared" si="116"/>
        <v>0</v>
      </c>
      <c r="R174" s="368">
        <f t="shared" si="117"/>
        <v>0</v>
      </c>
      <c r="S174" s="880">
        <v>745.13444400000003</v>
      </c>
      <c r="T174" s="880">
        <f t="shared" si="118"/>
        <v>0</v>
      </c>
      <c r="U174" s="880">
        <f>IF($I174="",0,($S174-$T174)*(1+('Econômico Macro'!$R$12/100)))</f>
        <v>758.02526988120007</v>
      </c>
      <c r="V174" s="880">
        <f t="shared" si="119"/>
        <v>758.02526988120007</v>
      </c>
      <c r="W174" s="880">
        <f t="shared" si="120"/>
        <v>0</v>
      </c>
      <c r="X174" s="367">
        <f t="shared" si="96"/>
        <v>0</v>
      </c>
      <c r="Y174" s="367">
        <f t="shared" si="97"/>
        <v>0</v>
      </c>
      <c r="Z174" s="367">
        <f t="shared" si="98"/>
        <v>0</v>
      </c>
      <c r="AA174" s="367">
        <f t="shared" si="99"/>
        <v>0</v>
      </c>
      <c r="AB174" s="369" t="str">
        <f t="shared" si="100"/>
        <v>Não Iniciada</v>
      </c>
      <c r="AC174" s="365"/>
      <c r="AD174" s="368">
        <v>1</v>
      </c>
      <c r="AE174" s="368">
        <f t="shared" si="121"/>
        <v>-1</v>
      </c>
      <c r="AF174" s="365"/>
      <c r="AG174" s="863">
        <f t="shared" si="110"/>
        <v>0</v>
      </c>
      <c r="AH174" s="864">
        <f t="shared" si="122"/>
        <v>0</v>
      </c>
      <c r="AI174" s="863">
        <f t="shared" si="111"/>
        <v>0</v>
      </c>
      <c r="AJ174" s="864">
        <f t="shared" si="123"/>
        <v>0</v>
      </c>
      <c r="AK174" s="365"/>
      <c r="AL174" s="865">
        <f t="shared" si="112"/>
        <v>0</v>
      </c>
      <c r="AM174" s="866">
        <f t="shared" si="124"/>
        <v>0</v>
      </c>
      <c r="AN174" s="866">
        <f t="shared" si="125"/>
        <v>0</v>
      </c>
      <c r="AO174" s="866">
        <f t="shared" si="126"/>
        <v>0</v>
      </c>
      <c r="AP174" s="867">
        <f t="shared" si="127"/>
        <v>0</v>
      </c>
      <c r="AQ174" s="591">
        <f t="shared" si="113"/>
        <v>0</v>
      </c>
      <c r="AR174" s="868">
        <f>IF(AND($L174=0,$P174=0)=TRUE,VLOOKUP($E174,Plan3!$A$16:$CT$487,$E$7+3,0)/100,0)</f>
        <v>0</v>
      </c>
      <c r="AS174" s="868">
        <f>IF(AND($L174=0,$P174=0)=TRUE,VLOOKUP($E174,Plan3!$A$16:$CT$487,$E$7+6,0)/100,0)</f>
        <v>0</v>
      </c>
      <c r="AT174" s="868">
        <f>IF(AND($L174=0,$P174=0)=TRUE,VLOOKUP($E174,Plan3!$A$16:$CT$487,$E$7+9,0)/100,0)</f>
        <v>0</v>
      </c>
      <c r="AU174" s="868">
        <f>IF(AND($L174=0,$P174=0)=TRUE,VLOOKUP($E174,Plan3!$A$16:$CT$487,$E$7+12,0)/100,0)</f>
        <v>0</v>
      </c>
      <c r="AV174" s="841"/>
      <c r="AW174" s="869">
        <f t="shared" si="128"/>
        <v>0</v>
      </c>
      <c r="AX174" s="870">
        <f t="shared" si="129"/>
        <v>0</v>
      </c>
      <c r="AY174" s="871">
        <f t="shared" si="130"/>
        <v>0</v>
      </c>
      <c r="AZ174" s="237" t="str">
        <f t="shared" si="101"/>
        <v xml:space="preserve">09.006.000.004 </v>
      </c>
      <c r="BA174" s="365"/>
      <c r="BB174" s="365"/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872">
        <f t="shared" si="102"/>
        <v>0</v>
      </c>
      <c r="BM174" s="873">
        <f t="shared" si="103"/>
        <v>0</v>
      </c>
      <c r="BN174" s="874">
        <f t="shared" si="131"/>
        <v>0</v>
      </c>
      <c r="BO174" s="875">
        <f t="shared" si="104"/>
        <v>0</v>
      </c>
      <c r="BP174" s="875">
        <f t="shared" si="105"/>
        <v>0</v>
      </c>
      <c r="BQ174" s="876">
        <f t="shared" si="132"/>
        <v>0</v>
      </c>
      <c r="BR174" s="877">
        <f t="shared" si="133"/>
        <v>0</v>
      </c>
      <c r="BS174" s="875">
        <f t="shared" si="106"/>
        <v>0</v>
      </c>
      <c r="BT174" s="875">
        <f t="shared" si="107"/>
        <v>0</v>
      </c>
      <c r="BU174" s="878">
        <f t="shared" si="134"/>
        <v>0</v>
      </c>
      <c r="CE174" s="486">
        <v>162</v>
      </c>
    </row>
    <row r="175" spans="1:83" s="177" customFormat="1" ht="21.95" customHeight="1" x14ac:dyDescent="0.2">
      <c r="A175" s="237">
        <f t="shared" si="108"/>
        <v>0</v>
      </c>
      <c r="B175" s="237">
        <f t="shared" si="109"/>
        <v>0</v>
      </c>
      <c r="C175" s="393">
        <f t="shared" si="94"/>
        <v>0</v>
      </c>
      <c r="D175" s="393" t="str">
        <f t="shared" si="95"/>
        <v xml:space="preserve">09 </v>
      </c>
      <c r="E175" s="959" t="s">
        <v>2099</v>
      </c>
      <c r="F175" s="959" t="s">
        <v>2257</v>
      </c>
      <c r="G175" s="959" t="s">
        <v>90</v>
      </c>
      <c r="H175" s="970">
        <v>43.2</v>
      </c>
      <c r="I175" s="970">
        <v>76.728300000000004</v>
      </c>
      <c r="J175" s="964">
        <v>3314.66</v>
      </c>
      <c r="K175" s="367">
        <v>0</v>
      </c>
      <c r="L175" s="367">
        <f>IF($H175="",0,VLOOKUP($E175,Plan3!$A$16:$CT$384,$E$7,0)%)</f>
        <v>0</v>
      </c>
      <c r="M175" s="368">
        <f t="shared" si="114"/>
        <v>0</v>
      </c>
      <c r="N175" s="368">
        <f t="shared" si="115"/>
        <v>0</v>
      </c>
      <c r="O175" s="367">
        <v>0</v>
      </c>
      <c r="P175" s="367">
        <f>VLOOKUP($E175,Plan3!$A$492:$P$858,13,0)%</f>
        <v>0</v>
      </c>
      <c r="Q175" s="368">
        <f t="shared" si="116"/>
        <v>0</v>
      </c>
      <c r="R175" s="368">
        <f t="shared" si="117"/>
        <v>0</v>
      </c>
      <c r="S175" s="880">
        <v>3353.110056</v>
      </c>
      <c r="T175" s="880">
        <f t="shared" si="118"/>
        <v>0</v>
      </c>
      <c r="U175" s="880">
        <f>IF($I175="",0,($S175-$T175)*(1+('Econômico Macro'!$R$12/100)))</f>
        <v>3411.1188599688003</v>
      </c>
      <c r="V175" s="880">
        <f t="shared" si="119"/>
        <v>3411.1188599688003</v>
      </c>
      <c r="W175" s="880">
        <f t="shared" si="120"/>
        <v>0</v>
      </c>
      <c r="X175" s="367">
        <f t="shared" si="96"/>
        <v>0</v>
      </c>
      <c r="Y175" s="367">
        <f t="shared" si="97"/>
        <v>0</v>
      </c>
      <c r="Z175" s="367">
        <f t="shared" si="98"/>
        <v>0</v>
      </c>
      <c r="AA175" s="367">
        <f t="shared" si="99"/>
        <v>0</v>
      </c>
      <c r="AB175" s="369" t="str">
        <f t="shared" si="100"/>
        <v>Não Iniciada</v>
      </c>
      <c r="AC175" s="365"/>
      <c r="AD175" s="368">
        <v>1</v>
      </c>
      <c r="AE175" s="368">
        <f t="shared" si="121"/>
        <v>-1</v>
      </c>
      <c r="AF175" s="365"/>
      <c r="AG175" s="863">
        <f t="shared" si="110"/>
        <v>0</v>
      </c>
      <c r="AH175" s="864">
        <f t="shared" si="122"/>
        <v>0</v>
      </c>
      <c r="AI175" s="863">
        <f t="shared" si="111"/>
        <v>0</v>
      </c>
      <c r="AJ175" s="864">
        <f t="shared" si="123"/>
        <v>0</v>
      </c>
      <c r="AK175" s="365"/>
      <c r="AL175" s="865">
        <f t="shared" si="112"/>
        <v>0</v>
      </c>
      <c r="AM175" s="866">
        <f t="shared" si="124"/>
        <v>0</v>
      </c>
      <c r="AN175" s="866">
        <f t="shared" si="125"/>
        <v>0</v>
      </c>
      <c r="AO175" s="866">
        <f t="shared" si="126"/>
        <v>0</v>
      </c>
      <c r="AP175" s="867">
        <f t="shared" si="127"/>
        <v>0</v>
      </c>
      <c r="AQ175" s="591">
        <f t="shared" si="113"/>
        <v>0</v>
      </c>
      <c r="AR175" s="868">
        <f>IF(AND($L175=0,$P175=0)=TRUE,VLOOKUP($E175,Plan3!$A$16:$CT$487,$E$7+3,0)/100,0)</f>
        <v>0</v>
      </c>
      <c r="AS175" s="868">
        <f>IF(AND($L175=0,$P175=0)=TRUE,VLOOKUP($E175,Plan3!$A$16:$CT$487,$E$7+6,0)/100,0)</f>
        <v>0</v>
      </c>
      <c r="AT175" s="868">
        <f>IF(AND($L175=0,$P175=0)=TRUE,VLOOKUP($E175,Plan3!$A$16:$CT$487,$E$7+9,0)/100,0)</f>
        <v>0</v>
      </c>
      <c r="AU175" s="868">
        <f>IF(AND($L175=0,$P175=0)=TRUE,VLOOKUP($E175,Plan3!$A$16:$CT$487,$E$7+12,0)/100,0)</f>
        <v>0</v>
      </c>
      <c r="AV175" s="841"/>
      <c r="AW175" s="869">
        <f t="shared" si="128"/>
        <v>0</v>
      </c>
      <c r="AX175" s="870">
        <f t="shared" si="129"/>
        <v>0</v>
      </c>
      <c r="AY175" s="871">
        <f t="shared" si="130"/>
        <v>0</v>
      </c>
      <c r="AZ175" s="237" t="str">
        <f t="shared" si="101"/>
        <v xml:space="preserve">09.006.000.005 </v>
      </c>
      <c r="BA175" s="365"/>
      <c r="BB175" s="365"/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872">
        <f t="shared" si="102"/>
        <v>0</v>
      </c>
      <c r="BM175" s="873">
        <f t="shared" si="103"/>
        <v>0</v>
      </c>
      <c r="BN175" s="874">
        <f t="shared" si="131"/>
        <v>0</v>
      </c>
      <c r="BO175" s="875">
        <f t="shared" si="104"/>
        <v>0</v>
      </c>
      <c r="BP175" s="875">
        <f t="shared" si="105"/>
        <v>0</v>
      </c>
      <c r="BQ175" s="876">
        <f t="shared" si="132"/>
        <v>0</v>
      </c>
      <c r="BR175" s="877">
        <f t="shared" si="133"/>
        <v>0</v>
      </c>
      <c r="BS175" s="875">
        <f t="shared" si="106"/>
        <v>0</v>
      </c>
      <c r="BT175" s="875">
        <f t="shared" si="107"/>
        <v>0</v>
      </c>
      <c r="BU175" s="878">
        <f t="shared" si="134"/>
        <v>0</v>
      </c>
      <c r="CE175" s="486">
        <v>163</v>
      </c>
    </row>
    <row r="176" spans="1:83" s="177" customFormat="1" ht="21.95" customHeight="1" x14ac:dyDescent="0.2">
      <c r="A176" s="237">
        <f t="shared" si="108"/>
        <v>0</v>
      </c>
      <c r="B176" s="237">
        <f t="shared" si="109"/>
        <v>0</v>
      </c>
      <c r="C176" s="393">
        <f t="shared" si="94"/>
        <v>0</v>
      </c>
      <c r="D176" s="393" t="str">
        <f t="shared" si="95"/>
        <v xml:space="preserve">09 </v>
      </c>
      <c r="E176" s="959" t="s">
        <v>2100</v>
      </c>
      <c r="F176" s="959" t="s">
        <v>2097</v>
      </c>
      <c r="G176" s="959" t="s">
        <v>90</v>
      </c>
      <c r="H176" s="970">
        <v>22.41</v>
      </c>
      <c r="I176" s="965">
        <v>135.54</v>
      </c>
      <c r="J176" s="964">
        <v>3037.45</v>
      </c>
      <c r="K176" s="367">
        <v>0</v>
      </c>
      <c r="L176" s="367">
        <f>IF($H176="",0,VLOOKUP($E176,Plan3!$A$16:$CT$384,$E$7,0)%)</f>
        <v>0</v>
      </c>
      <c r="M176" s="368">
        <f t="shared" si="114"/>
        <v>0</v>
      </c>
      <c r="N176" s="368">
        <f t="shared" si="115"/>
        <v>0</v>
      </c>
      <c r="O176" s="367">
        <v>0</v>
      </c>
      <c r="P176" s="367">
        <f>VLOOKUP($E176,Plan3!$A$492:$P$858,13,0)%</f>
        <v>0</v>
      </c>
      <c r="Q176" s="368">
        <f t="shared" si="116"/>
        <v>0</v>
      </c>
      <c r="R176" s="368">
        <f t="shared" si="117"/>
        <v>0</v>
      </c>
      <c r="S176" s="880">
        <v>3072.68442</v>
      </c>
      <c r="T176" s="880">
        <f t="shared" si="118"/>
        <v>0</v>
      </c>
      <c r="U176" s="880">
        <f>IF($I176="",0,($S176-$T176)*(1+('Econômico Macro'!$R$12/100)))</f>
        <v>3125.8418604660005</v>
      </c>
      <c r="V176" s="880">
        <f t="shared" si="119"/>
        <v>3125.8418604660005</v>
      </c>
      <c r="W176" s="880">
        <f t="shared" si="120"/>
        <v>0</v>
      </c>
      <c r="X176" s="367">
        <f t="shared" si="96"/>
        <v>0</v>
      </c>
      <c r="Y176" s="367">
        <f t="shared" si="97"/>
        <v>0</v>
      </c>
      <c r="Z176" s="367">
        <f t="shared" si="98"/>
        <v>0</v>
      </c>
      <c r="AA176" s="367">
        <f t="shared" si="99"/>
        <v>0</v>
      </c>
      <c r="AB176" s="369" t="str">
        <f t="shared" si="100"/>
        <v>Não Iniciada</v>
      </c>
      <c r="AC176" s="365"/>
      <c r="AD176" s="368">
        <v>1</v>
      </c>
      <c r="AE176" s="368">
        <f t="shared" si="121"/>
        <v>-1</v>
      </c>
      <c r="AF176" s="365"/>
      <c r="AG176" s="863">
        <f t="shared" si="110"/>
        <v>0</v>
      </c>
      <c r="AH176" s="864">
        <f t="shared" si="122"/>
        <v>0</v>
      </c>
      <c r="AI176" s="863">
        <f t="shared" si="111"/>
        <v>0</v>
      </c>
      <c r="AJ176" s="864">
        <f t="shared" si="123"/>
        <v>0</v>
      </c>
      <c r="AK176" s="365"/>
      <c r="AL176" s="865">
        <f t="shared" si="112"/>
        <v>0</v>
      </c>
      <c r="AM176" s="866">
        <f t="shared" si="124"/>
        <v>0</v>
      </c>
      <c r="AN176" s="866">
        <f t="shared" si="125"/>
        <v>0</v>
      </c>
      <c r="AO176" s="866">
        <f t="shared" si="126"/>
        <v>0</v>
      </c>
      <c r="AP176" s="867">
        <f t="shared" si="127"/>
        <v>0</v>
      </c>
      <c r="AQ176" s="591">
        <f t="shared" si="113"/>
        <v>0</v>
      </c>
      <c r="AR176" s="868">
        <f>IF(AND($L176=0,$P176=0)=TRUE,VLOOKUP($E176,Plan3!$A$16:$CT$487,$E$7+3,0)/100,0)</f>
        <v>0</v>
      </c>
      <c r="AS176" s="868">
        <f>IF(AND($L176=0,$P176=0)=TRUE,VLOOKUP($E176,Plan3!$A$16:$CT$487,$E$7+6,0)/100,0)</f>
        <v>0</v>
      </c>
      <c r="AT176" s="868">
        <f>IF(AND($L176=0,$P176=0)=TRUE,VLOOKUP($E176,Plan3!$A$16:$CT$487,$E$7+9,0)/100,0)</f>
        <v>0</v>
      </c>
      <c r="AU176" s="868">
        <f>IF(AND($L176=0,$P176=0)=TRUE,VLOOKUP($E176,Plan3!$A$16:$CT$487,$E$7+12,0)/100,0)</f>
        <v>0</v>
      </c>
      <c r="AV176" s="841"/>
      <c r="AW176" s="869">
        <f t="shared" si="128"/>
        <v>0</v>
      </c>
      <c r="AX176" s="870">
        <f t="shared" si="129"/>
        <v>0</v>
      </c>
      <c r="AY176" s="871">
        <f t="shared" si="130"/>
        <v>0</v>
      </c>
      <c r="AZ176" s="237" t="str">
        <f t="shared" si="101"/>
        <v xml:space="preserve">09.006.000.006 </v>
      </c>
      <c r="BA176" s="365"/>
      <c r="BB176" s="365"/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872">
        <f t="shared" si="102"/>
        <v>0</v>
      </c>
      <c r="BM176" s="873">
        <f t="shared" si="103"/>
        <v>0</v>
      </c>
      <c r="BN176" s="874">
        <f t="shared" si="131"/>
        <v>0</v>
      </c>
      <c r="BO176" s="875">
        <f t="shared" si="104"/>
        <v>0</v>
      </c>
      <c r="BP176" s="875">
        <f t="shared" si="105"/>
        <v>0</v>
      </c>
      <c r="BQ176" s="876">
        <f t="shared" si="132"/>
        <v>0</v>
      </c>
      <c r="BR176" s="877">
        <f t="shared" si="133"/>
        <v>0</v>
      </c>
      <c r="BS176" s="875">
        <f t="shared" si="106"/>
        <v>0</v>
      </c>
      <c r="BT176" s="875">
        <f t="shared" si="107"/>
        <v>0</v>
      </c>
      <c r="BU176" s="878">
        <f t="shared" si="134"/>
        <v>0</v>
      </c>
      <c r="CE176" s="486">
        <v>164</v>
      </c>
    </row>
    <row r="177" spans="1:83" s="177" customFormat="1" ht="21.95" customHeight="1" x14ac:dyDescent="0.2">
      <c r="A177" s="237">
        <f t="shared" si="108"/>
        <v>0</v>
      </c>
      <c r="B177" s="237">
        <f t="shared" si="109"/>
        <v>0</v>
      </c>
      <c r="C177" s="393">
        <f t="shared" si="94"/>
        <v>0</v>
      </c>
      <c r="D177" s="393" t="str">
        <f t="shared" si="95"/>
        <v xml:space="preserve">09 </v>
      </c>
      <c r="E177" s="959" t="s">
        <v>2101</v>
      </c>
      <c r="F177" s="959" t="s">
        <v>2258</v>
      </c>
      <c r="G177" s="959" t="s">
        <v>15</v>
      </c>
      <c r="H177" s="965">
        <v>607.07000000000005</v>
      </c>
      <c r="I177" s="970">
        <v>13.148999999999999</v>
      </c>
      <c r="J177" s="964">
        <v>7982.36</v>
      </c>
      <c r="K177" s="367">
        <v>0</v>
      </c>
      <c r="L177" s="367">
        <f>IF($H177="",0,VLOOKUP($E177,Plan3!$A$16:$CT$384,$E$7,0)%)</f>
        <v>0</v>
      </c>
      <c r="M177" s="368">
        <f t="shared" si="114"/>
        <v>0</v>
      </c>
      <c r="N177" s="368">
        <f t="shared" si="115"/>
        <v>0</v>
      </c>
      <c r="O177" s="367">
        <v>0</v>
      </c>
      <c r="P177" s="367">
        <f>VLOOKUP($E177,Plan3!$A$492:$P$858,13,0)%</f>
        <v>0</v>
      </c>
      <c r="Q177" s="368">
        <f t="shared" si="116"/>
        <v>0</v>
      </c>
      <c r="R177" s="368">
        <f t="shared" si="117"/>
        <v>0</v>
      </c>
      <c r="S177" s="880">
        <v>8074.9553759999999</v>
      </c>
      <c r="T177" s="880">
        <f t="shared" si="118"/>
        <v>0</v>
      </c>
      <c r="U177" s="880">
        <f>IF($I177="",0,($S177-$T177)*(1+('Econômico Macro'!$R$12/100)))</f>
        <v>8214.652104004801</v>
      </c>
      <c r="V177" s="880">
        <f t="shared" si="119"/>
        <v>8214.652104004801</v>
      </c>
      <c r="W177" s="880">
        <f t="shared" si="120"/>
        <v>0</v>
      </c>
      <c r="X177" s="367">
        <f t="shared" si="96"/>
        <v>0</v>
      </c>
      <c r="Y177" s="367">
        <f t="shared" si="97"/>
        <v>0</v>
      </c>
      <c r="Z177" s="367">
        <f t="shared" si="98"/>
        <v>0</v>
      </c>
      <c r="AA177" s="367">
        <f t="shared" si="99"/>
        <v>0</v>
      </c>
      <c r="AB177" s="369" t="str">
        <f t="shared" si="100"/>
        <v>Não Iniciada</v>
      </c>
      <c r="AC177" s="365"/>
      <c r="AD177" s="368">
        <v>1</v>
      </c>
      <c r="AE177" s="368">
        <f t="shared" si="121"/>
        <v>-1</v>
      </c>
      <c r="AF177" s="365"/>
      <c r="AG177" s="863">
        <f t="shared" si="110"/>
        <v>0</v>
      </c>
      <c r="AH177" s="864">
        <f t="shared" si="122"/>
        <v>0</v>
      </c>
      <c r="AI177" s="863">
        <f t="shared" si="111"/>
        <v>0</v>
      </c>
      <c r="AJ177" s="864">
        <f t="shared" si="123"/>
        <v>0</v>
      </c>
      <c r="AK177" s="365"/>
      <c r="AL177" s="865">
        <f t="shared" si="112"/>
        <v>0</v>
      </c>
      <c r="AM177" s="866">
        <f t="shared" si="124"/>
        <v>0</v>
      </c>
      <c r="AN177" s="866">
        <f t="shared" si="125"/>
        <v>0</v>
      </c>
      <c r="AO177" s="866">
        <f t="shared" si="126"/>
        <v>0</v>
      </c>
      <c r="AP177" s="867">
        <f t="shared" si="127"/>
        <v>0</v>
      </c>
      <c r="AQ177" s="591">
        <f t="shared" si="113"/>
        <v>0</v>
      </c>
      <c r="AR177" s="868">
        <f>IF(AND($L177=0,$P177=0)=TRUE,VLOOKUP($E177,Plan3!$A$16:$CT$487,$E$7+3,0)/100,0)</f>
        <v>0</v>
      </c>
      <c r="AS177" s="868">
        <f>IF(AND($L177=0,$P177=0)=TRUE,VLOOKUP($E177,Plan3!$A$16:$CT$487,$E$7+6,0)/100,0)</f>
        <v>0</v>
      </c>
      <c r="AT177" s="868">
        <f>IF(AND($L177=0,$P177=0)=TRUE,VLOOKUP($E177,Plan3!$A$16:$CT$487,$E$7+9,0)/100,0)</f>
        <v>0</v>
      </c>
      <c r="AU177" s="868">
        <f>IF(AND($L177=0,$P177=0)=TRUE,VLOOKUP($E177,Plan3!$A$16:$CT$487,$E$7+12,0)/100,0)</f>
        <v>0</v>
      </c>
      <c r="AV177" s="841"/>
      <c r="AW177" s="869">
        <f t="shared" si="128"/>
        <v>0</v>
      </c>
      <c r="AX177" s="870">
        <f t="shared" si="129"/>
        <v>0</v>
      </c>
      <c r="AY177" s="871">
        <f t="shared" si="130"/>
        <v>0</v>
      </c>
      <c r="AZ177" s="237" t="str">
        <f t="shared" si="101"/>
        <v xml:space="preserve">09.006.000.007 </v>
      </c>
      <c r="BA177" s="365"/>
      <c r="BB177" s="365"/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872">
        <f t="shared" si="102"/>
        <v>0</v>
      </c>
      <c r="BM177" s="873">
        <f t="shared" si="103"/>
        <v>0</v>
      </c>
      <c r="BN177" s="874">
        <f t="shared" si="131"/>
        <v>0</v>
      </c>
      <c r="BO177" s="875">
        <f t="shared" si="104"/>
        <v>0</v>
      </c>
      <c r="BP177" s="875">
        <f t="shared" si="105"/>
        <v>0</v>
      </c>
      <c r="BQ177" s="876">
        <f t="shared" si="132"/>
        <v>0</v>
      </c>
      <c r="BR177" s="877">
        <f t="shared" si="133"/>
        <v>0</v>
      </c>
      <c r="BS177" s="875">
        <f t="shared" si="106"/>
        <v>0</v>
      </c>
      <c r="BT177" s="875">
        <f t="shared" si="107"/>
        <v>0</v>
      </c>
      <c r="BU177" s="878">
        <f t="shared" si="134"/>
        <v>0</v>
      </c>
      <c r="CE177" s="486">
        <v>165</v>
      </c>
    </row>
    <row r="178" spans="1:83" s="177" customFormat="1" ht="21.95" customHeight="1" x14ac:dyDescent="0.2">
      <c r="A178" s="237">
        <f t="shared" si="108"/>
        <v>0</v>
      </c>
      <c r="B178" s="237">
        <f t="shared" si="109"/>
        <v>0</v>
      </c>
      <c r="C178" s="393">
        <f t="shared" si="94"/>
        <v>0</v>
      </c>
      <c r="D178" s="393" t="str">
        <f t="shared" si="95"/>
        <v xml:space="preserve">09 </v>
      </c>
      <c r="E178" s="959" t="s">
        <v>2259</v>
      </c>
      <c r="F178" s="959" t="s">
        <v>2260</v>
      </c>
      <c r="G178" s="959" t="s">
        <v>15</v>
      </c>
      <c r="H178" s="965">
        <v>607.07000000000005</v>
      </c>
      <c r="I178" s="970">
        <v>11</v>
      </c>
      <c r="J178" s="964">
        <v>6677.77</v>
      </c>
      <c r="K178" s="367">
        <v>0</v>
      </c>
      <c r="L178" s="367">
        <f>IF($H178="",0,VLOOKUP($E178,Plan3!$A$16:$CT$384,$E$7,0)%)</f>
        <v>0</v>
      </c>
      <c r="M178" s="368">
        <f t="shared" si="114"/>
        <v>0</v>
      </c>
      <c r="N178" s="368">
        <f t="shared" si="115"/>
        <v>0</v>
      </c>
      <c r="O178" s="367">
        <v>0</v>
      </c>
      <c r="P178" s="367">
        <f>VLOOKUP($E178,Plan3!$A$492:$P$858,13,0)%</f>
        <v>0</v>
      </c>
      <c r="Q178" s="368">
        <f t="shared" si="116"/>
        <v>0</v>
      </c>
      <c r="R178" s="368">
        <f t="shared" si="117"/>
        <v>0</v>
      </c>
      <c r="S178" s="880">
        <v>6755.232132000001</v>
      </c>
      <c r="T178" s="880">
        <f t="shared" si="118"/>
        <v>0</v>
      </c>
      <c r="U178" s="880">
        <f>IF($I178="",0,($S178-$T178)*(1+('Econômico Macro'!$R$12/100)))</f>
        <v>6872.0976478836019</v>
      </c>
      <c r="V178" s="880">
        <f t="shared" si="119"/>
        <v>6872.0976478836019</v>
      </c>
      <c r="W178" s="880">
        <f t="shared" si="120"/>
        <v>0</v>
      </c>
      <c r="X178" s="367">
        <f t="shared" si="96"/>
        <v>0</v>
      </c>
      <c r="Y178" s="367">
        <f t="shared" si="97"/>
        <v>0</v>
      </c>
      <c r="Z178" s="367">
        <f t="shared" si="98"/>
        <v>0</v>
      </c>
      <c r="AA178" s="367">
        <f t="shared" si="99"/>
        <v>0</v>
      </c>
      <c r="AB178" s="369" t="str">
        <f t="shared" si="100"/>
        <v>Não Iniciada</v>
      </c>
      <c r="AC178" s="365"/>
      <c r="AD178" s="368">
        <v>1</v>
      </c>
      <c r="AE178" s="368">
        <f t="shared" si="121"/>
        <v>-1</v>
      </c>
      <c r="AF178" s="365"/>
      <c r="AG178" s="863">
        <f t="shared" si="110"/>
        <v>0</v>
      </c>
      <c r="AH178" s="864">
        <f t="shared" si="122"/>
        <v>0</v>
      </c>
      <c r="AI178" s="863">
        <f t="shared" si="111"/>
        <v>0</v>
      </c>
      <c r="AJ178" s="864">
        <f t="shared" si="123"/>
        <v>0</v>
      </c>
      <c r="AK178" s="365"/>
      <c r="AL178" s="865">
        <f t="shared" si="112"/>
        <v>0</v>
      </c>
      <c r="AM178" s="866">
        <f t="shared" si="124"/>
        <v>0</v>
      </c>
      <c r="AN178" s="866">
        <f t="shared" si="125"/>
        <v>0</v>
      </c>
      <c r="AO178" s="866">
        <f t="shared" si="126"/>
        <v>0</v>
      </c>
      <c r="AP178" s="867">
        <f t="shared" si="127"/>
        <v>0</v>
      </c>
      <c r="AQ178" s="591">
        <f t="shared" si="113"/>
        <v>0</v>
      </c>
      <c r="AR178" s="868">
        <f>IF(AND($L178=0,$P178=0)=TRUE,VLOOKUP($E178,Plan3!$A$16:$CT$487,$E$7+3,0)/100,0)</f>
        <v>0</v>
      </c>
      <c r="AS178" s="868">
        <f>IF(AND($L178=0,$P178=0)=TRUE,VLOOKUP($E178,Plan3!$A$16:$CT$487,$E$7+6,0)/100,0)</f>
        <v>0</v>
      </c>
      <c r="AT178" s="868">
        <f>IF(AND($L178=0,$P178=0)=TRUE,VLOOKUP($E178,Plan3!$A$16:$CT$487,$E$7+9,0)/100,0)</f>
        <v>0</v>
      </c>
      <c r="AU178" s="868">
        <f>IF(AND($L178=0,$P178=0)=TRUE,VLOOKUP($E178,Plan3!$A$16:$CT$487,$E$7+12,0)/100,0)</f>
        <v>0</v>
      </c>
      <c r="AV178" s="841"/>
      <c r="AW178" s="869">
        <f t="shared" si="128"/>
        <v>0</v>
      </c>
      <c r="AX178" s="870">
        <f t="shared" si="129"/>
        <v>0</v>
      </c>
      <c r="AY178" s="871">
        <f t="shared" si="130"/>
        <v>0</v>
      </c>
      <c r="AZ178" s="237" t="str">
        <f t="shared" si="101"/>
        <v xml:space="preserve">09.006.000.008 </v>
      </c>
      <c r="BA178" s="365"/>
      <c r="BB178" s="365"/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872">
        <f t="shared" si="102"/>
        <v>0</v>
      </c>
      <c r="BM178" s="873">
        <f t="shared" si="103"/>
        <v>0</v>
      </c>
      <c r="BN178" s="874">
        <f t="shared" si="131"/>
        <v>0</v>
      </c>
      <c r="BO178" s="875">
        <f t="shared" si="104"/>
        <v>0</v>
      </c>
      <c r="BP178" s="875">
        <f t="shared" si="105"/>
        <v>0</v>
      </c>
      <c r="BQ178" s="876">
        <f t="shared" si="132"/>
        <v>0</v>
      </c>
      <c r="BR178" s="877">
        <f t="shared" si="133"/>
        <v>0</v>
      </c>
      <c r="BS178" s="875">
        <f t="shared" si="106"/>
        <v>0</v>
      </c>
      <c r="BT178" s="875">
        <f t="shared" si="107"/>
        <v>0</v>
      </c>
      <c r="BU178" s="878">
        <f t="shared" si="134"/>
        <v>0</v>
      </c>
      <c r="CE178" s="486">
        <v>166</v>
      </c>
    </row>
    <row r="179" spans="1:83" s="177" customFormat="1" ht="21.95" customHeight="1" x14ac:dyDescent="0.2">
      <c r="A179" s="237">
        <f t="shared" si="108"/>
        <v>0</v>
      </c>
      <c r="B179" s="237">
        <f t="shared" si="109"/>
        <v>0</v>
      </c>
      <c r="C179" s="393">
        <f t="shared" si="94"/>
        <v>0</v>
      </c>
      <c r="D179" s="393" t="str">
        <f t="shared" si="95"/>
        <v xml:space="preserve">09 </v>
      </c>
      <c r="E179" s="959" t="s">
        <v>2261</v>
      </c>
      <c r="F179" s="959" t="s">
        <v>2262</v>
      </c>
      <c r="G179" s="959" t="s">
        <v>15</v>
      </c>
      <c r="H179" s="965">
        <v>607.07000000000005</v>
      </c>
      <c r="I179" s="960">
        <v>4.3052999999999999</v>
      </c>
      <c r="J179" s="964">
        <v>2613.62</v>
      </c>
      <c r="K179" s="367">
        <v>0</v>
      </c>
      <c r="L179" s="367">
        <f>IF($H179="",0,VLOOKUP($E179,Plan3!$A$16:$CT$384,$E$7,0)%)</f>
        <v>0</v>
      </c>
      <c r="M179" s="368">
        <f t="shared" si="114"/>
        <v>0</v>
      </c>
      <c r="N179" s="368">
        <f t="shared" si="115"/>
        <v>0</v>
      </c>
      <c r="O179" s="367">
        <v>0</v>
      </c>
      <c r="P179" s="367">
        <f>VLOOKUP($E179,Plan3!$A$492:$P$858,13,0)%</f>
        <v>0</v>
      </c>
      <c r="Q179" s="368">
        <f t="shared" si="116"/>
        <v>0</v>
      </c>
      <c r="R179" s="368">
        <f t="shared" si="117"/>
        <v>0</v>
      </c>
      <c r="S179" s="880">
        <v>2643.9379920000001</v>
      </c>
      <c r="T179" s="880">
        <f t="shared" si="118"/>
        <v>0</v>
      </c>
      <c r="U179" s="880">
        <f>IF($I179="",0,($S179-$T179)*(1+('Econômico Macro'!$R$12/100)))</f>
        <v>2689.6781192616004</v>
      </c>
      <c r="V179" s="880">
        <f t="shared" si="119"/>
        <v>2689.6781192616004</v>
      </c>
      <c r="W179" s="880">
        <f t="shared" si="120"/>
        <v>0</v>
      </c>
      <c r="X179" s="367">
        <f t="shared" si="96"/>
        <v>0</v>
      </c>
      <c r="Y179" s="367">
        <f t="shared" si="97"/>
        <v>0</v>
      </c>
      <c r="Z179" s="367">
        <f t="shared" si="98"/>
        <v>0</v>
      </c>
      <c r="AA179" s="367">
        <f t="shared" si="99"/>
        <v>0</v>
      </c>
      <c r="AB179" s="369" t="str">
        <f t="shared" si="100"/>
        <v>Não Iniciada</v>
      </c>
      <c r="AC179" s="365"/>
      <c r="AD179" s="368">
        <v>1</v>
      </c>
      <c r="AE179" s="368">
        <f t="shared" si="121"/>
        <v>-1</v>
      </c>
      <c r="AF179" s="365"/>
      <c r="AG179" s="863">
        <f t="shared" si="110"/>
        <v>0</v>
      </c>
      <c r="AH179" s="864">
        <f t="shared" si="122"/>
        <v>0</v>
      </c>
      <c r="AI179" s="863">
        <f t="shared" si="111"/>
        <v>0</v>
      </c>
      <c r="AJ179" s="864">
        <f t="shared" si="123"/>
        <v>0</v>
      </c>
      <c r="AK179" s="365"/>
      <c r="AL179" s="865">
        <f t="shared" si="112"/>
        <v>0</v>
      </c>
      <c r="AM179" s="866">
        <f t="shared" si="124"/>
        <v>0</v>
      </c>
      <c r="AN179" s="866">
        <f t="shared" si="125"/>
        <v>0</v>
      </c>
      <c r="AO179" s="866">
        <f t="shared" si="126"/>
        <v>0</v>
      </c>
      <c r="AP179" s="867">
        <f t="shared" si="127"/>
        <v>0</v>
      </c>
      <c r="AQ179" s="591">
        <f t="shared" si="113"/>
        <v>0</v>
      </c>
      <c r="AR179" s="868">
        <f>IF(AND($L179=0,$P179=0)=TRUE,VLOOKUP($E179,Plan3!$A$16:$CT$487,$E$7+3,0)/100,0)</f>
        <v>0</v>
      </c>
      <c r="AS179" s="868">
        <f>IF(AND($L179=0,$P179=0)=TRUE,VLOOKUP($E179,Plan3!$A$16:$CT$487,$E$7+6,0)/100,0)</f>
        <v>0</v>
      </c>
      <c r="AT179" s="868">
        <f>IF(AND($L179=0,$P179=0)=TRUE,VLOOKUP($E179,Plan3!$A$16:$CT$487,$E$7+9,0)/100,0)</f>
        <v>0</v>
      </c>
      <c r="AU179" s="868">
        <f>IF(AND($L179=0,$P179=0)=TRUE,VLOOKUP($E179,Plan3!$A$16:$CT$487,$E$7+12,0)/100,0)</f>
        <v>0</v>
      </c>
      <c r="AV179" s="841"/>
      <c r="AW179" s="869">
        <f t="shared" si="128"/>
        <v>0</v>
      </c>
      <c r="AX179" s="870">
        <f t="shared" si="129"/>
        <v>0</v>
      </c>
      <c r="AY179" s="871">
        <f t="shared" si="130"/>
        <v>0</v>
      </c>
      <c r="AZ179" s="237" t="str">
        <f t="shared" si="101"/>
        <v xml:space="preserve">09.006.000.009 </v>
      </c>
      <c r="BA179" s="365"/>
      <c r="BB179" s="365"/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872">
        <f t="shared" si="102"/>
        <v>0</v>
      </c>
      <c r="BM179" s="873">
        <f t="shared" si="103"/>
        <v>0</v>
      </c>
      <c r="BN179" s="874">
        <f t="shared" si="131"/>
        <v>0</v>
      </c>
      <c r="BO179" s="875">
        <f t="shared" si="104"/>
        <v>0</v>
      </c>
      <c r="BP179" s="875">
        <f t="shared" si="105"/>
        <v>0</v>
      </c>
      <c r="BQ179" s="876">
        <f t="shared" si="132"/>
        <v>0</v>
      </c>
      <c r="BR179" s="877">
        <f t="shared" si="133"/>
        <v>0</v>
      </c>
      <c r="BS179" s="875">
        <f t="shared" si="106"/>
        <v>0</v>
      </c>
      <c r="BT179" s="875">
        <f t="shared" si="107"/>
        <v>0</v>
      </c>
      <c r="BU179" s="878">
        <f t="shared" si="134"/>
        <v>0</v>
      </c>
      <c r="CE179" s="486">
        <v>167</v>
      </c>
    </row>
    <row r="180" spans="1:83" s="177" customFormat="1" ht="21.95" customHeight="1" x14ac:dyDescent="0.2">
      <c r="A180" s="237">
        <f t="shared" si="108"/>
        <v>0</v>
      </c>
      <c r="B180" s="237">
        <f t="shared" si="109"/>
        <v>0</v>
      </c>
      <c r="C180" s="393" t="str">
        <f t="shared" si="94"/>
        <v xml:space="preserve">10 </v>
      </c>
      <c r="D180" s="393" t="str">
        <f t="shared" si="95"/>
        <v xml:space="preserve">10 </v>
      </c>
      <c r="E180" s="161" t="s">
        <v>122</v>
      </c>
      <c r="F180" s="161" t="s">
        <v>643</v>
      </c>
      <c r="G180" s="162"/>
      <c r="H180" s="162"/>
      <c r="I180" s="162"/>
      <c r="J180" s="163">
        <v>281145.40000000002</v>
      </c>
      <c r="K180" s="164">
        <v>0</v>
      </c>
      <c r="L180" s="164">
        <f t="array" ref="L180">SUM(IF($D181:$D$379=$E180,$L181:$L$379*$J181:$J$379))/$J180</f>
        <v>0</v>
      </c>
      <c r="M180" s="163"/>
      <c r="N180" s="163">
        <f>$L180*$J180</f>
        <v>0</v>
      </c>
      <c r="O180" s="164">
        <v>0</v>
      </c>
      <c r="P180" s="164">
        <f t="array" ref="P180">SUM(IF($D181:$D$379=$E180,$P181:$P$379*$J181:$J$379))/$J180</f>
        <v>0</v>
      </c>
      <c r="Q180" s="163">
        <f>$P180*$H180</f>
        <v>0</v>
      </c>
      <c r="R180" s="163">
        <f>$P180*$J180</f>
        <v>0</v>
      </c>
      <c r="S180" s="163">
        <v>284406.68663999997</v>
      </c>
      <c r="T180" s="163">
        <f>SUM(T181:T218)</f>
        <v>0</v>
      </c>
      <c r="U180" s="163"/>
      <c r="V180" s="163">
        <f t="shared" ref="V180:W180" si="135">SUM(V181:V218)</f>
        <v>289326.92231887195</v>
      </c>
      <c r="W180" s="163">
        <f t="shared" si="135"/>
        <v>0</v>
      </c>
      <c r="X180" s="164">
        <f t="shared" si="96"/>
        <v>0</v>
      </c>
      <c r="Y180" s="164">
        <f t="shared" si="97"/>
        <v>0</v>
      </c>
      <c r="Z180" s="164">
        <f t="shared" si="98"/>
        <v>0</v>
      </c>
      <c r="AA180" s="164">
        <f t="shared" si="99"/>
        <v>0</v>
      </c>
      <c r="AB180" s="201" t="str">
        <f t="shared" si="100"/>
        <v>Não Iniciada</v>
      </c>
      <c r="AC180" s="155" t="s">
        <v>763</v>
      </c>
      <c r="AD180" s="689">
        <v>0</v>
      </c>
      <c r="AE180" s="835">
        <f>Q180-AD180</f>
        <v>0</v>
      </c>
      <c r="AF180" s="155"/>
      <c r="AG180" s="207"/>
      <c r="AH180" s="208"/>
      <c r="AI180" s="207"/>
      <c r="AJ180" s="208"/>
      <c r="AK180" s="155"/>
      <c r="AL180" s="212"/>
      <c r="AM180" s="209"/>
      <c r="AN180" s="209"/>
      <c r="AO180" s="209"/>
      <c r="AP180" s="213"/>
      <c r="AQ180" s="401"/>
      <c r="AR180" s="247"/>
      <c r="AS180" s="247"/>
      <c r="AT180" s="247"/>
      <c r="AU180" s="247"/>
      <c r="AV180" s="155"/>
      <c r="AW180" s="250"/>
      <c r="AX180" s="248"/>
      <c r="AY180" s="402"/>
      <c r="AZ180" s="237" t="str">
        <f t="shared" si="101"/>
        <v xml:space="preserve">10 </v>
      </c>
      <c r="BA180" s="155"/>
      <c r="BB180" s="155"/>
      <c r="BC180" s="155"/>
      <c r="BD180" s="155"/>
      <c r="BE180" s="155"/>
      <c r="BF180" s="155"/>
      <c r="BG180" s="155"/>
      <c r="BH180" s="155"/>
      <c r="BI180" s="155"/>
      <c r="BJ180" s="155"/>
      <c r="BK180" s="155"/>
      <c r="BL180" s="666" t="str">
        <f t="shared" si="102"/>
        <v xml:space="preserve">10 </v>
      </c>
      <c r="BM180" s="667">
        <f t="shared" si="103"/>
        <v>0</v>
      </c>
      <c r="BN180" s="668">
        <f>IF($BQ180=0,0,RANK($BQ180,$BQ$12:$BQ$379))</f>
        <v>0</v>
      </c>
      <c r="BO180" s="669">
        <f t="shared" si="104"/>
        <v>0</v>
      </c>
      <c r="BP180" s="669">
        <f t="shared" si="105"/>
        <v>0</v>
      </c>
      <c r="BQ180" s="670">
        <f>IF($BP180=0,0,$BP180/$BP$380)</f>
        <v>0</v>
      </c>
      <c r="BR180" s="671">
        <f>IF($BU180=0,0,RANK($BU180,$BU$12:$BU$379))</f>
        <v>0</v>
      </c>
      <c r="BS180" s="669">
        <f t="shared" si="106"/>
        <v>0</v>
      </c>
      <c r="BT180" s="669">
        <f t="shared" si="107"/>
        <v>0</v>
      </c>
      <c r="BU180" s="672">
        <f>IF($BT180=0,0,$BT180/$BT$380)</f>
        <v>0</v>
      </c>
      <c r="CE180" s="486">
        <v>168</v>
      </c>
    </row>
    <row r="181" spans="1:83" s="177" customFormat="1" ht="21.95" customHeight="1" x14ac:dyDescent="0.2">
      <c r="A181" s="237">
        <f t="shared" si="108"/>
        <v>0</v>
      </c>
      <c r="B181" s="237">
        <f t="shared" si="109"/>
        <v>0</v>
      </c>
      <c r="C181" s="393">
        <f t="shared" si="94"/>
        <v>0</v>
      </c>
      <c r="D181" s="393" t="str">
        <f t="shared" si="95"/>
        <v xml:space="preserve">10 </v>
      </c>
      <c r="E181" s="967" t="s">
        <v>123</v>
      </c>
      <c r="F181" s="967" t="s">
        <v>644</v>
      </c>
      <c r="G181" s="967"/>
      <c r="H181" s="968"/>
      <c r="I181" s="968"/>
      <c r="J181" s="969">
        <v>16055.04</v>
      </c>
      <c r="K181" s="367">
        <v>0</v>
      </c>
      <c r="L181" s="367">
        <f>IF($H181="",0,VLOOKUP($E181,Plan3!$A$16:$CT$384,$E$7,0)%)</f>
        <v>0</v>
      </c>
      <c r="M181" s="368">
        <f t="shared" si="114"/>
        <v>0</v>
      </c>
      <c r="N181" s="368">
        <f t="shared" si="115"/>
        <v>0</v>
      </c>
      <c r="O181" s="367">
        <v>0</v>
      </c>
      <c r="P181" s="367">
        <f>VLOOKUP($E181,Plan3!$A$492:$P$858,13,0)%</f>
        <v>0</v>
      </c>
      <c r="Q181" s="368">
        <f t="shared" si="116"/>
        <v>0</v>
      </c>
      <c r="R181" s="368">
        <f t="shared" si="117"/>
        <v>0</v>
      </c>
      <c r="S181" s="880">
        <v>0</v>
      </c>
      <c r="T181" s="880">
        <f t="shared" si="118"/>
        <v>0</v>
      </c>
      <c r="U181" s="880">
        <f>IF($I181="",0,($S181-$T181)*(1+('Econômico Macro'!$R$12/100)))</f>
        <v>0</v>
      </c>
      <c r="V181" s="880">
        <f t="shared" si="119"/>
        <v>0</v>
      </c>
      <c r="W181" s="880">
        <f t="shared" si="120"/>
        <v>0</v>
      </c>
      <c r="X181" s="367">
        <f t="shared" si="96"/>
        <v>0</v>
      </c>
      <c r="Y181" s="367">
        <f t="shared" si="97"/>
        <v>0</v>
      </c>
      <c r="Z181" s="367">
        <f t="shared" si="98"/>
        <v>0</v>
      </c>
      <c r="AA181" s="367">
        <f t="shared" si="99"/>
        <v>0</v>
      </c>
      <c r="AB181" s="369" t="str">
        <f t="shared" si="100"/>
        <v>Não Iniciada</v>
      </c>
      <c r="AC181" s="365"/>
      <c r="AD181" s="368">
        <v>1</v>
      </c>
      <c r="AE181" s="368">
        <f t="shared" si="121"/>
        <v>-1</v>
      </c>
      <c r="AF181" s="365"/>
      <c r="AG181" s="863">
        <f t="shared" si="110"/>
        <v>0</v>
      </c>
      <c r="AH181" s="864">
        <f t="shared" si="122"/>
        <v>0</v>
      </c>
      <c r="AI181" s="863">
        <f t="shared" si="111"/>
        <v>0</v>
      </c>
      <c r="AJ181" s="864">
        <f t="shared" si="123"/>
        <v>0</v>
      </c>
      <c r="AK181" s="365"/>
      <c r="AL181" s="865">
        <f t="shared" si="112"/>
        <v>0</v>
      </c>
      <c r="AM181" s="866">
        <f t="shared" si="124"/>
        <v>0</v>
      </c>
      <c r="AN181" s="866">
        <f t="shared" si="125"/>
        <v>0</v>
      </c>
      <c r="AO181" s="866">
        <f t="shared" si="126"/>
        <v>0</v>
      </c>
      <c r="AP181" s="867">
        <f t="shared" si="127"/>
        <v>0</v>
      </c>
      <c r="AQ181" s="591"/>
      <c r="AR181" s="868"/>
      <c r="AS181" s="868"/>
      <c r="AT181" s="868"/>
      <c r="AU181" s="868"/>
      <c r="AV181" s="841"/>
      <c r="AW181" s="869"/>
      <c r="AX181" s="870"/>
      <c r="AY181" s="871"/>
      <c r="AZ181" s="237" t="str">
        <f t="shared" si="101"/>
        <v xml:space="preserve">10.001 </v>
      </c>
      <c r="BA181" s="365"/>
      <c r="BB181" s="365"/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872">
        <f t="shared" si="102"/>
        <v>0</v>
      </c>
      <c r="BM181" s="873">
        <f t="shared" si="103"/>
        <v>0</v>
      </c>
      <c r="BN181" s="874">
        <f t="shared" si="131"/>
        <v>0</v>
      </c>
      <c r="BO181" s="875">
        <f t="shared" si="104"/>
        <v>0</v>
      </c>
      <c r="BP181" s="875">
        <f t="shared" si="105"/>
        <v>0</v>
      </c>
      <c r="BQ181" s="876">
        <f t="shared" si="132"/>
        <v>0</v>
      </c>
      <c r="BR181" s="877">
        <f t="shared" si="133"/>
        <v>0</v>
      </c>
      <c r="BS181" s="875">
        <f t="shared" si="106"/>
        <v>0</v>
      </c>
      <c r="BT181" s="875">
        <f t="shared" si="107"/>
        <v>0</v>
      </c>
      <c r="BU181" s="878">
        <f t="shared" si="134"/>
        <v>0</v>
      </c>
      <c r="CE181" s="486">
        <v>169</v>
      </c>
    </row>
    <row r="182" spans="1:83" s="177" customFormat="1" ht="21.95" customHeight="1" x14ac:dyDescent="0.2">
      <c r="A182" s="237">
        <f t="shared" si="108"/>
        <v>0</v>
      </c>
      <c r="B182" s="237">
        <f t="shared" si="109"/>
        <v>0</v>
      </c>
      <c r="C182" s="393">
        <f t="shared" si="94"/>
        <v>0</v>
      </c>
      <c r="D182" s="393" t="str">
        <f t="shared" si="95"/>
        <v xml:space="preserve">10 </v>
      </c>
      <c r="E182" s="959" t="s">
        <v>124</v>
      </c>
      <c r="F182" s="959" t="s">
        <v>785</v>
      </c>
      <c r="G182" s="959" t="s">
        <v>90</v>
      </c>
      <c r="H182" s="963">
        <v>1926.16</v>
      </c>
      <c r="I182" s="960">
        <v>5.0818000000000003</v>
      </c>
      <c r="J182" s="964">
        <v>9788.36</v>
      </c>
      <c r="K182" s="367">
        <v>0</v>
      </c>
      <c r="L182" s="367">
        <f>IF($H182="",0,VLOOKUP($E182,Plan3!$A$16:$CT$384,$E$7,0)%)</f>
        <v>0</v>
      </c>
      <c r="M182" s="368">
        <f t="shared" si="114"/>
        <v>0</v>
      </c>
      <c r="N182" s="368">
        <f t="shared" si="115"/>
        <v>0</v>
      </c>
      <c r="O182" s="367">
        <v>0</v>
      </c>
      <c r="P182" s="367">
        <f>VLOOKUP($E182,Plan3!$A$492:$P$858,13,0)%</f>
        <v>0</v>
      </c>
      <c r="Q182" s="368">
        <f t="shared" si="116"/>
        <v>0</v>
      </c>
      <c r="R182" s="368">
        <f t="shared" si="117"/>
        <v>0</v>
      </c>
      <c r="S182" s="880">
        <v>9901.9049760000016</v>
      </c>
      <c r="T182" s="880">
        <f t="shared" si="118"/>
        <v>0</v>
      </c>
      <c r="U182" s="880">
        <f>IF($I182="",0,($S182-$T182)*(1+('Econômico Macro'!$R$12/100)))</f>
        <v>10073.207932084802</v>
      </c>
      <c r="V182" s="880">
        <f t="shared" si="119"/>
        <v>10073.207932084802</v>
      </c>
      <c r="W182" s="880">
        <f t="shared" si="120"/>
        <v>0</v>
      </c>
      <c r="X182" s="367">
        <f t="shared" si="96"/>
        <v>0</v>
      </c>
      <c r="Y182" s="367">
        <f t="shared" si="97"/>
        <v>0</v>
      </c>
      <c r="Z182" s="367">
        <f t="shared" si="98"/>
        <v>0</v>
      </c>
      <c r="AA182" s="367">
        <f t="shared" si="99"/>
        <v>0</v>
      </c>
      <c r="AB182" s="369" t="str">
        <f t="shared" si="100"/>
        <v>Não Iniciada</v>
      </c>
      <c r="AC182" s="365"/>
      <c r="AD182" s="368">
        <v>1</v>
      </c>
      <c r="AE182" s="368">
        <f t="shared" si="121"/>
        <v>-1</v>
      </c>
      <c r="AF182" s="365"/>
      <c r="AG182" s="863">
        <f t="shared" si="110"/>
        <v>0</v>
      </c>
      <c r="AH182" s="864">
        <f t="shared" si="122"/>
        <v>0</v>
      </c>
      <c r="AI182" s="863">
        <f t="shared" si="111"/>
        <v>0</v>
      </c>
      <c r="AJ182" s="864">
        <f t="shared" si="123"/>
        <v>0</v>
      </c>
      <c r="AK182" s="365"/>
      <c r="AL182" s="865">
        <f t="shared" si="112"/>
        <v>0</v>
      </c>
      <c r="AM182" s="866">
        <f t="shared" si="124"/>
        <v>0</v>
      </c>
      <c r="AN182" s="866">
        <f t="shared" si="125"/>
        <v>0</v>
      </c>
      <c r="AO182" s="866">
        <f t="shared" si="126"/>
        <v>0</v>
      </c>
      <c r="AP182" s="867">
        <f t="shared" si="127"/>
        <v>0</v>
      </c>
      <c r="AQ182" s="591">
        <f t="shared" si="113"/>
        <v>0</v>
      </c>
      <c r="AR182" s="868">
        <f>IF(AND($L182=0,$P182=0)=TRUE,VLOOKUP($E182,Plan3!$A$16:$CT$487,$E$7+3,0)/100,0)</f>
        <v>0</v>
      </c>
      <c r="AS182" s="868">
        <f>IF(AND($L182=0,$P182=0)=TRUE,VLOOKUP($E182,Plan3!$A$16:$CT$487,$E$7+6,0)/100,0)</f>
        <v>0</v>
      </c>
      <c r="AT182" s="868">
        <f>IF(AND($L182=0,$P182=0)=TRUE,VLOOKUP($E182,Plan3!$A$16:$CT$487,$E$7+9,0)/100,0)</f>
        <v>0</v>
      </c>
      <c r="AU182" s="868">
        <f>IF(AND($L182=0,$P182=0)=TRUE,VLOOKUP($E182,Plan3!$A$16:$CT$487,$E$7+12,0)/100,0)</f>
        <v>0</v>
      </c>
      <c r="AV182" s="841"/>
      <c r="AW182" s="869">
        <f t="shared" si="128"/>
        <v>0</v>
      </c>
      <c r="AX182" s="870">
        <f t="shared" si="129"/>
        <v>0</v>
      </c>
      <c r="AY182" s="871">
        <f t="shared" si="130"/>
        <v>0</v>
      </c>
      <c r="AZ182" s="237" t="str">
        <f t="shared" si="101"/>
        <v xml:space="preserve">10.001.000.001 </v>
      </c>
      <c r="BA182" s="365"/>
      <c r="BB182" s="365"/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872">
        <f t="shared" si="102"/>
        <v>0</v>
      </c>
      <c r="BM182" s="873">
        <f t="shared" si="103"/>
        <v>0</v>
      </c>
      <c r="BN182" s="874">
        <f t="shared" si="131"/>
        <v>0</v>
      </c>
      <c r="BO182" s="875">
        <f t="shared" si="104"/>
        <v>0</v>
      </c>
      <c r="BP182" s="875">
        <f t="shared" si="105"/>
        <v>0</v>
      </c>
      <c r="BQ182" s="876">
        <f t="shared" si="132"/>
        <v>0</v>
      </c>
      <c r="BR182" s="877">
        <f t="shared" si="133"/>
        <v>0</v>
      </c>
      <c r="BS182" s="875">
        <f t="shared" si="106"/>
        <v>0</v>
      </c>
      <c r="BT182" s="875">
        <f t="shared" si="107"/>
        <v>0</v>
      </c>
      <c r="BU182" s="878">
        <f t="shared" si="134"/>
        <v>0</v>
      </c>
      <c r="CE182" s="486">
        <v>170</v>
      </c>
    </row>
    <row r="183" spans="1:83" s="177" customFormat="1" ht="21.95" customHeight="1" x14ac:dyDescent="0.2">
      <c r="A183" s="237">
        <f t="shared" si="108"/>
        <v>0</v>
      </c>
      <c r="B183" s="237">
        <f t="shared" si="109"/>
        <v>0</v>
      </c>
      <c r="C183" s="393">
        <f t="shared" si="94"/>
        <v>0</v>
      </c>
      <c r="D183" s="393" t="str">
        <f t="shared" si="95"/>
        <v xml:space="preserve">10 </v>
      </c>
      <c r="E183" s="959" t="s">
        <v>1449</v>
      </c>
      <c r="F183" s="959" t="s">
        <v>1450</v>
      </c>
      <c r="G183" s="959" t="s">
        <v>90</v>
      </c>
      <c r="H183" s="963">
        <v>1106.21</v>
      </c>
      <c r="I183" s="960">
        <v>5.665</v>
      </c>
      <c r="J183" s="964">
        <v>6266.68</v>
      </c>
      <c r="K183" s="367">
        <v>0</v>
      </c>
      <c r="L183" s="367">
        <f>IF($H183="",0,VLOOKUP($E183,Plan3!$A$16:$CT$384,$E$7,0)%)</f>
        <v>0</v>
      </c>
      <c r="M183" s="368">
        <f t="shared" si="114"/>
        <v>0</v>
      </c>
      <c r="N183" s="368">
        <f t="shared" si="115"/>
        <v>0</v>
      </c>
      <c r="O183" s="367">
        <v>0</v>
      </c>
      <c r="P183" s="367">
        <f>VLOOKUP($E183,Plan3!$A$492:$P$858,13,0)%</f>
        <v>0</v>
      </c>
      <c r="Q183" s="368">
        <f t="shared" si="116"/>
        <v>0</v>
      </c>
      <c r="R183" s="368">
        <f t="shared" si="117"/>
        <v>0</v>
      </c>
      <c r="S183" s="880">
        <v>6339.3734880000011</v>
      </c>
      <c r="T183" s="880">
        <f t="shared" si="118"/>
        <v>0</v>
      </c>
      <c r="U183" s="880">
        <f>IF($I183="",0,($S183-$T183)*(1+('Econômico Macro'!$R$12/100)))</f>
        <v>6449.0446493424015</v>
      </c>
      <c r="V183" s="880">
        <f t="shared" si="119"/>
        <v>6449.0446493424015</v>
      </c>
      <c r="W183" s="880">
        <f t="shared" si="120"/>
        <v>0</v>
      </c>
      <c r="X183" s="367">
        <f t="shared" si="96"/>
        <v>0</v>
      </c>
      <c r="Y183" s="367">
        <f t="shared" si="97"/>
        <v>0</v>
      </c>
      <c r="Z183" s="367">
        <f t="shared" si="98"/>
        <v>0</v>
      </c>
      <c r="AA183" s="367">
        <f t="shared" si="99"/>
        <v>0</v>
      </c>
      <c r="AB183" s="369" t="str">
        <f t="shared" si="100"/>
        <v>Não Iniciada</v>
      </c>
      <c r="AC183" s="365"/>
      <c r="AD183" s="368">
        <v>1</v>
      </c>
      <c r="AE183" s="368">
        <f t="shared" si="121"/>
        <v>-1</v>
      </c>
      <c r="AF183" s="365"/>
      <c r="AG183" s="863">
        <f t="shared" si="110"/>
        <v>0</v>
      </c>
      <c r="AH183" s="864">
        <f t="shared" si="122"/>
        <v>0</v>
      </c>
      <c r="AI183" s="863">
        <f t="shared" si="111"/>
        <v>0</v>
      </c>
      <c r="AJ183" s="864">
        <f t="shared" si="123"/>
        <v>0</v>
      </c>
      <c r="AK183" s="365"/>
      <c r="AL183" s="865">
        <f t="shared" si="112"/>
        <v>0</v>
      </c>
      <c r="AM183" s="866">
        <f t="shared" si="124"/>
        <v>0</v>
      </c>
      <c r="AN183" s="866">
        <f t="shared" si="125"/>
        <v>0</v>
      </c>
      <c r="AO183" s="866">
        <f t="shared" si="126"/>
        <v>0</v>
      </c>
      <c r="AP183" s="867">
        <f t="shared" si="127"/>
        <v>0</v>
      </c>
      <c r="AQ183" s="591">
        <f t="shared" si="113"/>
        <v>0</v>
      </c>
      <c r="AR183" s="868">
        <f>IF(AND($L183=0,$P183=0)=TRUE,VLOOKUP($E183,Plan3!$A$16:$CT$487,$E$7+3,0)/100,0)</f>
        <v>0</v>
      </c>
      <c r="AS183" s="868">
        <f>IF(AND($L183=0,$P183=0)=TRUE,VLOOKUP($E183,Plan3!$A$16:$CT$487,$E$7+6,0)/100,0)</f>
        <v>0</v>
      </c>
      <c r="AT183" s="868">
        <f>IF(AND($L183=0,$P183=0)=TRUE,VLOOKUP($E183,Plan3!$A$16:$CT$487,$E$7+9,0)/100,0)</f>
        <v>0</v>
      </c>
      <c r="AU183" s="868">
        <f>IF(AND($L183=0,$P183=0)=TRUE,VLOOKUP($E183,Plan3!$A$16:$CT$487,$E$7+12,0)/100,0)</f>
        <v>0</v>
      </c>
      <c r="AV183" s="841"/>
      <c r="AW183" s="869">
        <f t="shared" si="128"/>
        <v>0</v>
      </c>
      <c r="AX183" s="870">
        <f t="shared" si="129"/>
        <v>0</v>
      </c>
      <c r="AY183" s="871">
        <f t="shared" si="130"/>
        <v>0</v>
      </c>
      <c r="AZ183" s="237" t="str">
        <f t="shared" si="101"/>
        <v xml:space="preserve">10.001.000.002 </v>
      </c>
      <c r="BA183" s="365"/>
      <c r="BB183" s="365"/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872">
        <f t="shared" si="102"/>
        <v>0</v>
      </c>
      <c r="BM183" s="873">
        <f t="shared" si="103"/>
        <v>0</v>
      </c>
      <c r="BN183" s="874">
        <f t="shared" si="131"/>
        <v>0</v>
      </c>
      <c r="BO183" s="875">
        <f t="shared" si="104"/>
        <v>0</v>
      </c>
      <c r="BP183" s="875">
        <f t="shared" si="105"/>
        <v>0</v>
      </c>
      <c r="BQ183" s="876">
        <f t="shared" si="132"/>
        <v>0</v>
      </c>
      <c r="BR183" s="877">
        <f t="shared" si="133"/>
        <v>0</v>
      </c>
      <c r="BS183" s="875">
        <f t="shared" si="106"/>
        <v>0</v>
      </c>
      <c r="BT183" s="875">
        <f t="shared" si="107"/>
        <v>0</v>
      </c>
      <c r="BU183" s="878">
        <f t="shared" si="134"/>
        <v>0</v>
      </c>
      <c r="CE183" s="486">
        <v>171</v>
      </c>
    </row>
    <row r="184" spans="1:83" s="177" customFormat="1" ht="21.95" customHeight="1" x14ac:dyDescent="0.2">
      <c r="A184" s="237">
        <f t="shared" si="108"/>
        <v>0</v>
      </c>
      <c r="B184" s="237">
        <f t="shared" si="109"/>
        <v>0</v>
      </c>
      <c r="C184" s="393">
        <f t="shared" si="94"/>
        <v>0</v>
      </c>
      <c r="D184" s="393" t="str">
        <f t="shared" si="95"/>
        <v xml:space="preserve">10 </v>
      </c>
      <c r="E184" s="967" t="s">
        <v>125</v>
      </c>
      <c r="F184" s="967" t="s">
        <v>645</v>
      </c>
      <c r="G184" s="967"/>
      <c r="H184" s="968"/>
      <c r="I184" s="968"/>
      <c r="J184" s="969">
        <v>28858.78</v>
      </c>
      <c r="K184" s="367">
        <v>0</v>
      </c>
      <c r="L184" s="367">
        <f>IF($H184="",0,VLOOKUP($E184,Plan3!$A$16:$CT$384,$E$7,0)%)</f>
        <v>0</v>
      </c>
      <c r="M184" s="368">
        <f t="shared" si="114"/>
        <v>0</v>
      </c>
      <c r="N184" s="368">
        <f t="shared" si="115"/>
        <v>0</v>
      </c>
      <c r="O184" s="367">
        <v>0</v>
      </c>
      <c r="P184" s="367">
        <f>VLOOKUP($E184,Plan3!$A$492:$P$858,13,0)%</f>
        <v>0</v>
      </c>
      <c r="Q184" s="368">
        <f t="shared" si="116"/>
        <v>0</v>
      </c>
      <c r="R184" s="368">
        <f t="shared" si="117"/>
        <v>0</v>
      </c>
      <c r="S184" s="880">
        <v>0</v>
      </c>
      <c r="T184" s="880">
        <f t="shared" si="118"/>
        <v>0</v>
      </c>
      <c r="U184" s="880">
        <f>IF($I184="",0,($S184-$T184)*(1+('Econômico Macro'!$R$12/100)))</f>
        <v>0</v>
      </c>
      <c r="V184" s="880">
        <f t="shared" si="119"/>
        <v>0</v>
      </c>
      <c r="W184" s="880">
        <f t="shared" si="120"/>
        <v>0</v>
      </c>
      <c r="X184" s="367">
        <f t="shared" si="96"/>
        <v>0</v>
      </c>
      <c r="Y184" s="367">
        <f t="shared" si="97"/>
        <v>0</v>
      </c>
      <c r="Z184" s="367">
        <f t="shared" si="98"/>
        <v>0</v>
      </c>
      <c r="AA184" s="367">
        <f t="shared" si="99"/>
        <v>0</v>
      </c>
      <c r="AB184" s="369" t="str">
        <f t="shared" si="100"/>
        <v>Não Iniciada</v>
      </c>
      <c r="AC184" s="365"/>
      <c r="AD184" s="368">
        <v>1</v>
      </c>
      <c r="AE184" s="368">
        <f t="shared" si="121"/>
        <v>-1</v>
      </c>
      <c r="AF184" s="365"/>
      <c r="AG184" s="863">
        <f t="shared" si="110"/>
        <v>0</v>
      </c>
      <c r="AH184" s="864">
        <f t="shared" si="122"/>
        <v>0</v>
      </c>
      <c r="AI184" s="863">
        <f t="shared" si="111"/>
        <v>0</v>
      </c>
      <c r="AJ184" s="864">
        <f t="shared" si="123"/>
        <v>0</v>
      </c>
      <c r="AK184" s="365"/>
      <c r="AL184" s="865">
        <f t="shared" si="112"/>
        <v>0</v>
      </c>
      <c r="AM184" s="866">
        <f t="shared" si="124"/>
        <v>0</v>
      </c>
      <c r="AN184" s="866">
        <f t="shared" si="125"/>
        <v>0</v>
      </c>
      <c r="AO184" s="866">
        <f t="shared" si="126"/>
        <v>0</v>
      </c>
      <c r="AP184" s="867">
        <f t="shared" si="127"/>
        <v>0</v>
      </c>
      <c r="AQ184" s="591"/>
      <c r="AR184" s="868"/>
      <c r="AS184" s="868"/>
      <c r="AT184" s="868"/>
      <c r="AU184" s="868"/>
      <c r="AV184" s="841"/>
      <c r="AW184" s="869"/>
      <c r="AX184" s="870"/>
      <c r="AY184" s="871"/>
      <c r="AZ184" s="237" t="str">
        <f t="shared" si="101"/>
        <v xml:space="preserve">10.002 </v>
      </c>
      <c r="BA184" s="365"/>
      <c r="BB184" s="365"/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872">
        <f t="shared" si="102"/>
        <v>0</v>
      </c>
      <c r="BM184" s="873">
        <f t="shared" si="103"/>
        <v>0</v>
      </c>
      <c r="BN184" s="874">
        <f t="shared" si="131"/>
        <v>0</v>
      </c>
      <c r="BO184" s="875">
        <f t="shared" si="104"/>
        <v>0</v>
      </c>
      <c r="BP184" s="875">
        <f t="shared" si="105"/>
        <v>0</v>
      </c>
      <c r="BQ184" s="876">
        <f t="shared" si="132"/>
        <v>0</v>
      </c>
      <c r="BR184" s="877">
        <f t="shared" si="133"/>
        <v>0</v>
      </c>
      <c r="BS184" s="875">
        <f t="shared" si="106"/>
        <v>0</v>
      </c>
      <c r="BT184" s="875">
        <f t="shared" si="107"/>
        <v>0</v>
      </c>
      <c r="BU184" s="878">
        <f t="shared" si="134"/>
        <v>0</v>
      </c>
      <c r="CE184" s="486">
        <v>172</v>
      </c>
    </row>
    <row r="185" spans="1:83" s="177" customFormat="1" ht="21.95" customHeight="1" x14ac:dyDescent="0.2">
      <c r="A185" s="237">
        <f t="shared" si="108"/>
        <v>0</v>
      </c>
      <c r="B185" s="237">
        <f t="shared" si="109"/>
        <v>0</v>
      </c>
      <c r="C185" s="393">
        <f t="shared" si="94"/>
        <v>0</v>
      </c>
      <c r="D185" s="393" t="str">
        <f t="shared" si="95"/>
        <v xml:space="preserve">10 </v>
      </c>
      <c r="E185" s="959" t="s">
        <v>126</v>
      </c>
      <c r="F185" s="959" t="s">
        <v>1964</v>
      </c>
      <c r="G185" s="959" t="s">
        <v>90</v>
      </c>
      <c r="H185" s="963">
        <v>1223.6300000000001</v>
      </c>
      <c r="I185" s="960">
        <v>6.5039999999999996</v>
      </c>
      <c r="J185" s="964">
        <v>7958.49</v>
      </c>
      <c r="K185" s="367">
        <v>0</v>
      </c>
      <c r="L185" s="367">
        <f>IF($H185="",0,VLOOKUP($E185,Plan3!$A$16:$CT$384,$E$7,0)%)</f>
        <v>0</v>
      </c>
      <c r="M185" s="368">
        <f t="shared" si="114"/>
        <v>0</v>
      </c>
      <c r="N185" s="368">
        <f t="shared" si="115"/>
        <v>0</v>
      </c>
      <c r="O185" s="367">
        <v>0</v>
      </c>
      <c r="P185" s="367">
        <f>VLOOKUP($E185,Plan3!$A$492:$P$858,13,0)%</f>
        <v>0</v>
      </c>
      <c r="Q185" s="368">
        <f t="shared" si="116"/>
        <v>0</v>
      </c>
      <c r="R185" s="368">
        <f t="shared" si="117"/>
        <v>0</v>
      </c>
      <c r="S185" s="880">
        <v>8050.8084840000001</v>
      </c>
      <c r="T185" s="880">
        <f t="shared" si="118"/>
        <v>0</v>
      </c>
      <c r="U185" s="880">
        <f>IF($I185="",0,($S185-$T185)*(1+('Econômico Macro'!$R$12/100)))</f>
        <v>8190.0874707732009</v>
      </c>
      <c r="V185" s="880">
        <f t="shared" si="119"/>
        <v>8190.0874707732009</v>
      </c>
      <c r="W185" s="880">
        <f t="shared" si="120"/>
        <v>0</v>
      </c>
      <c r="X185" s="367">
        <f t="shared" si="96"/>
        <v>0</v>
      </c>
      <c r="Y185" s="367">
        <f t="shared" si="97"/>
        <v>0</v>
      </c>
      <c r="Z185" s="367">
        <f t="shared" si="98"/>
        <v>0</v>
      </c>
      <c r="AA185" s="367">
        <f t="shared" si="99"/>
        <v>0</v>
      </c>
      <c r="AB185" s="369" t="str">
        <f t="shared" si="100"/>
        <v>Não Iniciada</v>
      </c>
      <c r="AC185" s="365"/>
      <c r="AD185" s="368">
        <v>1</v>
      </c>
      <c r="AE185" s="368">
        <f t="shared" si="121"/>
        <v>-1</v>
      </c>
      <c r="AF185" s="365"/>
      <c r="AG185" s="863">
        <f t="shared" si="110"/>
        <v>0</v>
      </c>
      <c r="AH185" s="864">
        <f t="shared" si="122"/>
        <v>0</v>
      </c>
      <c r="AI185" s="863">
        <f t="shared" si="111"/>
        <v>0</v>
      </c>
      <c r="AJ185" s="864">
        <f t="shared" si="123"/>
        <v>0</v>
      </c>
      <c r="AK185" s="365"/>
      <c r="AL185" s="865">
        <f t="shared" si="112"/>
        <v>0</v>
      </c>
      <c r="AM185" s="866">
        <f t="shared" si="124"/>
        <v>0</v>
      </c>
      <c r="AN185" s="866">
        <f t="shared" si="125"/>
        <v>0</v>
      </c>
      <c r="AO185" s="866">
        <f t="shared" si="126"/>
        <v>0</v>
      </c>
      <c r="AP185" s="867">
        <f t="shared" si="127"/>
        <v>0</v>
      </c>
      <c r="AQ185" s="591">
        <f t="shared" si="113"/>
        <v>0</v>
      </c>
      <c r="AR185" s="868">
        <f>IF(AND($L185=0,$P185=0)=TRUE,VLOOKUP($E185,Plan3!$A$16:$CT$487,$E$7+3,0)/100,0)</f>
        <v>0</v>
      </c>
      <c r="AS185" s="868">
        <f>IF(AND($L185=0,$P185=0)=TRUE,VLOOKUP($E185,Plan3!$A$16:$CT$487,$E$7+6,0)/100,0)</f>
        <v>0</v>
      </c>
      <c r="AT185" s="868">
        <f>IF(AND($L185=0,$P185=0)=TRUE,VLOOKUP($E185,Plan3!$A$16:$CT$487,$E$7+9,0)/100,0)</f>
        <v>0</v>
      </c>
      <c r="AU185" s="868">
        <f>IF(AND($L185=0,$P185=0)=TRUE,VLOOKUP($E185,Plan3!$A$16:$CT$487,$E$7+12,0)/100,0)</f>
        <v>0</v>
      </c>
      <c r="AV185" s="841"/>
      <c r="AW185" s="869">
        <f t="shared" si="128"/>
        <v>0</v>
      </c>
      <c r="AX185" s="870">
        <f t="shared" si="129"/>
        <v>0</v>
      </c>
      <c r="AY185" s="871">
        <f t="shared" si="130"/>
        <v>0</v>
      </c>
      <c r="AZ185" s="237" t="str">
        <f t="shared" si="101"/>
        <v xml:space="preserve">10.002.000.001 </v>
      </c>
      <c r="BA185" s="365"/>
      <c r="BB185" s="365"/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872">
        <f t="shared" si="102"/>
        <v>0</v>
      </c>
      <c r="BM185" s="873">
        <f t="shared" si="103"/>
        <v>0</v>
      </c>
      <c r="BN185" s="874">
        <f t="shared" si="131"/>
        <v>0</v>
      </c>
      <c r="BO185" s="875">
        <f t="shared" si="104"/>
        <v>0</v>
      </c>
      <c r="BP185" s="875">
        <f t="shared" si="105"/>
        <v>0</v>
      </c>
      <c r="BQ185" s="876">
        <f t="shared" si="132"/>
        <v>0</v>
      </c>
      <c r="BR185" s="877">
        <f t="shared" si="133"/>
        <v>0</v>
      </c>
      <c r="BS185" s="875">
        <f t="shared" si="106"/>
        <v>0</v>
      </c>
      <c r="BT185" s="875">
        <f t="shared" si="107"/>
        <v>0</v>
      </c>
      <c r="BU185" s="878">
        <f t="shared" si="134"/>
        <v>0</v>
      </c>
      <c r="CE185" s="486">
        <v>173</v>
      </c>
    </row>
    <row r="186" spans="1:83" s="177" customFormat="1" ht="21.95" customHeight="1" x14ac:dyDescent="0.2">
      <c r="A186" s="237">
        <f t="shared" si="108"/>
        <v>0</v>
      </c>
      <c r="B186" s="237">
        <f t="shared" si="109"/>
        <v>0</v>
      </c>
      <c r="C186" s="393">
        <f t="shared" si="94"/>
        <v>0</v>
      </c>
      <c r="D186" s="393" t="str">
        <f t="shared" si="95"/>
        <v xml:space="preserve">10 </v>
      </c>
      <c r="E186" s="959" t="s">
        <v>127</v>
      </c>
      <c r="F186" s="959" t="s">
        <v>1451</v>
      </c>
      <c r="G186" s="959" t="s">
        <v>90</v>
      </c>
      <c r="H186" s="963">
        <v>1341.17</v>
      </c>
      <c r="I186" s="970">
        <v>15.5</v>
      </c>
      <c r="J186" s="962">
        <v>20788.14</v>
      </c>
      <c r="K186" s="367">
        <v>0</v>
      </c>
      <c r="L186" s="367">
        <f>IF($H186="",0,VLOOKUP($E186,Plan3!$A$16:$CT$384,$E$7,0)%)</f>
        <v>0</v>
      </c>
      <c r="M186" s="368">
        <f t="shared" si="114"/>
        <v>0</v>
      </c>
      <c r="N186" s="368">
        <f t="shared" si="115"/>
        <v>0</v>
      </c>
      <c r="O186" s="367">
        <v>0</v>
      </c>
      <c r="P186" s="367">
        <f>VLOOKUP($E186,Plan3!$A$492:$P$858,13,0)%</f>
        <v>0</v>
      </c>
      <c r="Q186" s="368">
        <f t="shared" si="116"/>
        <v>0</v>
      </c>
      <c r="R186" s="368">
        <f t="shared" si="117"/>
        <v>0</v>
      </c>
      <c r="S186" s="880">
        <v>21029.282424000001</v>
      </c>
      <c r="T186" s="880">
        <f t="shared" si="118"/>
        <v>0</v>
      </c>
      <c r="U186" s="880">
        <f>IF($I186="",0,($S186-$T186)*(1+('Econômico Macro'!$R$12/100)))</f>
        <v>21393.089009935204</v>
      </c>
      <c r="V186" s="880">
        <f t="shared" si="119"/>
        <v>21393.089009935204</v>
      </c>
      <c r="W186" s="880">
        <f t="shared" si="120"/>
        <v>0</v>
      </c>
      <c r="X186" s="367">
        <f t="shared" si="96"/>
        <v>0</v>
      </c>
      <c r="Y186" s="367">
        <f t="shared" si="97"/>
        <v>0</v>
      </c>
      <c r="Z186" s="367">
        <f t="shared" si="98"/>
        <v>0</v>
      </c>
      <c r="AA186" s="367">
        <f t="shared" si="99"/>
        <v>0</v>
      </c>
      <c r="AB186" s="369" t="str">
        <f t="shared" si="100"/>
        <v>Não Iniciada</v>
      </c>
      <c r="AC186" s="365"/>
      <c r="AD186" s="368">
        <v>1</v>
      </c>
      <c r="AE186" s="368">
        <f t="shared" si="121"/>
        <v>-1</v>
      </c>
      <c r="AF186" s="365"/>
      <c r="AG186" s="863">
        <f t="shared" si="110"/>
        <v>0</v>
      </c>
      <c r="AH186" s="864">
        <f t="shared" si="122"/>
        <v>0</v>
      </c>
      <c r="AI186" s="863">
        <f t="shared" si="111"/>
        <v>0</v>
      </c>
      <c r="AJ186" s="864">
        <f t="shared" si="123"/>
        <v>0</v>
      </c>
      <c r="AK186" s="365"/>
      <c r="AL186" s="865">
        <f t="shared" si="112"/>
        <v>0</v>
      </c>
      <c r="AM186" s="866">
        <f t="shared" si="124"/>
        <v>0</v>
      </c>
      <c r="AN186" s="866">
        <f t="shared" si="125"/>
        <v>0</v>
      </c>
      <c r="AO186" s="866">
        <f t="shared" si="126"/>
        <v>0</v>
      </c>
      <c r="AP186" s="867">
        <f t="shared" si="127"/>
        <v>0</v>
      </c>
      <c r="AQ186" s="591">
        <f t="shared" si="113"/>
        <v>0</v>
      </c>
      <c r="AR186" s="868">
        <f>IF(AND($L186=0,$P186=0)=TRUE,VLOOKUP($E186,Plan3!$A$16:$CT$487,$E$7+3,0)/100,0)</f>
        <v>0</v>
      </c>
      <c r="AS186" s="868">
        <f>IF(AND($L186=0,$P186=0)=TRUE,VLOOKUP($E186,Plan3!$A$16:$CT$487,$E$7+6,0)/100,0)</f>
        <v>0</v>
      </c>
      <c r="AT186" s="868">
        <f>IF(AND($L186=0,$P186=0)=TRUE,VLOOKUP($E186,Plan3!$A$16:$CT$487,$E$7+9,0)/100,0)</f>
        <v>0</v>
      </c>
      <c r="AU186" s="868">
        <f>IF(AND($L186=0,$P186=0)=TRUE,VLOOKUP($E186,Plan3!$A$16:$CT$487,$E$7+12,0)/100,0)</f>
        <v>0</v>
      </c>
      <c r="AV186" s="841"/>
      <c r="AW186" s="869">
        <f t="shared" si="128"/>
        <v>0</v>
      </c>
      <c r="AX186" s="870">
        <f t="shared" si="129"/>
        <v>0</v>
      </c>
      <c r="AY186" s="871">
        <f t="shared" si="130"/>
        <v>0</v>
      </c>
      <c r="AZ186" s="237" t="str">
        <f t="shared" si="101"/>
        <v xml:space="preserve">10.002.000.002 </v>
      </c>
      <c r="BA186" s="365"/>
      <c r="BB186" s="365"/>
      <c r="BC186" s="365"/>
      <c r="BD186" s="365"/>
      <c r="BE186" s="365"/>
      <c r="BF186" s="365"/>
      <c r="BG186" s="365"/>
      <c r="BH186" s="365"/>
      <c r="BI186" s="365"/>
      <c r="BJ186" s="365"/>
      <c r="BK186" s="365"/>
      <c r="BL186" s="872">
        <f t="shared" si="102"/>
        <v>0</v>
      </c>
      <c r="BM186" s="873">
        <f t="shared" si="103"/>
        <v>0</v>
      </c>
      <c r="BN186" s="874">
        <f t="shared" si="131"/>
        <v>0</v>
      </c>
      <c r="BO186" s="875">
        <f t="shared" si="104"/>
        <v>0</v>
      </c>
      <c r="BP186" s="875">
        <f t="shared" si="105"/>
        <v>0</v>
      </c>
      <c r="BQ186" s="876">
        <f t="shared" si="132"/>
        <v>0</v>
      </c>
      <c r="BR186" s="877">
        <f t="shared" si="133"/>
        <v>0</v>
      </c>
      <c r="BS186" s="875">
        <f t="shared" si="106"/>
        <v>0</v>
      </c>
      <c r="BT186" s="875">
        <f t="shared" si="107"/>
        <v>0</v>
      </c>
      <c r="BU186" s="878">
        <f t="shared" si="134"/>
        <v>0</v>
      </c>
      <c r="CE186" s="486">
        <v>174</v>
      </c>
    </row>
    <row r="187" spans="1:83" s="177" customFormat="1" ht="21.95" customHeight="1" x14ac:dyDescent="0.2">
      <c r="A187" s="237">
        <f t="shared" si="108"/>
        <v>0</v>
      </c>
      <c r="B187" s="237">
        <f t="shared" si="109"/>
        <v>0</v>
      </c>
      <c r="C187" s="393">
        <f t="shared" si="94"/>
        <v>0</v>
      </c>
      <c r="D187" s="393" t="str">
        <f t="shared" si="95"/>
        <v xml:space="preserve">10 </v>
      </c>
      <c r="E187" s="959" t="s">
        <v>128</v>
      </c>
      <c r="F187" s="959" t="s">
        <v>2102</v>
      </c>
      <c r="G187" s="959" t="s">
        <v>15</v>
      </c>
      <c r="H187" s="970">
        <v>10.72</v>
      </c>
      <c r="I187" s="970">
        <v>10.462</v>
      </c>
      <c r="J187" s="966">
        <v>112.15</v>
      </c>
      <c r="K187" s="367">
        <v>0</v>
      </c>
      <c r="L187" s="367">
        <f>IF($H187="",0,VLOOKUP($E187,Plan3!$A$16:$CT$384,$E$7,0)%)</f>
        <v>0</v>
      </c>
      <c r="M187" s="368">
        <f t="shared" si="114"/>
        <v>0</v>
      </c>
      <c r="N187" s="368">
        <f t="shared" si="115"/>
        <v>0</v>
      </c>
      <c r="O187" s="367">
        <v>0</v>
      </c>
      <c r="P187" s="367">
        <f>VLOOKUP($E187,Plan3!$A$492:$P$858,13,0)%</f>
        <v>0</v>
      </c>
      <c r="Q187" s="368">
        <f t="shared" si="116"/>
        <v>0</v>
      </c>
      <c r="R187" s="368">
        <f t="shared" si="117"/>
        <v>0</v>
      </c>
      <c r="S187" s="880">
        <v>113.45094000000002</v>
      </c>
      <c r="T187" s="880">
        <f t="shared" si="118"/>
        <v>0</v>
      </c>
      <c r="U187" s="880">
        <f>IF($I187="",0,($S187-$T187)*(1+('Econômico Macro'!$R$12/100)))</f>
        <v>115.41364126200003</v>
      </c>
      <c r="V187" s="880">
        <f t="shared" si="119"/>
        <v>115.41364126200003</v>
      </c>
      <c r="W187" s="880">
        <f t="shared" si="120"/>
        <v>0</v>
      </c>
      <c r="X187" s="367">
        <f t="shared" si="96"/>
        <v>0</v>
      </c>
      <c r="Y187" s="367">
        <f t="shared" si="97"/>
        <v>0</v>
      </c>
      <c r="Z187" s="367">
        <f t="shared" si="98"/>
        <v>0</v>
      </c>
      <c r="AA187" s="367">
        <f t="shared" si="99"/>
        <v>0</v>
      </c>
      <c r="AB187" s="369" t="str">
        <f t="shared" si="100"/>
        <v>Não Iniciada</v>
      </c>
      <c r="AC187" s="365"/>
      <c r="AD187" s="368">
        <v>1</v>
      </c>
      <c r="AE187" s="368">
        <f t="shared" si="121"/>
        <v>-1</v>
      </c>
      <c r="AF187" s="365"/>
      <c r="AG187" s="863">
        <f t="shared" si="110"/>
        <v>0</v>
      </c>
      <c r="AH187" s="864">
        <f t="shared" si="122"/>
        <v>0</v>
      </c>
      <c r="AI187" s="863">
        <f t="shared" si="111"/>
        <v>0</v>
      </c>
      <c r="AJ187" s="864">
        <f t="shared" si="123"/>
        <v>0</v>
      </c>
      <c r="AK187" s="365"/>
      <c r="AL187" s="865">
        <f t="shared" si="112"/>
        <v>0</v>
      </c>
      <c r="AM187" s="866">
        <f t="shared" si="124"/>
        <v>0</v>
      </c>
      <c r="AN187" s="866">
        <f t="shared" si="125"/>
        <v>0</v>
      </c>
      <c r="AO187" s="866">
        <f t="shared" si="126"/>
        <v>0</v>
      </c>
      <c r="AP187" s="867">
        <f t="shared" si="127"/>
        <v>0</v>
      </c>
      <c r="AQ187" s="591">
        <f t="shared" si="113"/>
        <v>0</v>
      </c>
      <c r="AR187" s="868">
        <f>IF(AND($L187=0,$P187=0)=TRUE,VLOOKUP($E187,Plan3!$A$16:$CT$487,$E$7+3,0)/100,0)</f>
        <v>0</v>
      </c>
      <c r="AS187" s="868">
        <f>IF(AND($L187=0,$P187=0)=TRUE,VLOOKUP($E187,Plan3!$A$16:$CT$487,$E$7+6,0)/100,0)</f>
        <v>0</v>
      </c>
      <c r="AT187" s="868">
        <f>IF(AND($L187=0,$P187=0)=TRUE,VLOOKUP($E187,Plan3!$A$16:$CT$487,$E$7+9,0)/100,0)</f>
        <v>0</v>
      </c>
      <c r="AU187" s="868">
        <f>IF(AND($L187=0,$P187=0)=TRUE,VLOOKUP($E187,Plan3!$A$16:$CT$487,$E$7+12,0)/100,0)</f>
        <v>0</v>
      </c>
      <c r="AV187" s="841"/>
      <c r="AW187" s="869">
        <f t="shared" si="128"/>
        <v>0</v>
      </c>
      <c r="AX187" s="870">
        <f t="shared" si="129"/>
        <v>0</v>
      </c>
      <c r="AY187" s="871">
        <f t="shared" si="130"/>
        <v>0</v>
      </c>
      <c r="AZ187" s="237" t="str">
        <f t="shared" si="101"/>
        <v xml:space="preserve">10.002.000.003 </v>
      </c>
      <c r="BA187" s="365"/>
      <c r="BB187" s="365"/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872">
        <f t="shared" si="102"/>
        <v>0</v>
      </c>
      <c r="BM187" s="873">
        <f t="shared" si="103"/>
        <v>0</v>
      </c>
      <c r="BN187" s="874">
        <f t="shared" si="131"/>
        <v>0</v>
      </c>
      <c r="BO187" s="875">
        <f t="shared" si="104"/>
        <v>0</v>
      </c>
      <c r="BP187" s="875">
        <f t="shared" si="105"/>
        <v>0</v>
      </c>
      <c r="BQ187" s="876">
        <f t="shared" si="132"/>
        <v>0</v>
      </c>
      <c r="BR187" s="877">
        <f t="shared" si="133"/>
        <v>0</v>
      </c>
      <c r="BS187" s="875">
        <f t="shared" si="106"/>
        <v>0</v>
      </c>
      <c r="BT187" s="875">
        <f t="shared" si="107"/>
        <v>0</v>
      </c>
      <c r="BU187" s="878">
        <f t="shared" si="134"/>
        <v>0</v>
      </c>
      <c r="CE187" s="486">
        <v>175</v>
      </c>
    </row>
    <row r="188" spans="1:83" s="177" customFormat="1" ht="21.95" customHeight="1" x14ac:dyDescent="0.2">
      <c r="A188" s="237">
        <f t="shared" si="108"/>
        <v>0</v>
      </c>
      <c r="B188" s="237">
        <f t="shared" si="109"/>
        <v>0</v>
      </c>
      <c r="C188" s="393">
        <f t="shared" si="94"/>
        <v>0</v>
      </c>
      <c r="D188" s="393" t="str">
        <f t="shared" si="95"/>
        <v xml:space="preserve">10 </v>
      </c>
      <c r="E188" s="967" t="s">
        <v>129</v>
      </c>
      <c r="F188" s="967" t="s">
        <v>646</v>
      </c>
      <c r="G188" s="967"/>
      <c r="H188" s="968"/>
      <c r="I188" s="968"/>
      <c r="J188" s="969">
        <v>15029.64</v>
      </c>
      <c r="K188" s="367">
        <v>0</v>
      </c>
      <c r="L188" s="367">
        <f>IF($H188="",0,VLOOKUP($E188,Plan3!$A$16:$CT$384,$E$7,0)%)</f>
        <v>0</v>
      </c>
      <c r="M188" s="368">
        <f t="shared" si="114"/>
        <v>0</v>
      </c>
      <c r="N188" s="368">
        <f t="shared" si="115"/>
        <v>0</v>
      </c>
      <c r="O188" s="367">
        <v>0</v>
      </c>
      <c r="P188" s="367">
        <f>VLOOKUP($E188,Plan3!$A$492:$P$858,13,0)%</f>
        <v>0</v>
      </c>
      <c r="Q188" s="368">
        <f t="shared" si="116"/>
        <v>0</v>
      </c>
      <c r="R188" s="368">
        <f t="shared" si="117"/>
        <v>0</v>
      </c>
      <c r="S188" s="880">
        <v>0</v>
      </c>
      <c r="T188" s="880">
        <f t="shared" si="118"/>
        <v>0</v>
      </c>
      <c r="U188" s="880">
        <f>IF($I188="",0,($S188-$T188)*(1+('Econômico Macro'!$R$12/100)))</f>
        <v>0</v>
      </c>
      <c r="V188" s="880">
        <f t="shared" si="119"/>
        <v>0</v>
      </c>
      <c r="W188" s="880">
        <f t="shared" si="120"/>
        <v>0</v>
      </c>
      <c r="X188" s="367">
        <f t="shared" si="96"/>
        <v>0</v>
      </c>
      <c r="Y188" s="367">
        <f t="shared" si="97"/>
        <v>0</v>
      </c>
      <c r="Z188" s="367">
        <f t="shared" si="98"/>
        <v>0</v>
      </c>
      <c r="AA188" s="367">
        <f t="shared" si="99"/>
        <v>0</v>
      </c>
      <c r="AB188" s="369" t="str">
        <f t="shared" si="100"/>
        <v>Não Iniciada</v>
      </c>
      <c r="AC188" s="365"/>
      <c r="AD188" s="368">
        <v>1</v>
      </c>
      <c r="AE188" s="368">
        <f t="shared" si="121"/>
        <v>-1</v>
      </c>
      <c r="AF188" s="365"/>
      <c r="AG188" s="863">
        <f t="shared" si="110"/>
        <v>0</v>
      </c>
      <c r="AH188" s="864">
        <f t="shared" si="122"/>
        <v>0</v>
      </c>
      <c r="AI188" s="863">
        <f t="shared" si="111"/>
        <v>0</v>
      </c>
      <c r="AJ188" s="864">
        <f t="shared" si="123"/>
        <v>0</v>
      </c>
      <c r="AK188" s="365"/>
      <c r="AL188" s="865">
        <f t="shared" si="112"/>
        <v>0</v>
      </c>
      <c r="AM188" s="866">
        <f t="shared" si="124"/>
        <v>0</v>
      </c>
      <c r="AN188" s="866">
        <f t="shared" si="125"/>
        <v>0</v>
      </c>
      <c r="AO188" s="866">
        <f t="shared" si="126"/>
        <v>0</v>
      </c>
      <c r="AP188" s="867">
        <f t="shared" si="127"/>
        <v>0</v>
      </c>
      <c r="AQ188" s="591"/>
      <c r="AR188" s="868"/>
      <c r="AS188" s="868"/>
      <c r="AT188" s="868"/>
      <c r="AU188" s="868"/>
      <c r="AV188" s="841"/>
      <c r="AW188" s="869"/>
      <c r="AX188" s="870"/>
      <c r="AY188" s="871"/>
      <c r="AZ188" s="237" t="str">
        <f t="shared" si="101"/>
        <v xml:space="preserve">10.003 </v>
      </c>
      <c r="BA188" s="365"/>
      <c r="BB188" s="365"/>
      <c r="BC188" s="365"/>
      <c r="BD188" s="365"/>
      <c r="BE188" s="365"/>
      <c r="BF188" s="365"/>
      <c r="BG188" s="365"/>
      <c r="BH188" s="365"/>
      <c r="BI188" s="365"/>
      <c r="BJ188" s="365"/>
      <c r="BK188" s="365"/>
      <c r="BL188" s="872">
        <f t="shared" si="102"/>
        <v>0</v>
      </c>
      <c r="BM188" s="873">
        <f t="shared" si="103"/>
        <v>0</v>
      </c>
      <c r="BN188" s="874">
        <f t="shared" si="131"/>
        <v>0</v>
      </c>
      <c r="BO188" s="875">
        <f t="shared" si="104"/>
        <v>0</v>
      </c>
      <c r="BP188" s="875">
        <f t="shared" si="105"/>
        <v>0</v>
      </c>
      <c r="BQ188" s="876">
        <f t="shared" si="132"/>
        <v>0</v>
      </c>
      <c r="BR188" s="877">
        <f t="shared" si="133"/>
        <v>0</v>
      </c>
      <c r="BS188" s="875">
        <f t="shared" si="106"/>
        <v>0</v>
      </c>
      <c r="BT188" s="875">
        <f t="shared" si="107"/>
        <v>0</v>
      </c>
      <c r="BU188" s="878">
        <f t="shared" si="134"/>
        <v>0</v>
      </c>
      <c r="CE188" s="486">
        <v>176</v>
      </c>
    </row>
    <row r="189" spans="1:83" s="177" customFormat="1" ht="21.95" customHeight="1" x14ac:dyDescent="0.2">
      <c r="A189" s="237">
        <f t="shared" si="108"/>
        <v>0</v>
      </c>
      <c r="B189" s="237">
        <f t="shared" si="109"/>
        <v>0</v>
      </c>
      <c r="C189" s="393">
        <f t="shared" si="94"/>
        <v>0</v>
      </c>
      <c r="D189" s="393" t="str">
        <f t="shared" si="95"/>
        <v xml:space="preserve">10 </v>
      </c>
      <c r="E189" s="959" t="s">
        <v>130</v>
      </c>
      <c r="F189" s="959" t="s">
        <v>1965</v>
      </c>
      <c r="G189" s="959" t="s">
        <v>90</v>
      </c>
      <c r="H189" s="965">
        <v>668.46</v>
      </c>
      <c r="I189" s="960">
        <v>6.5039999999999996</v>
      </c>
      <c r="J189" s="964">
        <v>4347.66</v>
      </c>
      <c r="K189" s="367">
        <v>0</v>
      </c>
      <c r="L189" s="367">
        <f>IF($H189="",0,VLOOKUP($E189,Plan3!$A$16:$CT$384,$E$7,0)%)</f>
        <v>0</v>
      </c>
      <c r="M189" s="368">
        <f t="shared" si="114"/>
        <v>0</v>
      </c>
      <c r="N189" s="368">
        <f t="shared" si="115"/>
        <v>0</v>
      </c>
      <c r="O189" s="367">
        <v>0</v>
      </c>
      <c r="P189" s="367">
        <f>VLOOKUP($E189,Plan3!$A$492:$P$858,13,0)%</f>
        <v>0</v>
      </c>
      <c r="Q189" s="368">
        <f t="shared" si="116"/>
        <v>0</v>
      </c>
      <c r="R189" s="368">
        <f t="shared" si="117"/>
        <v>0</v>
      </c>
      <c r="S189" s="880">
        <v>4398.0928560000002</v>
      </c>
      <c r="T189" s="880">
        <f t="shared" si="118"/>
        <v>0</v>
      </c>
      <c r="U189" s="880">
        <f>IF($I189="",0,($S189-$T189)*(1+('Econômico Macro'!$R$12/100)))</f>
        <v>4474.1798624088005</v>
      </c>
      <c r="V189" s="880">
        <f t="shared" si="119"/>
        <v>4474.1798624088005</v>
      </c>
      <c r="W189" s="880">
        <f t="shared" si="120"/>
        <v>0</v>
      </c>
      <c r="X189" s="367">
        <f t="shared" si="96"/>
        <v>0</v>
      </c>
      <c r="Y189" s="367">
        <f t="shared" si="97"/>
        <v>0</v>
      </c>
      <c r="Z189" s="367">
        <f t="shared" si="98"/>
        <v>0</v>
      </c>
      <c r="AA189" s="367">
        <f t="shared" si="99"/>
        <v>0</v>
      </c>
      <c r="AB189" s="369" t="str">
        <f t="shared" si="100"/>
        <v>Não Iniciada</v>
      </c>
      <c r="AC189" s="365"/>
      <c r="AD189" s="368">
        <v>1</v>
      </c>
      <c r="AE189" s="368">
        <f t="shared" si="121"/>
        <v>-1</v>
      </c>
      <c r="AF189" s="365"/>
      <c r="AG189" s="863">
        <f t="shared" si="110"/>
        <v>0</v>
      </c>
      <c r="AH189" s="864">
        <f t="shared" si="122"/>
        <v>0</v>
      </c>
      <c r="AI189" s="863">
        <f t="shared" si="111"/>
        <v>0</v>
      </c>
      <c r="AJ189" s="864">
        <f t="shared" si="123"/>
        <v>0</v>
      </c>
      <c r="AK189" s="365"/>
      <c r="AL189" s="865">
        <f t="shared" si="112"/>
        <v>0</v>
      </c>
      <c r="AM189" s="866">
        <f t="shared" si="124"/>
        <v>0</v>
      </c>
      <c r="AN189" s="866">
        <f t="shared" si="125"/>
        <v>0</v>
      </c>
      <c r="AO189" s="866">
        <f t="shared" si="126"/>
        <v>0</v>
      </c>
      <c r="AP189" s="867">
        <f t="shared" si="127"/>
        <v>0</v>
      </c>
      <c r="AQ189" s="591">
        <f t="shared" si="113"/>
        <v>0</v>
      </c>
      <c r="AR189" s="868">
        <f>IF(AND($L189=0,$P189=0)=TRUE,VLOOKUP($E189,Plan3!$A$16:$CT$487,$E$7+3,0)/100,0)</f>
        <v>0</v>
      </c>
      <c r="AS189" s="868">
        <f>IF(AND($L189=0,$P189=0)=TRUE,VLOOKUP($E189,Plan3!$A$16:$CT$487,$E$7+6,0)/100,0)</f>
        <v>0</v>
      </c>
      <c r="AT189" s="868">
        <f>IF(AND($L189=0,$P189=0)=TRUE,VLOOKUP($E189,Plan3!$A$16:$CT$487,$E$7+9,0)/100,0)</f>
        <v>0</v>
      </c>
      <c r="AU189" s="868">
        <f>IF(AND($L189=0,$P189=0)=TRUE,VLOOKUP($E189,Plan3!$A$16:$CT$487,$E$7+12,0)/100,0)</f>
        <v>0</v>
      </c>
      <c r="AV189" s="841"/>
      <c r="AW189" s="869">
        <f t="shared" si="128"/>
        <v>0</v>
      </c>
      <c r="AX189" s="870">
        <f t="shared" si="129"/>
        <v>0</v>
      </c>
      <c r="AY189" s="871">
        <f t="shared" si="130"/>
        <v>0</v>
      </c>
      <c r="AZ189" s="237" t="str">
        <f t="shared" si="101"/>
        <v xml:space="preserve">10.003.000.001 </v>
      </c>
      <c r="BA189" s="365"/>
      <c r="BB189" s="365"/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872">
        <f t="shared" si="102"/>
        <v>0</v>
      </c>
      <c r="BM189" s="873">
        <f t="shared" si="103"/>
        <v>0</v>
      </c>
      <c r="BN189" s="874">
        <f t="shared" si="131"/>
        <v>0</v>
      </c>
      <c r="BO189" s="875">
        <f t="shared" si="104"/>
        <v>0</v>
      </c>
      <c r="BP189" s="875">
        <f t="shared" si="105"/>
        <v>0</v>
      </c>
      <c r="BQ189" s="876">
        <f t="shared" si="132"/>
        <v>0</v>
      </c>
      <c r="BR189" s="877">
        <f t="shared" si="133"/>
        <v>0</v>
      </c>
      <c r="BS189" s="875">
        <f t="shared" si="106"/>
        <v>0</v>
      </c>
      <c r="BT189" s="875">
        <f t="shared" si="107"/>
        <v>0</v>
      </c>
      <c r="BU189" s="878">
        <f t="shared" si="134"/>
        <v>0</v>
      </c>
      <c r="CE189" s="486">
        <v>177</v>
      </c>
    </row>
    <row r="190" spans="1:83" s="177" customFormat="1" ht="21.95" customHeight="1" x14ac:dyDescent="0.2">
      <c r="A190" s="237">
        <f t="shared" si="108"/>
        <v>0</v>
      </c>
      <c r="B190" s="237">
        <f t="shared" si="109"/>
        <v>0</v>
      </c>
      <c r="C190" s="393">
        <f t="shared" si="94"/>
        <v>0</v>
      </c>
      <c r="D190" s="393" t="str">
        <f t="shared" si="95"/>
        <v xml:space="preserve">10 </v>
      </c>
      <c r="E190" s="959" t="s">
        <v>647</v>
      </c>
      <c r="F190" s="959" t="s">
        <v>1453</v>
      </c>
      <c r="G190" s="959" t="s">
        <v>90</v>
      </c>
      <c r="H190" s="965">
        <v>689.16</v>
      </c>
      <c r="I190" s="970">
        <v>15.5</v>
      </c>
      <c r="J190" s="962">
        <v>10681.98</v>
      </c>
      <c r="K190" s="367">
        <v>0</v>
      </c>
      <c r="L190" s="367">
        <f>IF($H190="",0,VLOOKUP($E190,Plan3!$A$16:$CT$384,$E$7,0)%)</f>
        <v>0</v>
      </c>
      <c r="M190" s="368">
        <f t="shared" si="114"/>
        <v>0</v>
      </c>
      <c r="N190" s="368">
        <f t="shared" si="115"/>
        <v>0</v>
      </c>
      <c r="O190" s="367">
        <v>0</v>
      </c>
      <c r="P190" s="367">
        <f>VLOOKUP($E190,Plan3!$A$492:$P$858,13,0)%</f>
        <v>0</v>
      </c>
      <c r="Q190" s="368">
        <f t="shared" si="116"/>
        <v>0</v>
      </c>
      <c r="R190" s="368">
        <f t="shared" si="117"/>
        <v>0</v>
      </c>
      <c r="S190" s="880">
        <v>10805.890968</v>
      </c>
      <c r="T190" s="880">
        <f t="shared" si="118"/>
        <v>0</v>
      </c>
      <c r="U190" s="880">
        <f>IF($I190="",0,($S190-$T190)*(1+('Econômico Macro'!$R$12/100)))</f>
        <v>10992.832881746401</v>
      </c>
      <c r="V190" s="880">
        <f t="shared" si="119"/>
        <v>10992.832881746401</v>
      </c>
      <c r="W190" s="880">
        <f t="shared" si="120"/>
        <v>0</v>
      </c>
      <c r="X190" s="367">
        <f t="shared" si="96"/>
        <v>0</v>
      </c>
      <c r="Y190" s="367">
        <f t="shared" si="97"/>
        <v>0</v>
      </c>
      <c r="Z190" s="367">
        <f t="shared" si="98"/>
        <v>0</v>
      </c>
      <c r="AA190" s="367">
        <f t="shared" si="99"/>
        <v>0</v>
      </c>
      <c r="AB190" s="369" t="str">
        <f t="shared" si="100"/>
        <v>Não Iniciada</v>
      </c>
      <c r="AC190" s="365"/>
      <c r="AD190" s="368">
        <v>1</v>
      </c>
      <c r="AE190" s="368">
        <f t="shared" si="121"/>
        <v>-1</v>
      </c>
      <c r="AF190" s="365"/>
      <c r="AG190" s="863">
        <f t="shared" si="110"/>
        <v>0</v>
      </c>
      <c r="AH190" s="864">
        <f t="shared" si="122"/>
        <v>0</v>
      </c>
      <c r="AI190" s="863">
        <f t="shared" si="111"/>
        <v>0</v>
      </c>
      <c r="AJ190" s="864">
        <f t="shared" si="123"/>
        <v>0</v>
      </c>
      <c r="AK190" s="365"/>
      <c r="AL190" s="865">
        <f t="shared" si="112"/>
        <v>0</v>
      </c>
      <c r="AM190" s="866">
        <f t="shared" si="124"/>
        <v>0</v>
      </c>
      <c r="AN190" s="866">
        <f t="shared" si="125"/>
        <v>0</v>
      </c>
      <c r="AO190" s="866">
        <f t="shared" si="126"/>
        <v>0</v>
      </c>
      <c r="AP190" s="867">
        <f t="shared" si="127"/>
        <v>0</v>
      </c>
      <c r="AQ190" s="591">
        <f t="shared" si="113"/>
        <v>0</v>
      </c>
      <c r="AR190" s="868">
        <f>IF(AND($L190=0,$P190=0)=TRUE,VLOOKUP($E190,Plan3!$A$16:$CT$487,$E$7+3,0)/100,0)</f>
        <v>0</v>
      </c>
      <c r="AS190" s="868">
        <f>IF(AND($L190=0,$P190=0)=TRUE,VLOOKUP($E190,Plan3!$A$16:$CT$487,$E$7+6,0)/100,0)</f>
        <v>0</v>
      </c>
      <c r="AT190" s="868">
        <f>IF(AND($L190=0,$P190=0)=TRUE,VLOOKUP($E190,Plan3!$A$16:$CT$487,$E$7+9,0)/100,0)</f>
        <v>0</v>
      </c>
      <c r="AU190" s="868">
        <f>IF(AND($L190=0,$P190=0)=TRUE,VLOOKUP($E190,Plan3!$A$16:$CT$487,$E$7+12,0)/100,0)</f>
        <v>0</v>
      </c>
      <c r="AV190" s="841"/>
      <c r="AW190" s="869">
        <f t="shared" si="128"/>
        <v>0</v>
      </c>
      <c r="AX190" s="870">
        <f t="shared" si="129"/>
        <v>0</v>
      </c>
      <c r="AY190" s="871">
        <f t="shared" si="130"/>
        <v>0</v>
      </c>
      <c r="AZ190" s="237" t="str">
        <f t="shared" si="101"/>
        <v xml:space="preserve">10.003.000.002 </v>
      </c>
      <c r="BA190" s="365"/>
      <c r="BB190" s="365"/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872">
        <f t="shared" si="102"/>
        <v>0</v>
      </c>
      <c r="BM190" s="873">
        <f t="shared" si="103"/>
        <v>0</v>
      </c>
      <c r="BN190" s="874">
        <f t="shared" si="131"/>
        <v>0</v>
      </c>
      <c r="BO190" s="875">
        <f t="shared" si="104"/>
        <v>0</v>
      </c>
      <c r="BP190" s="875">
        <f t="shared" si="105"/>
        <v>0</v>
      </c>
      <c r="BQ190" s="876">
        <f t="shared" si="132"/>
        <v>0</v>
      </c>
      <c r="BR190" s="877">
        <f t="shared" si="133"/>
        <v>0</v>
      </c>
      <c r="BS190" s="875">
        <f t="shared" si="106"/>
        <v>0</v>
      </c>
      <c r="BT190" s="875">
        <f t="shared" si="107"/>
        <v>0</v>
      </c>
      <c r="BU190" s="878">
        <f t="shared" si="134"/>
        <v>0</v>
      </c>
      <c r="CE190" s="486">
        <v>178</v>
      </c>
    </row>
    <row r="191" spans="1:83" s="177" customFormat="1" ht="21.95" customHeight="1" x14ac:dyDescent="0.2">
      <c r="A191" s="237">
        <f t="shared" si="108"/>
        <v>0</v>
      </c>
      <c r="B191" s="237">
        <f t="shared" si="109"/>
        <v>0</v>
      </c>
      <c r="C191" s="393">
        <f t="shared" si="94"/>
        <v>0</v>
      </c>
      <c r="D191" s="393" t="str">
        <f t="shared" si="95"/>
        <v xml:space="preserve">10 </v>
      </c>
      <c r="E191" s="967" t="s">
        <v>131</v>
      </c>
      <c r="F191" s="967" t="s">
        <v>648</v>
      </c>
      <c r="G191" s="967"/>
      <c r="H191" s="968"/>
      <c r="I191" s="968"/>
      <c r="J191" s="969">
        <v>99877.18</v>
      </c>
      <c r="K191" s="367">
        <v>0</v>
      </c>
      <c r="L191" s="367">
        <f>IF($H191="",0,VLOOKUP($E191,Plan3!$A$16:$CT$384,$E$7,0)%)</f>
        <v>0</v>
      </c>
      <c r="M191" s="368">
        <f t="shared" si="114"/>
        <v>0</v>
      </c>
      <c r="N191" s="368">
        <f t="shared" si="115"/>
        <v>0</v>
      </c>
      <c r="O191" s="367">
        <v>0</v>
      </c>
      <c r="P191" s="367">
        <f>VLOOKUP($E191,Plan3!$A$492:$P$858,13,0)%</f>
        <v>0</v>
      </c>
      <c r="Q191" s="368">
        <f t="shared" si="116"/>
        <v>0</v>
      </c>
      <c r="R191" s="368">
        <f t="shared" si="117"/>
        <v>0</v>
      </c>
      <c r="S191" s="880">
        <v>0</v>
      </c>
      <c r="T191" s="880">
        <f t="shared" si="118"/>
        <v>0</v>
      </c>
      <c r="U191" s="880">
        <f>IF($I191="",0,($S191-$T191)*(1+('Econômico Macro'!$R$12/100)))</f>
        <v>0</v>
      </c>
      <c r="V191" s="880">
        <f t="shared" si="119"/>
        <v>0</v>
      </c>
      <c r="W191" s="880">
        <f t="shared" si="120"/>
        <v>0</v>
      </c>
      <c r="X191" s="367">
        <f t="shared" si="96"/>
        <v>0</v>
      </c>
      <c r="Y191" s="367">
        <f t="shared" si="97"/>
        <v>0</v>
      </c>
      <c r="Z191" s="367">
        <f t="shared" si="98"/>
        <v>0</v>
      </c>
      <c r="AA191" s="367">
        <f t="shared" si="99"/>
        <v>0</v>
      </c>
      <c r="AB191" s="369" t="str">
        <f t="shared" si="100"/>
        <v>Não Iniciada</v>
      </c>
      <c r="AC191" s="365"/>
      <c r="AD191" s="368">
        <v>1</v>
      </c>
      <c r="AE191" s="368">
        <f t="shared" si="121"/>
        <v>-1</v>
      </c>
      <c r="AF191" s="365"/>
      <c r="AG191" s="863">
        <f t="shared" si="110"/>
        <v>0</v>
      </c>
      <c r="AH191" s="864">
        <f t="shared" si="122"/>
        <v>0</v>
      </c>
      <c r="AI191" s="863">
        <f t="shared" si="111"/>
        <v>0</v>
      </c>
      <c r="AJ191" s="864">
        <f t="shared" si="123"/>
        <v>0</v>
      </c>
      <c r="AK191" s="365"/>
      <c r="AL191" s="865">
        <f t="shared" si="112"/>
        <v>0</v>
      </c>
      <c r="AM191" s="866">
        <f t="shared" si="124"/>
        <v>0</v>
      </c>
      <c r="AN191" s="866">
        <f t="shared" si="125"/>
        <v>0</v>
      </c>
      <c r="AO191" s="866">
        <f t="shared" si="126"/>
        <v>0</v>
      </c>
      <c r="AP191" s="867">
        <f t="shared" si="127"/>
        <v>0</v>
      </c>
      <c r="AQ191" s="591"/>
      <c r="AR191" s="868"/>
      <c r="AS191" s="868"/>
      <c r="AT191" s="868"/>
      <c r="AU191" s="868"/>
      <c r="AV191" s="841"/>
      <c r="AW191" s="869"/>
      <c r="AX191" s="870"/>
      <c r="AY191" s="871"/>
      <c r="AZ191" s="237" t="str">
        <f t="shared" si="101"/>
        <v xml:space="preserve">10.004 </v>
      </c>
      <c r="BA191" s="365"/>
      <c r="BB191" s="365"/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872">
        <f t="shared" si="102"/>
        <v>0</v>
      </c>
      <c r="BM191" s="873">
        <f t="shared" si="103"/>
        <v>0</v>
      </c>
      <c r="BN191" s="874">
        <f t="shared" si="131"/>
        <v>0</v>
      </c>
      <c r="BO191" s="875">
        <f t="shared" si="104"/>
        <v>0</v>
      </c>
      <c r="BP191" s="875">
        <f t="shared" si="105"/>
        <v>0</v>
      </c>
      <c r="BQ191" s="876">
        <f t="shared" si="132"/>
        <v>0</v>
      </c>
      <c r="BR191" s="877">
        <f t="shared" si="133"/>
        <v>0</v>
      </c>
      <c r="BS191" s="875">
        <f t="shared" si="106"/>
        <v>0</v>
      </c>
      <c r="BT191" s="875">
        <f t="shared" si="107"/>
        <v>0</v>
      </c>
      <c r="BU191" s="878">
        <f t="shared" si="134"/>
        <v>0</v>
      </c>
      <c r="CE191" s="486">
        <v>179</v>
      </c>
    </row>
    <row r="192" spans="1:83" s="177" customFormat="1" ht="21.95" customHeight="1" x14ac:dyDescent="0.2">
      <c r="A192" s="237">
        <f t="shared" si="108"/>
        <v>0</v>
      </c>
      <c r="B192" s="237">
        <f t="shared" si="109"/>
        <v>0</v>
      </c>
      <c r="C192" s="393">
        <f t="shared" si="94"/>
        <v>0</v>
      </c>
      <c r="D192" s="393" t="str">
        <f t="shared" si="95"/>
        <v xml:space="preserve">10 </v>
      </c>
      <c r="E192" s="959" t="s">
        <v>132</v>
      </c>
      <c r="F192" s="959" t="s">
        <v>2263</v>
      </c>
      <c r="G192" s="959" t="s">
        <v>90</v>
      </c>
      <c r="H192" s="963">
        <v>4781.1000000000004</v>
      </c>
      <c r="I192" s="970">
        <v>20.89</v>
      </c>
      <c r="J192" s="962">
        <v>99877.18</v>
      </c>
      <c r="K192" s="367">
        <v>0</v>
      </c>
      <c r="L192" s="367">
        <f>IF($H192="",0,VLOOKUP($E192,Plan3!$A$16:$CT$384,$E$7,0)%)</f>
        <v>0</v>
      </c>
      <c r="M192" s="368">
        <f t="shared" si="114"/>
        <v>0</v>
      </c>
      <c r="N192" s="368">
        <f t="shared" si="115"/>
        <v>0</v>
      </c>
      <c r="O192" s="367">
        <v>0</v>
      </c>
      <c r="P192" s="367">
        <f>VLOOKUP($E192,Plan3!$A$492:$P$858,13,0)%</f>
        <v>0</v>
      </c>
      <c r="Q192" s="368">
        <f t="shared" si="116"/>
        <v>0</v>
      </c>
      <c r="R192" s="368">
        <f t="shared" si="117"/>
        <v>0</v>
      </c>
      <c r="S192" s="880">
        <v>101035.755288</v>
      </c>
      <c r="T192" s="880">
        <f t="shared" si="118"/>
        <v>0</v>
      </c>
      <c r="U192" s="880">
        <f>IF($I192="",0,($S192-$T192)*(1+('Econômico Macro'!$R$12/100)))</f>
        <v>102783.6738544824</v>
      </c>
      <c r="V192" s="880">
        <f t="shared" si="119"/>
        <v>102783.6738544824</v>
      </c>
      <c r="W192" s="880">
        <f t="shared" si="120"/>
        <v>0</v>
      </c>
      <c r="X192" s="367">
        <f t="shared" si="96"/>
        <v>0</v>
      </c>
      <c r="Y192" s="367">
        <f t="shared" si="97"/>
        <v>0</v>
      </c>
      <c r="Z192" s="367">
        <f t="shared" si="98"/>
        <v>0</v>
      </c>
      <c r="AA192" s="367">
        <f t="shared" si="99"/>
        <v>0</v>
      </c>
      <c r="AB192" s="369" t="str">
        <f t="shared" si="100"/>
        <v>Não Iniciada</v>
      </c>
      <c r="AC192" s="365"/>
      <c r="AD192" s="368">
        <v>1</v>
      </c>
      <c r="AE192" s="368">
        <f t="shared" si="121"/>
        <v>-1</v>
      </c>
      <c r="AF192" s="365"/>
      <c r="AG192" s="863">
        <f t="shared" si="110"/>
        <v>0</v>
      </c>
      <c r="AH192" s="864">
        <f t="shared" si="122"/>
        <v>0</v>
      </c>
      <c r="AI192" s="863">
        <f t="shared" si="111"/>
        <v>0</v>
      </c>
      <c r="AJ192" s="864">
        <f t="shared" si="123"/>
        <v>0</v>
      </c>
      <c r="AK192" s="365"/>
      <c r="AL192" s="865">
        <f t="shared" si="112"/>
        <v>0</v>
      </c>
      <c r="AM192" s="866">
        <f t="shared" si="124"/>
        <v>0</v>
      </c>
      <c r="AN192" s="866">
        <f t="shared" si="125"/>
        <v>0</v>
      </c>
      <c r="AO192" s="866">
        <f t="shared" si="126"/>
        <v>0</v>
      </c>
      <c r="AP192" s="867">
        <f t="shared" si="127"/>
        <v>0</v>
      </c>
      <c r="AQ192" s="591">
        <f t="shared" si="113"/>
        <v>0</v>
      </c>
      <c r="AR192" s="868">
        <f>IF(AND($L192=0,$P192=0)=TRUE,VLOOKUP($E192,Plan3!$A$16:$CT$487,$E$7+3,0)/100,0)</f>
        <v>0</v>
      </c>
      <c r="AS192" s="868">
        <f>IF(AND($L192=0,$P192=0)=TRUE,VLOOKUP($E192,Plan3!$A$16:$CT$487,$E$7+6,0)/100,0)</f>
        <v>0</v>
      </c>
      <c r="AT192" s="868">
        <f>IF(AND($L192=0,$P192=0)=TRUE,VLOOKUP($E192,Plan3!$A$16:$CT$487,$E$7+9,0)/100,0)</f>
        <v>0</v>
      </c>
      <c r="AU192" s="868">
        <f>IF(AND($L192=0,$P192=0)=TRUE,VLOOKUP($E192,Plan3!$A$16:$CT$487,$E$7+12,0)/100,0)</f>
        <v>0</v>
      </c>
      <c r="AV192" s="841"/>
      <c r="AW192" s="869">
        <f t="shared" si="128"/>
        <v>0</v>
      </c>
      <c r="AX192" s="870">
        <f t="shared" si="129"/>
        <v>0</v>
      </c>
      <c r="AY192" s="871">
        <f t="shared" si="130"/>
        <v>0</v>
      </c>
      <c r="AZ192" s="237" t="str">
        <f t="shared" si="101"/>
        <v xml:space="preserve">10.004.000.001 </v>
      </c>
      <c r="BA192" s="365"/>
      <c r="BB192" s="365"/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872">
        <f t="shared" si="102"/>
        <v>0</v>
      </c>
      <c r="BM192" s="873">
        <f t="shared" si="103"/>
        <v>0</v>
      </c>
      <c r="BN192" s="874">
        <f t="shared" si="131"/>
        <v>0</v>
      </c>
      <c r="BO192" s="875">
        <f t="shared" si="104"/>
        <v>0</v>
      </c>
      <c r="BP192" s="875">
        <f t="shared" si="105"/>
        <v>0</v>
      </c>
      <c r="BQ192" s="876">
        <f t="shared" si="132"/>
        <v>0</v>
      </c>
      <c r="BR192" s="877">
        <f t="shared" si="133"/>
        <v>0</v>
      </c>
      <c r="BS192" s="875">
        <f t="shared" si="106"/>
        <v>0</v>
      </c>
      <c r="BT192" s="875">
        <f t="shared" si="107"/>
        <v>0</v>
      </c>
      <c r="BU192" s="878">
        <f t="shared" si="134"/>
        <v>0</v>
      </c>
      <c r="CE192" s="486">
        <v>180</v>
      </c>
    </row>
    <row r="193" spans="1:83" s="177" customFormat="1" ht="21.95" customHeight="1" x14ac:dyDescent="0.2">
      <c r="A193" s="237">
        <f t="shared" si="108"/>
        <v>0</v>
      </c>
      <c r="B193" s="237">
        <f t="shared" si="109"/>
        <v>0</v>
      </c>
      <c r="C193" s="393">
        <f t="shared" si="94"/>
        <v>0</v>
      </c>
      <c r="D193" s="393" t="str">
        <f t="shared" si="95"/>
        <v xml:space="preserve">10 </v>
      </c>
      <c r="E193" s="967" t="s">
        <v>649</v>
      </c>
      <c r="F193" s="967" t="s">
        <v>650</v>
      </c>
      <c r="G193" s="967"/>
      <c r="H193" s="968"/>
      <c r="I193" s="968"/>
      <c r="J193" s="969">
        <v>95130.77</v>
      </c>
      <c r="K193" s="367">
        <v>0</v>
      </c>
      <c r="L193" s="367">
        <f>IF($H193="",0,VLOOKUP($E193,Plan3!$A$16:$CT$384,$E$7,0)%)</f>
        <v>0</v>
      </c>
      <c r="M193" s="368">
        <f t="shared" si="114"/>
        <v>0</v>
      </c>
      <c r="N193" s="368">
        <f t="shared" si="115"/>
        <v>0</v>
      </c>
      <c r="O193" s="367">
        <v>0</v>
      </c>
      <c r="P193" s="367">
        <f>VLOOKUP($E193,Plan3!$A$492:$P$858,13,0)%</f>
        <v>0</v>
      </c>
      <c r="Q193" s="368">
        <f t="shared" si="116"/>
        <v>0</v>
      </c>
      <c r="R193" s="368">
        <f t="shared" si="117"/>
        <v>0</v>
      </c>
      <c r="S193" s="880">
        <v>0</v>
      </c>
      <c r="T193" s="880">
        <f t="shared" si="118"/>
        <v>0</v>
      </c>
      <c r="U193" s="880">
        <f>IF($I193="",0,($S193-$T193)*(1+('Econômico Macro'!$R$12/100)))</f>
        <v>0</v>
      </c>
      <c r="V193" s="880">
        <f t="shared" si="119"/>
        <v>0</v>
      </c>
      <c r="W193" s="880">
        <f t="shared" si="120"/>
        <v>0</v>
      </c>
      <c r="X193" s="367">
        <f t="shared" si="96"/>
        <v>0</v>
      </c>
      <c r="Y193" s="367">
        <f t="shared" si="97"/>
        <v>0</v>
      </c>
      <c r="Z193" s="367">
        <f t="shared" si="98"/>
        <v>0</v>
      </c>
      <c r="AA193" s="367">
        <f t="shared" si="99"/>
        <v>0</v>
      </c>
      <c r="AB193" s="369" t="str">
        <f t="shared" si="100"/>
        <v>Não Iniciada</v>
      </c>
      <c r="AC193" s="365"/>
      <c r="AD193" s="368">
        <v>1</v>
      </c>
      <c r="AE193" s="368">
        <f t="shared" si="121"/>
        <v>-1</v>
      </c>
      <c r="AF193" s="365"/>
      <c r="AG193" s="863">
        <f t="shared" si="110"/>
        <v>0</v>
      </c>
      <c r="AH193" s="864">
        <f t="shared" si="122"/>
        <v>0</v>
      </c>
      <c r="AI193" s="863">
        <f t="shared" si="111"/>
        <v>0</v>
      </c>
      <c r="AJ193" s="864">
        <f t="shared" si="123"/>
        <v>0</v>
      </c>
      <c r="AK193" s="365"/>
      <c r="AL193" s="865">
        <f t="shared" si="112"/>
        <v>0</v>
      </c>
      <c r="AM193" s="866">
        <f t="shared" si="124"/>
        <v>0</v>
      </c>
      <c r="AN193" s="866">
        <f t="shared" si="125"/>
        <v>0</v>
      </c>
      <c r="AO193" s="866">
        <f t="shared" si="126"/>
        <v>0</v>
      </c>
      <c r="AP193" s="867">
        <f t="shared" si="127"/>
        <v>0</v>
      </c>
      <c r="AQ193" s="591"/>
      <c r="AR193" s="868"/>
      <c r="AS193" s="868"/>
      <c r="AT193" s="868"/>
      <c r="AU193" s="868"/>
      <c r="AV193" s="841"/>
      <c r="AW193" s="869"/>
      <c r="AX193" s="870"/>
      <c r="AY193" s="871"/>
      <c r="AZ193" s="237" t="str">
        <f t="shared" si="101"/>
        <v xml:space="preserve">10.005 </v>
      </c>
      <c r="BA193" s="365"/>
      <c r="BB193" s="365"/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872">
        <f t="shared" si="102"/>
        <v>0</v>
      </c>
      <c r="BM193" s="873">
        <f t="shared" si="103"/>
        <v>0</v>
      </c>
      <c r="BN193" s="874">
        <f t="shared" si="131"/>
        <v>0</v>
      </c>
      <c r="BO193" s="875">
        <f t="shared" si="104"/>
        <v>0</v>
      </c>
      <c r="BP193" s="875">
        <f t="shared" si="105"/>
        <v>0</v>
      </c>
      <c r="BQ193" s="876">
        <f t="shared" si="132"/>
        <v>0</v>
      </c>
      <c r="BR193" s="877">
        <f t="shared" si="133"/>
        <v>0</v>
      </c>
      <c r="BS193" s="875">
        <f t="shared" si="106"/>
        <v>0</v>
      </c>
      <c r="BT193" s="875">
        <f t="shared" si="107"/>
        <v>0</v>
      </c>
      <c r="BU193" s="878">
        <f t="shared" si="134"/>
        <v>0</v>
      </c>
      <c r="CE193" s="486">
        <v>181</v>
      </c>
    </row>
    <row r="194" spans="1:83" s="177" customFormat="1" ht="21.95" customHeight="1" x14ac:dyDescent="0.2">
      <c r="A194" s="237">
        <f t="shared" si="108"/>
        <v>0</v>
      </c>
      <c r="B194" s="237">
        <f t="shared" si="109"/>
        <v>0</v>
      </c>
      <c r="C194" s="393">
        <f t="shared" si="94"/>
        <v>0</v>
      </c>
      <c r="D194" s="393" t="str">
        <f t="shared" si="95"/>
        <v xml:space="preserve">10 </v>
      </c>
      <c r="E194" s="967" t="s">
        <v>1454</v>
      </c>
      <c r="F194" s="967" t="s">
        <v>1455</v>
      </c>
      <c r="G194" s="967"/>
      <c r="H194" s="968"/>
      <c r="I194" s="968"/>
      <c r="J194" s="969">
        <v>87444.89</v>
      </c>
      <c r="K194" s="367">
        <v>0</v>
      </c>
      <c r="L194" s="367">
        <f>IF($H194="",0,VLOOKUP($E194,Plan3!$A$16:$CT$384,$E$7,0)%)</f>
        <v>0</v>
      </c>
      <c r="M194" s="368">
        <f t="shared" si="114"/>
        <v>0</v>
      </c>
      <c r="N194" s="368">
        <f t="shared" si="115"/>
        <v>0</v>
      </c>
      <c r="O194" s="367">
        <v>0</v>
      </c>
      <c r="P194" s="367">
        <f>VLOOKUP($E194,Plan3!$A$492:$P$858,13,0)%</f>
        <v>0</v>
      </c>
      <c r="Q194" s="368">
        <f t="shared" si="116"/>
        <v>0</v>
      </c>
      <c r="R194" s="368">
        <f t="shared" si="117"/>
        <v>0</v>
      </c>
      <c r="S194" s="880">
        <v>0</v>
      </c>
      <c r="T194" s="880">
        <f t="shared" si="118"/>
        <v>0</v>
      </c>
      <c r="U194" s="880">
        <f>IF($I194="",0,($S194-$T194)*(1+('Econômico Macro'!$R$12/100)))</f>
        <v>0</v>
      </c>
      <c r="V194" s="880">
        <f t="shared" si="119"/>
        <v>0</v>
      </c>
      <c r="W194" s="880">
        <f t="shared" si="120"/>
        <v>0</v>
      </c>
      <c r="X194" s="367">
        <f t="shared" si="96"/>
        <v>0</v>
      </c>
      <c r="Y194" s="367">
        <f t="shared" si="97"/>
        <v>0</v>
      </c>
      <c r="Z194" s="367">
        <f t="shared" si="98"/>
        <v>0</v>
      </c>
      <c r="AA194" s="367">
        <f t="shared" si="99"/>
        <v>0</v>
      </c>
      <c r="AB194" s="369" t="str">
        <f t="shared" si="100"/>
        <v>Não Iniciada</v>
      </c>
      <c r="AC194" s="365"/>
      <c r="AD194" s="368">
        <v>1</v>
      </c>
      <c r="AE194" s="368">
        <f t="shared" si="121"/>
        <v>-1</v>
      </c>
      <c r="AF194" s="365"/>
      <c r="AG194" s="863">
        <f t="shared" si="110"/>
        <v>0</v>
      </c>
      <c r="AH194" s="864">
        <f t="shared" si="122"/>
        <v>0</v>
      </c>
      <c r="AI194" s="863">
        <f t="shared" si="111"/>
        <v>0</v>
      </c>
      <c r="AJ194" s="864">
        <f t="shared" si="123"/>
        <v>0</v>
      </c>
      <c r="AK194" s="365"/>
      <c r="AL194" s="865">
        <f t="shared" si="112"/>
        <v>0</v>
      </c>
      <c r="AM194" s="866">
        <f t="shared" si="124"/>
        <v>0</v>
      </c>
      <c r="AN194" s="866">
        <f t="shared" si="125"/>
        <v>0</v>
      </c>
      <c r="AO194" s="866">
        <f t="shared" si="126"/>
        <v>0</v>
      </c>
      <c r="AP194" s="867">
        <f t="shared" si="127"/>
        <v>0</v>
      </c>
      <c r="AQ194" s="591"/>
      <c r="AR194" s="868"/>
      <c r="AS194" s="868"/>
      <c r="AT194" s="868"/>
      <c r="AU194" s="868"/>
      <c r="AV194" s="841"/>
      <c r="AW194" s="869"/>
      <c r="AX194" s="870"/>
      <c r="AY194" s="871"/>
      <c r="AZ194" s="237" t="str">
        <f t="shared" si="101"/>
        <v xml:space="preserve">10.005.001 </v>
      </c>
      <c r="BA194" s="365"/>
      <c r="BB194" s="365"/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872">
        <f t="shared" si="102"/>
        <v>0</v>
      </c>
      <c r="BM194" s="873">
        <f t="shared" si="103"/>
        <v>0</v>
      </c>
      <c r="BN194" s="874">
        <f t="shared" si="131"/>
        <v>0</v>
      </c>
      <c r="BO194" s="875">
        <f t="shared" si="104"/>
        <v>0</v>
      </c>
      <c r="BP194" s="875">
        <f t="shared" si="105"/>
        <v>0</v>
      </c>
      <c r="BQ194" s="876">
        <f t="shared" si="132"/>
        <v>0</v>
      </c>
      <c r="BR194" s="877">
        <f t="shared" si="133"/>
        <v>0</v>
      </c>
      <c r="BS194" s="875">
        <f t="shared" si="106"/>
        <v>0</v>
      </c>
      <c r="BT194" s="875">
        <f t="shared" si="107"/>
        <v>0</v>
      </c>
      <c r="BU194" s="878">
        <f t="shared" si="134"/>
        <v>0</v>
      </c>
      <c r="CE194" s="486">
        <v>182</v>
      </c>
    </row>
    <row r="195" spans="1:83" s="177" customFormat="1" ht="21.95" customHeight="1" x14ac:dyDescent="0.2">
      <c r="A195" s="237">
        <f t="shared" si="108"/>
        <v>0</v>
      </c>
      <c r="B195" s="237">
        <f t="shared" si="109"/>
        <v>0</v>
      </c>
      <c r="C195" s="393">
        <f t="shared" si="94"/>
        <v>0</v>
      </c>
      <c r="D195" s="393" t="str">
        <f t="shared" si="95"/>
        <v xml:space="preserve">10 </v>
      </c>
      <c r="E195" s="959" t="s">
        <v>1456</v>
      </c>
      <c r="F195" s="959" t="s">
        <v>2264</v>
      </c>
      <c r="G195" s="959" t="s">
        <v>90</v>
      </c>
      <c r="H195" s="963">
        <v>1191.24</v>
      </c>
      <c r="I195" s="970">
        <v>27.378499999999999</v>
      </c>
      <c r="J195" s="962">
        <v>32614.36</v>
      </c>
      <c r="K195" s="367">
        <v>0</v>
      </c>
      <c r="L195" s="367">
        <f>IF($H195="",0,VLOOKUP($E195,Plan3!$A$16:$CT$384,$E$7,0)%)</f>
        <v>0</v>
      </c>
      <c r="M195" s="368">
        <f t="shared" si="114"/>
        <v>0</v>
      </c>
      <c r="N195" s="368">
        <f t="shared" si="115"/>
        <v>0</v>
      </c>
      <c r="O195" s="367">
        <v>0</v>
      </c>
      <c r="P195" s="367">
        <f>VLOOKUP($E195,Plan3!$A$492:$P$858,13,0)%</f>
        <v>0</v>
      </c>
      <c r="Q195" s="368">
        <f t="shared" si="116"/>
        <v>0</v>
      </c>
      <c r="R195" s="368">
        <f t="shared" si="117"/>
        <v>0</v>
      </c>
      <c r="S195" s="880">
        <v>32992.686576</v>
      </c>
      <c r="T195" s="880">
        <f t="shared" si="118"/>
        <v>0</v>
      </c>
      <c r="U195" s="880">
        <f>IF($I195="",0,($S195-$T195)*(1+('Econômico Macro'!$R$12/100)))</f>
        <v>33563.4600537648</v>
      </c>
      <c r="V195" s="880">
        <f t="shared" si="119"/>
        <v>33563.4600537648</v>
      </c>
      <c r="W195" s="880">
        <f t="shared" si="120"/>
        <v>0</v>
      </c>
      <c r="X195" s="367">
        <f t="shared" si="96"/>
        <v>0</v>
      </c>
      <c r="Y195" s="367">
        <f t="shared" si="97"/>
        <v>0</v>
      </c>
      <c r="Z195" s="367">
        <f t="shared" si="98"/>
        <v>0</v>
      </c>
      <c r="AA195" s="367">
        <f t="shared" si="99"/>
        <v>0</v>
      </c>
      <c r="AB195" s="369" t="str">
        <f t="shared" si="100"/>
        <v>Não Iniciada</v>
      </c>
      <c r="AC195" s="365"/>
      <c r="AD195" s="368">
        <v>1</v>
      </c>
      <c r="AE195" s="368">
        <f t="shared" si="121"/>
        <v>-1</v>
      </c>
      <c r="AF195" s="365"/>
      <c r="AG195" s="863">
        <f t="shared" si="110"/>
        <v>0</v>
      </c>
      <c r="AH195" s="864">
        <f t="shared" si="122"/>
        <v>0</v>
      </c>
      <c r="AI195" s="863">
        <f t="shared" si="111"/>
        <v>0</v>
      </c>
      <c r="AJ195" s="864">
        <f t="shared" si="123"/>
        <v>0</v>
      </c>
      <c r="AK195" s="365"/>
      <c r="AL195" s="865">
        <f t="shared" si="112"/>
        <v>0</v>
      </c>
      <c r="AM195" s="866">
        <f t="shared" si="124"/>
        <v>0</v>
      </c>
      <c r="AN195" s="866">
        <f t="shared" si="125"/>
        <v>0</v>
      </c>
      <c r="AO195" s="866">
        <f t="shared" si="126"/>
        <v>0</v>
      </c>
      <c r="AP195" s="867">
        <f t="shared" si="127"/>
        <v>0</v>
      </c>
      <c r="AQ195" s="591">
        <f t="shared" si="113"/>
        <v>0</v>
      </c>
      <c r="AR195" s="868">
        <f>IF(AND($L195=0,$P195=0)=TRUE,VLOOKUP($E195,Plan3!$A$16:$CT$487,$E$7+3,0)/100,0)</f>
        <v>0</v>
      </c>
      <c r="AS195" s="868">
        <f>IF(AND($L195=0,$P195=0)=TRUE,VLOOKUP($E195,Plan3!$A$16:$CT$487,$E$7+6,0)/100,0)</f>
        <v>0</v>
      </c>
      <c r="AT195" s="868">
        <f>IF(AND($L195=0,$P195=0)=TRUE,VLOOKUP($E195,Plan3!$A$16:$CT$487,$E$7+9,0)/100,0)</f>
        <v>0</v>
      </c>
      <c r="AU195" s="868">
        <f>IF(AND($L195=0,$P195=0)=TRUE,VLOOKUP($E195,Plan3!$A$16:$CT$487,$E$7+12,0)/100,0)</f>
        <v>0</v>
      </c>
      <c r="AV195" s="841"/>
      <c r="AW195" s="869">
        <f t="shared" si="128"/>
        <v>0</v>
      </c>
      <c r="AX195" s="870">
        <f t="shared" si="129"/>
        <v>0</v>
      </c>
      <c r="AY195" s="871">
        <f t="shared" si="130"/>
        <v>0</v>
      </c>
      <c r="AZ195" s="237" t="str">
        <f t="shared" si="101"/>
        <v xml:space="preserve">10.005.001.001 </v>
      </c>
      <c r="BA195" s="365"/>
      <c r="BB195" s="365"/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872">
        <f t="shared" si="102"/>
        <v>0</v>
      </c>
      <c r="BM195" s="873">
        <f t="shared" si="103"/>
        <v>0</v>
      </c>
      <c r="BN195" s="874">
        <f t="shared" si="131"/>
        <v>0</v>
      </c>
      <c r="BO195" s="875">
        <f t="shared" si="104"/>
        <v>0</v>
      </c>
      <c r="BP195" s="875">
        <f t="shared" si="105"/>
        <v>0</v>
      </c>
      <c r="BQ195" s="876">
        <f t="shared" si="132"/>
        <v>0</v>
      </c>
      <c r="BR195" s="877">
        <f t="shared" si="133"/>
        <v>0</v>
      </c>
      <c r="BS195" s="875">
        <f t="shared" si="106"/>
        <v>0</v>
      </c>
      <c r="BT195" s="875">
        <f t="shared" si="107"/>
        <v>0</v>
      </c>
      <c r="BU195" s="878">
        <f t="shared" si="134"/>
        <v>0</v>
      </c>
      <c r="CE195" s="486">
        <v>183</v>
      </c>
    </row>
    <row r="196" spans="1:83" s="177" customFormat="1" ht="21.95" customHeight="1" x14ac:dyDescent="0.2">
      <c r="A196" s="237">
        <f t="shared" si="108"/>
        <v>0</v>
      </c>
      <c r="B196" s="237">
        <f t="shared" si="109"/>
        <v>0</v>
      </c>
      <c r="C196" s="393">
        <f t="shared" si="94"/>
        <v>0</v>
      </c>
      <c r="D196" s="393" t="str">
        <f t="shared" si="95"/>
        <v xml:space="preserve">10 </v>
      </c>
      <c r="E196" s="959" t="s">
        <v>1458</v>
      </c>
      <c r="F196" s="959" t="s">
        <v>2265</v>
      </c>
      <c r="G196" s="959" t="s">
        <v>90</v>
      </c>
      <c r="H196" s="970">
        <v>65.5</v>
      </c>
      <c r="I196" s="970">
        <v>33.976700000000001</v>
      </c>
      <c r="J196" s="964">
        <v>2225.4699999999998</v>
      </c>
      <c r="K196" s="367">
        <v>0</v>
      </c>
      <c r="L196" s="367">
        <f>IF($H196="",0,VLOOKUP($E196,Plan3!$A$16:$CT$384,$E$7,0)%)</f>
        <v>0</v>
      </c>
      <c r="M196" s="368">
        <f t="shared" si="114"/>
        <v>0</v>
      </c>
      <c r="N196" s="368">
        <f t="shared" si="115"/>
        <v>0</v>
      </c>
      <c r="O196" s="367">
        <v>0</v>
      </c>
      <c r="P196" s="367">
        <f>VLOOKUP($E196,Plan3!$A$492:$P$858,13,0)%</f>
        <v>0</v>
      </c>
      <c r="Q196" s="368">
        <f t="shared" si="116"/>
        <v>0</v>
      </c>
      <c r="R196" s="368">
        <f t="shared" si="117"/>
        <v>0</v>
      </c>
      <c r="S196" s="880">
        <v>2251.2854520000001</v>
      </c>
      <c r="T196" s="880">
        <f t="shared" si="118"/>
        <v>0</v>
      </c>
      <c r="U196" s="880">
        <f>IF($I196="",0,($S196-$T196)*(1+('Econômico Macro'!$R$12/100)))</f>
        <v>2290.2326903196004</v>
      </c>
      <c r="V196" s="880">
        <f t="shared" si="119"/>
        <v>2290.2326903196004</v>
      </c>
      <c r="W196" s="880">
        <f t="shared" si="120"/>
        <v>0</v>
      </c>
      <c r="X196" s="367">
        <f t="shared" si="96"/>
        <v>0</v>
      </c>
      <c r="Y196" s="367">
        <f t="shared" si="97"/>
        <v>0</v>
      </c>
      <c r="Z196" s="367">
        <f t="shared" si="98"/>
        <v>0</v>
      </c>
      <c r="AA196" s="367">
        <f t="shared" si="99"/>
        <v>0</v>
      </c>
      <c r="AB196" s="369" t="str">
        <f t="shared" si="100"/>
        <v>Não Iniciada</v>
      </c>
      <c r="AC196" s="365"/>
      <c r="AD196" s="368">
        <v>1</v>
      </c>
      <c r="AE196" s="368">
        <f t="shared" si="121"/>
        <v>-1</v>
      </c>
      <c r="AF196" s="365"/>
      <c r="AG196" s="863">
        <f t="shared" si="110"/>
        <v>0</v>
      </c>
      <c r="AH196" s="864">
        <f t="shared" si="122"/>
        <v>0</v>
      </c>
      <c r="AI196" s="863">
        <f t="shared" si="111"/>
        <v>0</v>
      </c>
      <c r="AJ196" s="864">
        <f t="shared" si="123"/>
        <v>0</v>
      </c>
      <c r="AK196" s="365"/>
      <c r="AL196" s="865">
        <f t="shared" si="112"/>
        <v>0</v>
      </c>
      <c r="AM196" s="866">
        <f t="shared" si="124"/>
        <v>0</v>
      </c>
      <c r="AN196" s="866">
        <f t="shared" si="125"/>
        <v>0</v>
      </c>
      <c r="AO196" s="866">
        <f t="shared" si="126"/>
        <v>0</v>
      </c>
      <c r="AP196" s="867">
        <f t="shared" si="127"/>
        <v>0</v>
      </c>
      <c r="AQ196" s="591">
        <f t="shared" si="113"/>
        <v>0</v>
      </c>
      <c r="AR196" s="868">
        <f>IF(AND($L196=0,$P196=0)=TRUE,VLOOKUP($E196,Plan3!$A$16:$CT$487,$E$7+3,0)/100,0)</f>
        <v>0</v>
      </c>
      <c r="AS196" s="868">
        <f>IF(AND($L196=0,$P196=0)=TRUE,VLOOKUP($E196,Plan3!$A$16:$CT$487,$E$7+6,0)/100,0)</f>
        <v>0</v>
      </c>
      <c r="AT196" s="868">
        <f>IF(AND($L196=0,$P196=0)=TRUE,VLOOKUP($E196,Plan3!$A$16:$CT$487,$E$7+9,0)/100,0)</f>
        <v>0</v>
      </c>
      <c r="AU196" s="868">
        <f>IF(AND($L196=0,$P196=0)=TRUE,VLOOKUP($E196,Plan3!$A$16:$CT$487,$E$7+12,0)/100,0)</f>
        <v>0</v>
      </c>
      <c r="AV196" s="841"/>
      <c r="AW196" s="869">
        <f t="shared" si="128"/>
        <v>0</v>
      </c>
      <c r="AX196" s="870">
        <f t="shared" si="129"/>
        <v>0</v>
      </c>
      <c r="AY196" s="871">
        <f t="shared" si="130"/>
        <v>0</v>
      </c>
      <c r="AZ196" s="237" t="str">
        <f t="shared" si="101"/>
        <v xml:space="preserve">10.005.001.002 </v>
      </c>
      <c r="BA196" s="365"/>
      <c r="BB196" s="365"/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872">
        <f t="shared" si="102"/>
        <v>0</v>
      </c>
      <c r="BM196" s="873">
        <f t="shared" si="103"/>
        <v>0</v>
      </c>
      <c r="BN196" s="874">
        <f t="shared" si="131"/>
        <v>0</v>
      </c>
      <c r="BO196" s="875">
        <f t="shared" si="104"/>
        <v>0</v>
      </c>
      <c r="BP196" s="875">
        <f t="shared" si="105"/>
        <v>0</v>
      </c>
      <c r="BQ196" s="876">
        <f t="shared" si="132"/>
        <v>0</v>
      </c>
      <c r="BR196" s="877">
        <f t="shared" si="133"/>
        <v>0</v>
      </c>
      <c r="BS196" s="875">
        <f t="shared" si="106"/>
        <v>0</v>
      </c>
      <c r="BT196" s="875">
        <f t="shared" si="107"/>
        <v>0</v>
      </c>
      <c r="BU196" s="878">
        <f t="shared" si="134"/>
        <v>0</v>
      </c>
      <c r="CE196" s="486">
        <v>184</v>
      </c>
    </row>
    <row r="197" spans="1:83" s="177" customFormat="1" ht="21.95" customHeight="1" x14ac:dyDescent="0.2">
      <c r="A197" s="237">
        <f t="shared" si="108"/>
        <v>0</v>
      </c>
      <c r="B197" s="237">
        <f t="shared" si="109"/>
        <v>0</v>
      </c>
      <c r="C197" s="393">
        <f t="shared" si="94"/>
        <v>0</v>
      </c>
      <c r="D197" s="393" t="str">
        <f t="shared" si="95"/>
        <v xml:space="preserve">10 </v>
      </c>
      <c r="E197" s="959" t="s">
        <v>1459</v>
      </c>
      <c r="F197" s="959" t="s">
        <v>2266</v>
      </c>
      <c r="G197" s="959" t="s">
        <v>90</v>
      </c>
      <c r="H197" s="970">
        <v>25.2</v>
      </c>
      <c r="I197" s="965">
        <v>183.572</v>
      </c>
      <c r="J197" s="964">
        <v>4626.01</v>
      </c>
      <c r="K197" s="367">
        <v>0</v>
      </c>
      <c r="L197" s="367">
        <f>IF($H197="",0,VLOOKUP($E197,Plan3!$A$16:$CT$384,$E$7,0)%)</f>
        <v>0</v>
      </c>
      <c r="M197" s="368">
        <f t="shared" si="114"/>
        <v>0</v>
      </c>
      <c r="N197" s="368">
        <f t="shared" si="115"/>
        <v>0</v>
      </c>
      <c r="O197" s="367">
        <v>0</v>
      </c>
      <c r="P197" s="367">
        <f>VLOOKUP($E197,Plan3!$A$492:$P$858,13,0)%</f>
        <v>0</v>
      </c>
      <c r="Q197" s="368">
        <f t="shared" si="116"/>
        <v>0</v>
      </c>
      <c r="R197" s="368">
        <f t="shared" si="117"/>
        <v>0</v>
      </c>
      <c r="S197" s="880">
        <v>4679.6717160000007</v>
      </c>
      <c r="T197" s="880">
        <f t="shared" si="118"/>
        <v>0</v>
      </c>
      <c r="U197" s="880">
        <f>IF($I197="",0,($S197-$T197)*(1+('Econômico Macro'!$R$12/100)))</f>
        <v>4760.6300366868008</v>
      </c>
      <c r="V197" s="880">
        <f t="shared" si="119"/>
        <v>4760.6300366868008</v>
      </c>
      <c r="W197" s="880">
        <f t="shared" si="120"/>
        <v>0</v>
      </c>
      <c r="X197" s="367">
        <f t="shared" si="96"/>
        <v>0</v>
      </c>
      <c r="Y197" s="367">
        <f t="shared" si="97"/>
        <v>0</v>
      </c>
      <c r="Z197" s="367">
        <f t="shared" si="98"/>
        <v>0</v>
      </c>
      <c r="AA197" s="367">
        <f t="shared" si="99"/>
        <v>0</v>
      </c>
      <c r="AB197" s="369" t="str">
        <f t="shared" si="100"/>
        <v>Não Iniciada</v>
      </c>
      <c r="AC197" s="365"/>
      <c r="AD197" s="368">
        <v>1</v>
      </c>
      <c r="AE197" s="368">
        <f t="shared" si="121"/>
        <v>-1</v>
      </c>
      <c r="AF197" s="365"/>
      <c r="AG197" s="863">
        <f t="shared" si="110"/>
        <v>0</v>
      </c>
      <c r="AH197" s="864">
        <f t="shared" si="122"/>
        <v>0</v>
      </c>
      <c r="AI197" s="863">
        <f t="shared" si="111"/>
        <v>0</v>
      </c>
      <c r="AJ197" s="864">
        <f t="shared" si="123"/>
        <v>0</v>
      </c>
      <c r="AK197" s="365"/>
      <c r="AL197" s="865">
        <f t="shared" si="112"/>
        <v>0</v>
      </c>
      <c r="AM197" s="866">
        <f t="shared" si="124"/>
        <v>0</v>
      </c>
      <c r="AN197" s="866">
        <f t="shared" si="125"/>
        <v>0</v>
      </c>
      <c r="AO197" s="866">
        <f t="shared" si="126"/>
        <v>0</v>
      </c>
      <c r="AP197" s="867">
        <f t="shared" si="127"/>
        <v>0</v>
      </c>
      <c r="AQ197" s="591">
        <f t="shared" si="113"/>
        <v>0</v>
      </c>
      <c r="AR197" s="868">
        <f>IF(AND($L197=0,$P197=0)=TRUE,VLOOKUP($E197,Plan3!$A$16:$CT$487,$E$7+3,0)/100,0)</f>
        <v>0</v>
      </c>
      <c r="AS197" s="868">
        <f>IF(AND($L197=0,$P197=0)=TRUE,VLOOKUP($E197,Plan3!$A$16:$CT$487,$E$7+6,0)/100,0)</f>
        <v>0</v>
      </c>
      <c r="AT197" s="868">
        <f>IF(AND($L197=0,$P197=0)=TRUE,VLOOKUP($E197,Plan3!$A$16:$CT$487,$E$7+9,0)/100,0)</f>
        <v>0</v>
      </c>
      <c r="AU197" s="868">
        <f>IF(AND($L197=0,$P197=0)=TRUE,VLOOKUP($E197,Plan3!$A$16:$CT$487,$E$7+12,0)/100,0)</f>
        <v>0</v>
      </c>
      <c r="AV197" s="841"/>
      <c r="AW197" s="869">
        <f t="shared" si="128"/>
        <v>0</v>
      </c>
      <c r="AX197" s="870">
        <f t="shared" si="129"/>
        <v>0</v>
      </c>
      <c r="AY197" s="871">
        <f t="shared" si="130"/>
        <v>0</v>
      </c>
      <c r="AZ197" s="237" t="str">
        <f t="shared" si="101"/>
        <v xml:space="preserve">10.005.001.003 </v>
      </c>
      <c r="BA197" s="365"/>
      <c r="BB197" s="365"/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872">
        <f t="shared" si="102"/>
        <v>0</v>
      </c>
      <c r="BM197" s="873">
        <f t="shared" si="103"/>
        <v>0</v>
      </c>
      <c r="BN197" s="874">
        <f t="shared" si="131"/>
        <v>0</v>
      </c>
      <c r="BO197" s="875">
        <f t="shared" si="104"/>
        <v>0</v>
      </c>
      <c r="BP197" s="875">
        <f t="shared" si="105"/>
        <v>0</v>
      </c>
      <c r="BQ197" s="876">
        <f t="shared" si="132"/>
        <v>0</v>
      </c>
      <c r="BR197" s="877">
        <f t="shared" si="133"/>
        <v>0</v>
      </c>
      <c r="BS197" s="875">
        <f t="shared" si="106"/>
        <v>0</v>
      </c>
      <c r="BT197" s="875">
        <f t="shared" si="107"/>
        <v>0</v>
      </c>
      <c r="BU197" s="878">
        <f t="shared" si="134"/>
        <v>0</v>
      </c>
      <c r="CE197" s="486">
        <v>185</v>
      </c>
    </row>
    <row r="198" spans="1:83" s="177" customFormat="1" ht="21.95" customHeight="1" x14ac:dyDescent="0.2">
      <c r="A198" s="237">
        <f t="shared" si="108"/>
        <v>0</v>
      </c>
      <c r="B198" s="237">
        <f t="shared" si="109"/>
        <v>0</v>
      </c>
      <c r="C198" s="393">
        <f t="shared" si="94"/>
        <v>0</v>
      </c>
      <c r="D198" s="393" t="str">
        <f t="shared" si="95"/>
        <v xml:space="preserve">10 </v>
      </c>
      <c r="E198" s="959" t="s">
        <v>2103</v>
      </c>
      <c r="F198" s="959" t="s">
        <v>2267</v>
      </c>
      <c r="G198" s="959" t="s">
        <v>90</v>
      </c>
      <c r="H198" s="970">
        <v>15.16</v>
      </c>
      <c r="I198" s="970">
        <v>37.667000000000002</v>
      </c>
      <c r="J198" s="966">
        <v>571.03</v>
      </c>
      <c r="K198" s="367">
        <v>0</v>
      </c>
      <c r="L198" s="367">
        <f>IF($H198="",0,VLOOKUP($E198,Plan3!$A$16:$CT$384,$E$7,0)%)</f>
        <v>0</v>
      </c>
      <c r="M198" s="368">
        <f t="shared" si="114"/>
        <v>0</v>
      </c>
      <c r="N198" s="368">
        <f t="shared" si="115"/>
        <v>0</v>
      </c>
      <c r="O198" s="367">
        <v>0</v>
      </c>
      <c r="P198" s="367">
        <f>VLOOKUP($E198,Plan3!$A$492:$P$858,13,0)%</f>
        <v>0</v>
      </c>
      <c r="Q198" s="368">
        <f t="shared" si="116"/>
        <v>0</v>
      </c>
      <c r="R198" s="368">
        <f t="shared" si="117"/>
        <v>0</v>
      </c>
      <c r="S198" s="880">
        <v>577.65394800000001</v>
      </c>
      <c r="T198" s="880">
        <f t="shared" si="118"/>
        <v>0</v>
      </c>
      <c r="U198" s="880">
        <f>IF($I198="",0,($S198-$T198)*(1+('Econômico Macro'!$R$12/100)))</f>
        <v>587.64736130040012</v>
      </c>
      <c r="V198" s="880">
        <f t="shared" si="119"/>
        <v>587.64736130040012</v>
      </c>
      <c r="W198" s="880">
        <f t="shared" si="120"/>
        <v>0</v>
      </c>
      <c r="X198" s="367">
        <f t="shared" si="96"/>
        <v>0</v>
      </c>
      <c r="Y198" s="367">
        <f t="shared" si="97"/>
        <v>0</v>
      </c>
      <c r="Z198" s="367">
        <f t="shared" si="98"/>
        <v>0</v>
      </c>
      <c r="AA198" s="367">
        <f t="shared" si="99"/>
        <v>0</v>
      </c>
      <c r="AB198" s="369" t="str">
        <f t="shared" si="100"/>
        <v>Não Iniciada</v>
      </c>
      <c r="AC198" s="365"/>
      <c r="AD198" s="368">
        <v>1</v>
      </c>
      <c r="AE198" s="368">
        <f t="shared" si="121"/>
        <v>-1</v>
      </c>
      <c r="AF198" s="365"/>
      <c r="AG198" s="863">
        <f t="shared" si="110"/>
        <v>0</v>
      </c>
      <c r="AH198" s="864">
        <f t="shared" si="122"/>
        <v>0</v>
      </c>
      <c r="AI198" s="863">
        <f t="shared" si="111"/>
        <v>0</v>
      </c>
      <c r="AJ198" s="864">
        <f t="shared" si="123"/>
        <v>0</v>
      </c>
      <c r="AK198" s="365"/>
      <c r="AL198" s="865">
        <f t="shared" si="112"/>
        <v>0</v>
      </c>
      <c r="AM198" s="866">
        <f t="shared" si="124"/>
        <v>0</v>
      </c>
      <c r="AN198" s="866">
        <f t="shared" si="125"/>
        <v>0</v>
      </c>
      <c r="AO198" s="866">
        <f t="shared" si="126"/>
        <v>0</v>
      </c>
      <c r="AP198" s="867">
        <f t="shared" si="127"/>
        <v>0</v>
      </c>
      <c r="AQ198" s="591">
        <f t="shared" si="113"/>
        <v>0</v>
      </c>
      <c r="AR198" s="868">
        <f>IF(AND($L198=0,$P198=0)=TRUE,VLOOKUP($E198,Plan3!$A$16:$CT$487,$E$7+3,0)/100,0)</f>
        <v>0</v>
      </c>
      <c r="AS198" s="868">
        <f>IF(AND($L198=0,$P198=0)=TRUE,VLOOKUP($E198,Plan3!$A$16:$CT$487,$E$7+6,0)/100,0)</f>
        <v>0</v>
      </c>
      <c r="AT198" s="868">
        <f>IF(AND($L198=0,$P198=0)=TRUE,VLOOKUP($E198,Plan3!$A$16:$CT$487,$E$7+9,0)/100,0)</f>
        <v>0</v>
      </c>
      <c r="AU198" s="868">
        <f>IF(AND($L198=0,$P198=0)=TRUE,VLOOKUP($E198,Plan3!$A$16:$CT$487,$E$7+12,0)/100,0)</f>
        <v>0</v>
      </c>
      <c r="AV198" s="841"/>
      <c r="AW198" s="869">
        <f t="shared" si="128"/>
        <v>0</v>
      </c>
      <c r="AX198" s="870">
        <f t="shared" si="129"/>
        <v>0</v>
      </c>
      <c r="AY198" s="871">
        <f t="shared" si="130"/>
        <v>0</v>
      </c>
      <c r="AZ198" s="237" t="str">
        <f t="shared" si="101"/>
        <v xml:space="preserve">10.005.001.004 </v>
      </c>
      <c r="BA198" s="365"/>
      <c r="BB198" s="365"/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872">
        <f t="shared" si="102"/>
        <v>0</v>
      </c>
      <c r="BM198" s="873">
        <f t="shared" si="103"/>
        <v>0</v>
      </c>
      <c r="BN198" s="874">
        <f t="shared" si="131"/>
        <v>0</v>
      </c>
      <c r="BO198" s="875">
        <f t="shared" si="104"/>
        <v>0</v>
      </c>
      <c r="BP198" s="875">
        <f t="shared" si="105"/>
        <v>0</v>
      </c>
      <c r="BQ198" s="876">
        <f t="shared" si="132"/>
        <v>0</v>
      </c>
      <c r="BR198" s="877">
        <f t="shared" si="133"/>
        <v>0</v>
      </c>
      <c r="BS198" s="875">
        <f t="shared" si="106"/>
        <v>0</v>
      </c>
      <c r="BT198" s="875">
        <f t="shared" si="107"/>
        <v>0</v>
      </c>
      <c r="BU198" s="878">
        <f t="shared" si="134"/>
        <v>0</v>
      </c>
      <c r="CE198" s="486">
        <v>186</v>
      </c>
    </row>
    <row r="199" spans="1:83" s="177" customFormat="1" ht="21.95" customHeight="1" x14ac:dyDescent="0.2">
      <c r="A199" s="237">
        <f t="shared" si="108"/>
        <v>0</v>
      </c>
      <c r="B199" s="237">
        <f t="shared" si="109"/>
        <v>0</v>
      </c>
      <c r="C199" s="393">
        <f t="shared" si="94"/>
        <v>0</v>
      </c>
      <c r="D199" s="393" t="str">
        <f t="shared" si="95"/>
        <v xml:space="preserve">10 </v>
      </c>
      <c r="E199" s="959" t="s">
        <v>2104</v>
      </c>
      <c r="F199" s="959" t="s">
        <v>482</v>
      </c>
      <c r="G199" s="959" t="s">
        <v>90</v>
      </c>
      <c r="H199" s="963">
        <v>1411.7</v>
      </c>
      <c r="I199" s="970">
        <v>26.21</v>
      </c>
      <c r="J199" s="962">
        <v>37000.660000000003</v>
      </c>
      <c r="K199" s="367">
        <v>0</v>
      </c>
      <c r="L199" s="367">
        <f>IF($H199="",0,VLOOKUP($E199,Plan3!$A$16:$CT$384,$E$7,0)%)</f>
        <v>0</v>
      </c>
      <c r="M199" s="368">
        <f t="shared" si="114"/>
        <v>0</v>
      </c>
      <c r="N199" s="368">
        <f t="shared" si="115"/>
        <v>0</v>
      </c>
      <c r="O199" s="367">
        <v>0</v>
      </c>
      <c r="P199" s="367">
        <f>VLOOKUP($E199,Plan3!$A$492:$P$858,13,0)%</f>
        <v>0</v>
      </c>
      <c r="Q199" s="368">
        <f t="shared" si="116"/>
        <v>0</v>
      </c>
      <c r="R199" s="368">
        <f t="shared" si="117"/>
        <v>0</v>
      </c>
      <c r="S199" s="880">
        <v>37429.867656000002</v>
      </c>
      <c r="T199" s="880">
        <f t="shared" si="118"/>
        <v>0</v>
      </c>
      <c r="U199" s="880">
        <f>IF($I199="",0,($S199-$T199)*(1+('Econômico Macro'!$R$12/100)))</f>
        <v>38077.404366448805</v>
      </c>
      <c r="V199" s="880">
        <f t="shared" si="119"/>
        <v>38077.404366448805</v>
      </c>
      <c r="W199" s="880">
        <f t="shared" si="120"/>
        <v>0</v>
      </c>
      <c r="X199" s="367">
        <f t="shared" si="96"/>
        <v>0</v>
      </c>
      <c r="Y199" s="367">
        <f t="shared" si="97"/>
        <v>0</v>
      </c>
      <c r="Z199" s="367">
        <f t="shared" si="98"/>
        <v>0</v>
      </c>
      <c r="AA199" s="367">
        <f t="shared" si="99"/>
        <v>0</v>
      </c>
      <c r="AB199" s="369" t="str">
        <f t="shared" si="100"/>
        <v>Não Iniciada</v>
      </c>
      <c r="AC199" s="365"/>
      <c r="AD199" s="368">
        <v>1</v>
      </c>
      <c r="AE199" s="368">
        <f t="shared" si="121"/>
        <v>-1</v>
      </c>
      <c r="AF199" s="365"/>
      <c r="AG199" s="863">
        <f t="shared" si="110"/>
        <v>0</v>
      </c>
      <c r="AH199" s="864">
        <f t="shared" si="122"/>
        <v>0</v>
      </c>
      <c r="AI199" s="863">
        <f t="shared" si="111"/>
        <v>0</v>
      </c>
      <c r="AJ199" s="864">
        <f t="shared" si="123"/>
        <v>0</v>
      </c>
      <c r="AK199" s="365"/>
      <c r="AL199" s="865">
        <f t="shared" si="112"/>
        <v>0</v>
      </c>
      <c r="AM199" s="866">
        <f t="shared" si="124"/>
        <v>0</v>
      </c>
      <c r="AN199" s="866">
        <f t="shared" si="125"/>
        <v>0</v>
      </c>
      <c r="AO199" s="866">
        <f t="shared" si="126"/>
        <v>0</v>
      </c>
      <c r="AP199" s="867">
        <f t="shared" si="127"/>
        <v>0</v>
      </c>
      <c r="AQ199" s="591">
        <f t="shared" si="113"/>
        <v>0</v>
      </c>
      <c r="AR199" s="868">
        <f>IF(AND($L199=0,$P199=0)=TRUE,VLOOKUP($E199,Plan3!$A$16:$CT$487,$E$7+3,0)/100,0)</f>
        <v>0</v>
      </c>
      <c r="AS199" s="868">
        <f>IF(AND($L199=0,$P199=0)=TRUE,VLOOKUP($E199,Plan3!$A$16:$CT$487,$E$7+6,0)/100,0)</f>
        <v>0</v>
      </c>
      <c r="AT199" s="868">
        <f>IF(AND($L199=0,$P199=0)=TRUE,VLOOKUP($E199,Plan3!$A$16:$CT$487,$E$7+9,0)/100,0)</f>
        <v>0</v>
      </c>
      <c r="AU199" s="868">
        <f>IF(AND($L199=0,$P199=0)=TRUE,VLOOKUP($E199,Plan3!$A$16:$CT$487,$E$7+12,0)/100,0)</f>
        <v>0</v>
      </c>
      <c r="AV199" s="841"/>
      <c r="AW199" s="869">
        <f t="shared" si="128"/>
        <v>0</v>
      </c>
      <c r="AX199" s="870">
        <f t="shared" si="129"/>
        <v>0</v>
      </c>
      <c r="AY199" s="871">
        <f t="shared" si="130"/>
        <v>0</v>
      </c>
      <c r="AZ199" s="237" t="str">
        <f t="shared" si="101"/>
        <v xml:space="preserve">10.005.001.005 </v>
      </c>
      <c r="BA199" s="365"/>
      <c r="BB199" s="365"/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872">
        <f t="shared" si="102"/>
        <v>0</v>
      </c>
      <c r="BM199" s="873">
        <f t="shared" si="103"/>
        <v>0</v>
      </c>
      <c r="BN199" s="874">
        <f t="shared" si="131"/>
        <v>0</v>
      </c>
      <c r="BO199" s="875">
        <f t="shared" si="104"/>
        <v>0</v>
      </c>
      <c r="BP199" s="875">
        <f t="shared" si="105"/>
        <v>0</v>
      </c>
      <c r="BQ199" s="876">
        <f t="shared" si="132"/>
        <v>0</v>
      </c>
      <c r="BR199" s="877">
        <f t="shared" si="133"/>
        <v>0</v>
      </c>
      <c r="BS199" s="875">
        <f t="shared" si="106"/>
        <v>0</v>
      </c>
      <c r="BT199" s="875">
        <f t="shared" si="107"/>
        <v>0</v>
      </c>
      <c r="BU199" s="878">
        <f t="shared" si="134"/>
        <v>0</v>
      </c>
      <c r="CE199" s="486">
        <v>187</v>
      </c>
    </row>
    <row r="200" spans="1:83" s="177" customFormat="1" ht="21.95" customHeight="1" x14ac:dyDescent="0.2">
      <c r="A200" s="237">
        <f t="shared" si="108"/>
        <v>0</v>
      </c>
      <c r="B200" s="237">
        <f t="shared" si="109"/>
        <v>0</v>
      </c>
      <c r="C200" s="393">
        <f t="shared" si="94"/>
        <v>0</v>
      </c>
      <c r="D200" s="393" t="str">
        <f t="shared" si="95"/>
        <v xml:space="preserve">10 </v>
      </c>
      <c r="E200" s="959" t="s">
        <v>2268</v>
      </c>
      <c r="F200" s="959" t="s">
        <v>2110</v>
      </c>
      <c r="G200" s="959" t="s">
        <v>90</v>
      </c>
      <c r="H200" s="970">
        <v>29.96</v>
      </c>
      <c r="I200" s="965">
        <v>216.77</v>
      </c>
      <c r="J200" s="964">
        <v>6494.43</v>
      </c>
      <c r="K200" s="367">
        <v>0</v>
      </c>
      <c r="L200" s="367">
        <f>IF($H200="",0,VLOOKUP($E200,Plan3!$A$16:$CT$384,$E$7,0)%)</f>
        <v>0</v>
      </c>
      <c r="M200" s="368">
        <f t="shared" si="114"/>
        <v>0</v>
      </c>
      <c r="N200" s="368">
        <f t="shared" si="115"/>
        <v>0</v>
      </c>
      <c r="O200" s="367">
        <v>0</v>
      </c>
      <c r="P200" s="367">
        <f>VLOOKUP($E200,Plan3!$A$492:$P$858,13,0)%</f>
        <v>0</v>
      </c>
      <c r="Q200" s="368">
        <f t="shared" si="116"/>
        <v>0</v>
      </c>
      <c r="R200" s="368">
        <f t="shared" si="117"/>
        <v>0</v>
      </c>
      <c r="S200" s="880">
        <v>6569.7653880000007</v>
      </c>
      <c r="T200" s="880">
        <f t="shared" si="118"/>
        <v>0</v>
      </c>
      <c r="U200" s="880">
        <f>IF($I200="",0,($S200-$T200)*(1+('Econômico Macro'!$R$12/100)))</f>
        <v>6683.4223292124016</v>
      </c>
      <c r="V200" s="880">
        <f t="shared" si="119"/>
        <v>6683.4223292124016</v>
      </c>
      <c r="W200" s="880">
        <f t="shared" si="120"/>
        <v>0</v>
      </c>
      <c r="X200" s="367">
        <f t="shared" si="96"/>
        <v>0</v>
      </c>
      <c r="Y200" s="367">
        <f t="shared" si="97"/>
        <v>0</v>
      </c>
      <c r="Z200" s="367">
        <f t="shared" si="98"/>
        <v>0</v>
      </c>
      <c r="AA200" s="367">
        <f t="shared" si="99"/>
        <v>0</v>
      </c>
      <c r="AB200" s="369" t="str">
        <f t="shared" si="100"/>
        <v>Não Iniciada</v>
      </c>
      <c r="AC200" s="365"/>
      <c r="AD200" s="368">
        <v>1</v>
      </c>
      <c r="AE200" s="368">
        <f t="shared" si="121"/>
        <v>-1</v>
      </c>
      <c r="AF200" s="365"/>
      <c r="AG200" s="863">
        <f t="shared" si="110"/>
        <v>0</v>
      </c>
      <c r="AH200" s="864">
        <f t="shared" si="122"/>
        <v>0</v>
      </c>
      <c r="AI200" s="863">
        <f t="shared" si="111"/>
        <v>0</v>
      </c>
      <c r="AJ200" s="864">
        <f t="shared" si="123"/>
        <v>0</v>
      </c>
      <c r="AK200" s="365"/>
      <c r="AL200" s="865">
        <f t="shared" si="112"/>
        <v>0</v>
      </c>
      <c r="AM200" s="866">
        <f t="shared" si="124"/>
        <v>0</v>
      </c>
      <c r="AN200" s="866">
        <f t="shared" si="125"/>
        <v>0</v>
      </c>
      <c r="AO200" s="866">
        <f t="shared" si="126"/>
        <v>0</v>
      </c>
      <c r="AP200" s="867">
        <f t="shared" si="127"/>
        <v>0</v>
      </c>
      <c r="AQ200" s="591">
        <f t="shared" si="113"/>
        <v>0</v>
      </c>
      <c r="AR200" s="868">
        <f>IF(AND($L200=0,$P200=0)=TRUE,VLOOKUP($E200,Plan3!$A$16:$CT$487,$E$7+3,0)/100,0)</f>
        <v>0</v>
      </c>
      <c r="AS200" s="868">
        <f>IF(AND($L200=0,$P200=0)=TRUE,VLOOKUP($E200,Plan3!$A$16:$CT$487,$E$7+6,0)/100,0)</f>
        <v>0</v>
      </c>
      <c r="AT200" s="868">
        <f>IF(AND($L200=0,$P200=0)=TRUE,VLOOKUP($E200,Plan3!$A$16:$CT$487,$E$7+9,0)/100,0)</f>
        <v>0</v>
      </c>
      <c r="AU200" s="868">
        <f>IF(AND($L200=0,$P200=0)=TRUE,VLOOKUP($E200,Plan3!$A$16:$CT$487,$E$7+12,0)/100,0)</f>
        <v>0</v>
      </c>
      <c r="AV200" s="841"/>
      <c r="AW200" s="869">
        <f t="shared" si="128"/>
        <v>0</v>
      </c>
      <c r="AX200" s="870">
        <f t="shared" si="129"/>
        <v>0</v>
      </c>
      <c r="AY200" s="871">
        <f t="shared" si="130"/>
        <v>0</v>
      </c>
      <c r="AZ200" s="237" t="str">
        <f t="shared" si="101"/>
        <v xml:space="preserve">10.005.001.006 </v>
      </c>
      <c r="BA200" s="365"/>
      <c r="BB200" s="365"/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872">
        <f t="shared" si="102"/>
        <v>0</v>
      </c>
      <c r="BM200" s="873">
        <f t="shared" si="103"/>
        <v>0</v>
      </c>
      <c r="BN200" s="874">
        <f t="shared" si="131"/>
        <v>0</v>
      </c>
      <c r="BO200" s="875">
        <f t="shared" si="104"/>
        <v>0</v>
      </c>
      <c r="BP200" s="875">
        <f t="shared" si="105"/>
        <v>0</v>
      </c>
      <c r="BQ200" s="876">
        <f t="shared" si="132"/>
        <v>0</v>
      </c>
      <c r="BR200" s="877">
        <f t="shared" si="133"/>
        <v>0</v>
      </c>
      <c r="BS200" s="875">
        <f t="shared" si="106"/>
        <v>0</v>
      </c>
      <c r="BT200" s="875">
        <f t="shared" si="107"/>
        <v>0</v>
      </c>
      <c r="BU200" s="878">
        <f t="shared" si="134"/>
        <v>0</v>
      </c>
      <c r="CE200" s="486">
        <v>188</v>
      </c>
    </row>
    <row r="201" spans="1:83" s="177" customFormat="1" ht="21.95" customHeight="1" x14ac:dyDescent="0.2">
      <c r="A201" s="237">
        <f t="shared" si="108"/>
        <v>0</v>
      </c>
      <c r="B201" s="237">
        <f t="shared" si="109"/>
        <v>0</v>
      </c>
      <c r="C201" s="393">
        <f t="shared" si="94"/>
        <v>0</v>
      </c>
      <c r="D201" s="393" t="str">
        <f t="shared" si="95"/>
        <v xml:space="preserve">10 </v>
      </c>
      <c r="E201" s="959" t="s">
        <v>2269</v>
      </c>
      <c r="F201" s="959" t="s">
        <v>2111</v>
      </c>
      <c r="G201" s="959" t="s">
        <v>15</v>
      </c>
      <c r="H201" s="970">
        <v>29.96</v>
      </c>
      <c r="I201" s="970">
        <v>97.605000000000004</v>
      </c>
      <c r="J201" s="964">
        <v>2924.25</v>
      </c>
      <c r="K201" s="367">
        <v>0</v>
      </c>
      <c r="L201" s="367">
        <f>IF($H201="",0,VLOOKUP($E201,Plan3!$A$16:$CT$384,$E$7,0)%)</f>
        <v>0</v>
      </c>
      <c r="M201" s="368">
        <f t="shared" si="114"/>
        <v>0</v>
      </c>
      <c r="N201" s="368">
        <f t="shared" si="115"/>
        <v>0</v>
      </c>
      <c r="O201" s="367">
        <v>0</v>
      </c>
      <c r="P201" s="367">
        <f>VLOOKUP($E201,Plan3!$A$492:$P$858,13,0)%</f>
        <v>0</v>
      </c>
      <c r="Q201" s="368">
        <f t="shared" si="116"/>
        <v>0</v>
      </c>
      <c r="R201" s="368">
        <f t="shared" si="117"/>
        <v>0</v>
      </c>
      <c r="S201" s="880">
        <v>2958.1713</v>
      </c>
      <c r="T201" s="880">
        <f t="shared" si="118"/>
        <v>0</v>
      </c>
      <c r="U201" s="880">
        <f>IF($I201="",0,($S201-$T201)*(1+('Econômico Macro'!$R$12/100)))</f>
        <v>3009.3476634900003</v>
      </c>
      <c r="V201" s="880">
        <f t="shared" si="119"/>
        <v>3009.3476634900003</v>
      </c>
      <c r="W201" s="880">
        <f t="shared" si="120"/>
        <v>0</v>
      </c>
      <c r="X201" s="367">
        <f t="shared" si="96"/>
        <v>0</v>
      </c>
      <c r="Y201" s="367">
        <f t="shared" si="97"/>
        <v>0</v>
      </c>
      <c r="Z201" s="367">
        <f t="shared" si="98"/>
        <v>0</v>
      </c>
      <c r="AA201" s="367">
        <f t="shared" si="99"/>
        <v>0</v>
      </c>
      <c r="AB201" s="369" t="str">
        <f t="shared" si="100"/>
        <v>Não Iniciada</v>
      </c>
      <c r="AC201" s="365"/>
      <c r="AD201" s="368">
        <v>1</v>
      </c>
      <c r="AE201" s="368">
        <f t="shared" si="121"/>
        <v>-1</v>
      </c>
      <c r="AF201" s="365"/>
      <c r="AG201" s="863">
        <f t="shared" si="110"/>
        <v>0</v>
      </c>
      <c r="AH201" s="864">
        <f t="shared" si="122"/>
        <v>0</v>
      </c>
      <c r="AI201" s="863">
        <f t="shared" si="111"/>
        <v>0</v>
      </c>
      <c r="AJ201" s="864">
        <f t="shared" si="123"/>
        <v>0</v>
      </c>
      <c r="AK201" s="365"/>
      <c r="AL201" s="865">
        <f t="shared" si="112"/>
        <v>0</v>
      </c>
      <c r="AM201" s="866">
        <f t="shared" si="124"/>
        <v>0</v>
      </c>
      <c r="AN201" s="866">
        <f t="shared" si="125"/>
        <v>0</v>
      </c>
      <c r="AO201" s="866">
        <f t="shared" si="126"/>
        <v>0</v>
      </c>
      <c r="AP201" s="867">
        <f t="shared" si="127"/>
        <v>0</v>
      </c>
      <c r="AQ201" s="591">
        <f t="shared" si="113"/>
        <v>0</v>
      </c>
      <c r="AR201" s="868">
        <f>IF(AND($L201=0,$P201=0)=TRUE,VLOOKUP($E201,Plan3!$A$16:$CT$487,$E$7+3,0)/100,0)</f>
        <v>0</v>
      </c>
      <c r="AS201" s="868">
        <f>IF(AND($L201=0,$P201=0)=TRUE,VLOOKUP($E201,Plan3!$A$16:$CT$487,$E$7+6,0)/100,0)</f>
        <v>0</v>
      </c>
      <c r="AT201" s="868">
        <f>IF(AND($L201=0,$P201=0)=TRUE,VLOOKUP($E201,Plan3!$A$16:$CT$487,$E$7+9,0)/100,0)</f>
        <v>0</v>
      </c>
      <c r="AU201" s="868">
        <f>IF(AND($L201=0,$P201=0)=TRUE,VLOOKUP($E201,Plan3!$A$16:$CT$487,$E$7+12,0)/100,0)</f>
        <v>0</v>
      </c>
      <c r="AV201" s="841"/>
      <c r="AW201" s="869">
        <f t="shared" si="128"/>
        <v>0</v>
      </c>
      <c r="AX201" s="870">
        <f t="shared" si="129"/>
        <v>0</v>
      </c>
      <c r="AY201" s="871">
        <f t="shared" si="130"/>
        <v>0</v>
      </c>
      <c r="AZ201" s="237" t="str">
        <f t="shared" si="101"/>
        <v xml:space="preserve">10.005.001.007 </v>
      </c>
      <c r="BA201" s="365"/>
      <c r="BB201" s="365"/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872">
        <f t="shared" si="102"/>
        <v>0</v>
      </c>
      <c r="BM201" s="873">
        <f t="shared" si="103"/>
        <v>0</v>
      </c>
      <c r="BN201" s="874">
        <f t="shared" si="131"/>
        <v>0</v>
      </c>
      <c r="BO201" s="875">
        <f t="shared" si="104"/>
        <v>0</v>
      </c>
      <c r="BP201" s="875">
        <f t="shared" si="105"/>
        <v>0</v>
      </c>
      <c r="BQ201" s="876">
        <f t="shared" si="132"/>
        <v>0</v>
      </c>
      <c r="BR201" s="877">
        <f t="shared" si="133"/>
        <v>0</v>
      </c>
      <c r="BS201" s="875">
        <f t="shared" si="106"/>
        <v>0</v>
      </c>
      <c r="BT201" s="875">
        <f t="shared" si="107"/>
        <v>0</v>
      </c>
      <c r="BU201" s="878">
        <f t="shared" si="134"/>
        <v>0</v>
      </c>
      <c r="CE201" s="486">
        <v>189</v>
      </c>
    </row>
    <row r="202" spans="1:83" s="177" customFormat="1" ht="21.95" customHeight="1" x14ac:dyDescent="0.2">
      <c r="A202" s="237">
        <f t="shared" si="108"/>
        <v>0</v>
      </c>
      <c r="B202" s="237">
        <f t="shared" si="109"/>
        <v>0</v>
      </c>
      <c r="C202" s="393">
        <f t="shared" si="94"/>
        <v>0</v>
      </c>
      <c r="D202" s="393" t="str">
        <f t="shared" si="95"/>
        <v xml:space="preserve">10 </v>
      </c>
      <c r="E202" s="959" t="s">
        <v>2270</v>
      </c>
      <c r="F202" s="959" t="s">
        <v>2271</v>
      </c>
      <c r="G202" s="959" t="s">
        <v>90</v>
      </c>
      <c r="H202" s="970">
        <v>29.96</v>
      </c>
      <c r="I202" s="970">
        <v>33</v>
      </c>
      <c r="J202" s="966">
        <v>988.68</v>
      </c>
      <c r="K202" s="367">
        <v>0</v>
      </c>
      <c r="L202" s="367">
        <f>IF($H202="",0,VLOOKUP($E202,Plan3!$A$16:$CT$384,$E$7,0)%)</f>
        <v>0</v>
      </c>
      <c r="M202" s="368">
        <f t="shared" si="114"/>
        <v>0</v>
      </c>
      <c r="N202" s="368">
        <f t="shared" si="115"/>
        <v>0</v>
      </c>
      <c r="O202" s="367">
        <v>0</v>
      </c>
      <c r="P202" s="367">
        <f>VLOOKUP($E202,Plan3!$A$492:$P$858,13,0)%</f>
        <v>0</v>
      </c>
      <c r="Q202" s="368">
        <f t="shared" si="116"/>
        <v>0</v>
      </c>
      <c r="R202" s="368">
        <f t="shared" si="117"/>
        <v>0</v>
      </c>
      <c r="S202" s="880">
        <v>1000.148688</v>
      </c>
      <c r="T202" s="880">
        <f t="shared" si="118"/>
        <v>0</v>
      </c>
      <c r="U202" s="880">
        <f>IF($I202="",0,($S202-$T202)*(1+('Econômico Macro'!$R$12/100)))</f>
        <v>1017.4512603024001</v>
      </c>
      <c r="V202" s="880">
        <f t="shared" si="119"/>
        <v>1017.4512603024001</v>
      </c>
      <c r="W202" s="880">
        <f t="shared" si="120"/>
        <v>0</v>
      </c>
      <c r="X202" s="367">
        <f t="shared" si="96"/>
        <v>0</v>
      </c>
      <c r="Y202" s="367">
        <f t="shared" si="97"/>
        <v>0</v>
      </c>
      <c r="Z202" s="367">
        <f t="shared" si="98"/>
        <v>0</v>
      </c>
      <c r="AA202" s="367">
        <f t="shared" si="99"/>
        <v>0</v>
      </c>
      <c r="AB202" s="369" t="str">
        <f t="shared" si="100"/>
        <v>Não Iniciada</v>
      </c>
      <c r="AC202" s="365"/>
      <c r="AD202" s="368">
        <v>1</v>
      </c>
      <c r="AE202" s="368">
        <f t="shared" si="121"/>
        <v>-1</v>
      </c>
      <c r="AF202" s="365"/>
      <c r="AG202" s="863">
        <f t="shared" si="110"/>
        <v>0</v>
      </c>
      <c r="AH202" s="864">
        <f t="shared" si="122"/>
        <v>0</v>
      </c>
      <c r="AI202" s="863">
        <f t="shared" si="111"/>
        <v>0</v>
      </c>
      <c r="AJ202" s="864">
        <f t="shared" si="123"/>
        <v>0</v>
      </c>
      <c r="AK202" s="365"/>
      <c r="AL202" s="865">
        <f t="shared" si="112"/>
        <v>0</v>
      </c>
      <c r="AM202" s="866">
        <f t="shared" si="124"/>
        <v>0</v>
      </c>
      <c r="AN202" s="866">
        <f t="shared" si="125"/>
        <v>0</v>
      </c>
      <c r="AO202" s="866">
        <f t="shared" si="126"/>
        <v>0</v>
      </c>
      <c r="AP202" s="867">
        <f t="shared" si="127"/>
        <v>0</v>
      </c>
      <c r="AQ202" s="591">
        <f t="shared" si="113"/>
        <v>0</v>
      </c>
      <c r="AR202" s="868">
        <f>IF(AND($L202=0,$P202=0)=TRUE,VLOOKUP($E202,Plan3!$A$16:$CT$487,$E$7+3,0)/100,0)</f>
        <v>0</v>
      </c>
      <c r="AS202" s="868">
        <f>IF(AND($L202=0,$P202=0)=TRUE,VLOOKUP($E202,Plan3!$A$16:$CT$487,$E$7+6,0)/100,0)</f>
        <v>0</v>
      </c>
      <c r="AT202" s="868">
        <f>IF(AND($L202=0,$P202=0)=TRUE,VLOOKUP($E202,Plan3!$A$16:$CT$487,$E$7+9,0)/100,0)</f>
        <v>0</v>
      </c>
      <c r="AU202" s="868">
        <f>IF(AND($L202=0,$P202=0)=TRUE,VLOOKUP($E202,Plan3!$A$16:$CT$487,$E$7+12,0)/100,0)</f>
        <v>0</v>
      </c>
      <c r="AV202" s="841"/>
      <c r="AW202" s="869">
        <f t="shared" si="128"/>
        <v>0</v>
      </c>
      <c r="AX202" s="870">
        <f t="shared" si="129"/>
        <v>0</v>
      </c>
      <c r="AY202" s="871">
        <f t="shared" si="130"/>
        <v>0</v>
      </c>
      <c r="AZ202" s="237" t="str">
        <f t="shared" si="101"/>
        <v xml:space="preserve">10.005.001.008 </v>
      </c>
      <c r="BA202" s="365"/>
      <c r="BB202" s="365"/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872">
        <f t="shared" si="102"/>
        <v>0</v>
      </c>
      <c r="BM202" s="873">
        <f t="shared" si="103"/>
        <v>0</v>
      </c>
      <c r="BN202" s="874">
        <f t="shared" si="131"/>
        <v>0</v>
      </c>
      <c r="BO202" s="875">
        <f t="shared" si="104"/>
        <v>0</v>
      </c>
      <c r="BP202" s="875">
        <f t="shared" si="105"/>
        <v>0</v>
      </c>
      <c r="BQ202" s="876">
        <f t="shared" si="132"/>
        <v>0</v>
      </c>
      <c r="BR202" s="877">
        <f t="shared" si="133"/>
        <v>0</v>
      </c>
      <c r="BS202" s="875">
        <f t="shared" si="106"/>
        <v>0</v>
      </c>
      <c r="BT202" s="875">
        <f t="shared" si="107"/>
        <v>0</v>
      </c>
      <c r="BU202" s="878">
        <f t="shared" si="134"/>
        <v>0</v>
      </c>
      <c r="CE202" s="486">
        <v>190</v>
      </c>
    </row>
    <row r="203" spans="1:83" s="177" customFormat="1" ht="21.95" customHeight="1" x14ac:dyDescent="0.2">
      <c r="A203" s="237">
        <f t="shared" si="108"/>
        <v>0</v>
      </c>
      <c r="B203" s="237">
        <f t="shared" si="109"/>
        <v>0</v>
      </c>
      <c r="C203" s="393">
        <f t="shared" si="94"/>
        <v>0</v>
      </c>
      <c r="D203" s="393" t="str">
        <f t="shared" si="95"/>
        <v xml:space="preserve">10 </v>
      </c>
      <c r="E203" s="967" t="s">
        <v>1460</v>
      </c>
      <c r="F203" s="967" t="s">
        <v>1461</v>
      </c>
      <c r="G203" s="967"/>
      <c r="H203" s="968"/>
      <c r="I203" s="968"/>
      <c r="J203" s="975">
        <v>253.48</v>
      </c>
      <c r="K203" s="367">
        <v>0</v>
      </c>
      <c r="L203" s="367">
        <f>IF($H203="",0,VLOOKUP($E203,Plan3!$A$16:$CT$384,$E$7,0)%)</f>
        <v>0</v>
      </c>
      <c r="M203" s="368">
        <f t="shared" si="114"/>
        <v>0</v>
      </c>
      <c r="N203" s="368">
        <f t="shared" si="115"/>
        <v>0</v>
      </c>
      <c r="O203" s="367">
        <v>0</v>
      </c>
      <c r="P203" s="367">
        <f>VLOOKUP($E203,Plan3!$A$492:$P$858,13,0)%</f>
        <v>0</v>
      </c>
      <c r="Q203" s="368">
        <f t="shared" si="116"/>
        <v>0</v>
      </c>
      <c r="R203" s="368">
        <f t="shared" si="117"/>
        <v>0</v>
      </c>
      <c r="S203" s="880">
        <v>0</v>
      </c>
      <c r="T203" s="880">
        <f t="shared" si="118"/>
        <v>0</v>
      </c>
      <c r="U203" s="880">
        <f>IF($I203="",0,($S203-$T203)*(1+('Econômico Macro'!$R$12/100)))</f>
        <v>0</v>
      </c>
      <c r="V203" s="880">
        <f t="shared" si="119"/>
        <v>0</v>
      </c>
      <c r="W203" s="880">
        <f t="shared" si="120"/>
        <v>0</v>
      </c>
      <c r="X203" s="367">
        <f t="shared" si="96"/>
        <v>0</v>
      </c>
      <c r="Y203" s="367">
        <f t="shared" si="97"/>
        <v>0</v>
      </c>
      <c r="Z203" s="367">
        <f t="shared" si="98"/>
        <v>0</v>
      </c>
      <c r="AA203" s="367">
        <f t="shared" si="99"/>
        <v>0</v>
      </c>
      <c r="AB203" s="369" t="str">
        <f t="shared" si="100"/>
        <v>Não Iniciada</v>
      </c>
      <c r="AC203" s="365"/>
      <c r="AD203" s="368">
        <v>1</v>
      </c>
      <c r="AE203" s="368">
        <f t="shared" si="121"/>
        <v>-1</v>
      </c>
      <c r="AF203" s="365"/>
      <c r="AG203" s="863">
        <f t="shared" si="110"/>
        <v>0</v>
      </c>
      <c r="AH203" s="864">
        <f t="shared" si="122"/>
        <v>0</v>
      </c>
      <c r="AI203" s="863">
        <f t="shared" si="111"/>
        <v>0</v>
      </c>
      <c r="AJ203" s="864">
        <f t="shared" si="123"/>
        <v>0</v>
      </c>
      <c r="AK203" s="365"/>
      <c r="AL203" s="865">
        <f t="shared" si="112"/>
        <v>0</v>
      </c>
      <c r="AM203" s="866">
        <f t="shared" si="124"/>
        <v>0</v>
      </c>
      <c r="AN203" s="866">
        <f t="shared" si="125"/>
        <v>0</v>
      </c>
      <c r="AO203" s="866">
        <f t="shared" si="126"/>
        <v>0</v>
      </c>
      <c r="AP203" s="867">
        <f t="shared" si="127"/>
        <v>0</v>
      </c>
      <c r="AQ203" s="591"/>
      <c r="AR203" s="868"/>
      <c r="AS203" s="868"/>
      <c r="AT203" s="868"/>
      <c r="AU203" s="868"/>
      <c r="AV203" s="841"/>
      <c r="AW203" s="869"/>
      <c r="AX203" s="870"/>
      <c r="AY203" s="871"/>
      <c r="AZ203" s="237" t="str">
        <f t="shared" si="101"/>
        <v xml:space="preserve">10.005.002 </v>
      </c>
      <c r="BA203" s="365"/>
      <c r="BB203" s="365"/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872">
        <f t="shared" si="102"/>
        <v>0</v>
      </c>
      <c r="BM203" s="873">
        <f t="shared" si="103"/>
        <v>0</v>
      </c>
      <c r="BN203" s="874">
        <f t="shared" si="131"/>
        <v>0</v>
      </c>
      <c r="BO203" s="875">
        <f t="shared" si="104"/>
        <v>0</v>
      </c>
      <c r="BP203" s="875">
        <f t="shared" si="105"/>
        <v>0</v>
      </c>
      <c r="BQ203" s="876">
        <f t="shared" si="132"/>
        <v>0</v>
      </c>
      <c r="BR203" s="877">
        <f t="shared" si="133"/>
        <v>0</v>
      </c>
      <c r="BS203" s="875">
        <f t="shared" si="106"/>
        <v>0</v>
      </c>
      <c r="BT203" s="875">
        <f t="shared" si="107"/>
        <v>0</v>
      </c>
      <c r="BU203" s="878">
        <f t="shared" si="134"/>
        <v>0</v>
      </c>
      <c r="CE203" s="486">
        <v>191</v>
      </c>
    </row>
    <row r="204" spans="1:83" s="177" customFormat="1" ht="21.95" customHeight="1" x14ac:dyDescent="0.2">
      <c r="A204" s="237">
        <f t="shared" si="108"/>
        <v>0</v>
      </c>
      <c r="B204" s="237">
        <f t="shared" si="109"/>
        <v>0</v>
      </c>
      <c r="C204" s="393">
        <f t="shared" si="94"/>
        <v>0</v>
      </c>
      <c r="D204" s="393" t="str">
        <f t="shared" si="95"/>
        <v xml:space="preserve">10 </v>
      </c>
      <c r="E204" s="959" t="s">
        <v>1462</v>
      </c>
      <c r="F204" s="959" t="s">
        <v>1966</v>
      </c>
      <c r="G204" s="959" t="s">
        <v>15</v>
      </c>
      <c r="H204" s="970">
        <v>10.72</v>
      </c>
      <c r="I204" s="970">
        <v>10.446099999999999</v>
      </c>
      <c r="J204" s="966">
        <v>111.98</v>
      </c>
      <c r="K204" s="367">
        <v>0</v>
      </c>
      <c r="L204" s="367">
        <f>IF($H204="",0,VLOOKUP($E204,Plan3!$A$16:$CT$384,$E$7,0)%)</f>
        <v>0</v>
      </c>
      <c r="M204" s="368">
        <f t="shared" si="114"/>
        <v>0</v>
      </c>
      <c r="N204" s="368">
        <f t="shared" si="115"/>
        <v>0</v>
      </c>
      <c r="O204" s="367">
        <v>0</v>
      </c>
      <c r="P204" s="367">
        <f>VLOOKUP($E204,Plan3!$A$492:$P$858,13,0)%</f>
        <v>0</v>
      </c>
      <c r="Q204" s="368">
        <f t="shared" si="116"/>
        <v>0</v>
      </c>
      <c r="R204" s="368">
        <f t="shared" si="117"/>
        <v>0</v>
      </c>
      <c r="S204" s="880">
        <v>113.27896800000001</v>
      </c>
      <c r="T204" s="880">
        <f t="shared" si="118"/>
        <v>0</v>
      </c>
      <c r="U204" s="880">
        <f>IF($I204="",0,($S204-$T204)*(1+('Econômico Macro'!$R$12/100)))</f>
        <v>115.23869414640002</v>
      </c>
      <c r="V204" s="880">
        <f t="shared" si="119"/>
        <v>115.23869414640002</v>
      </c>
      <c r="W204" s="880">
        <f t="shared" si="120"/>
        <v>0</v>
      </c>
      <c r="X204" s="367">
        <f t="shared" si="96"/>
        <v>0</v>
      </c>
      <c r="Y204" s="367">
        <f t="shared" si="97"/>
        <v>0</v>
      </c>
      <c r="Z204" s="367">
        <f t="shared" si="98"/>
        <v>0</v>
      </c>
      <c r="AA204" s="367">
        <f t="shared" si="99"/>
        <v>0</v>
      </c>
      <c r="AB204" s="369" t="str">
        <f t="shared" si="100"/>
        <v>Não Iniciada</v>
      </c>
      <c r="AC204" s="365"/>
      <c r="AD204" s="368">
        <v>1</v>
      </c>
      <c r="AE204" s="368">
        <f t="shared" si="121"/>
        <v>-1</v>
      </c>
      <c r="AF204" s="365"/>
      <c r="AG204" s="863">
        <f t="shared" si="110"/>
        <v>0</v>
      </c>
      <c r="AH204" s="864">
        <f t="shared" si="122"/>
        <v>0</v>
      </c>
      <c r="AI204" s="863">
        <f t="shared" si="111"/>
        <v>0</v>
      </c>
      <c r="AJ204" s="864">
        <f t="shared" si="123"/>
        <v>0</v>
      </c>
      <c r="AK204" s="365"/>
      <c r="AL204" s="865">
        <f t="shared" si="112"/>
        <v>0</v>
      </c>
      <c r="AM204" s="866">
        <f t="shared" si="124"/>
        <v>0</v>
      </c>
      <c r="AN204" s="866">
        <f t="shared" si="125"/>
        <v>0</v>
      </c>
      <c r="AO204" s="866">
        <f t="shared" si="126"/>
        <v>0</v>
      </c>
      <c r="AP204" s="867">
        <f t="shared" si="127"/>
        <v>0</v>
      </c>
      <c r="AQ204" s="591">
        <f t="shared" si="113"/>
        <v>0</v>
      </c>
      <c r="AR204" s="868">
        <f>IF(AND($L204=0,$P204=0)=TRUE,VLOOKUP($E204,Plan3!$A$16:$CT$487,$E$7+3,0)/100,0)</f>
        <v>0</v>
      </c>
      <c r="AS204" s="868">
        <f>IF(AND($L204=0,$P204=0)=TRUE,VLOOKUP($E204,Plan3!$A$16:$CT$487,$E$7+6,0)/100,0)</f>
        <v>0</v>
      </c>
      <c r="AT204" s="868">
        <f>IF(AND($L204=0,$P204=0)=TRUE,VLOOKUP($E204,Plan3!$A$16:$CT$487,$E$7+9,0)/100,0)</f>
        <v>0</v>
      </c>
      <c r="AU204" s="868">
        <f>IF(AND($L204=0,$P204=0)=TRUE,VLOOKUP($E204,Plan3!$A$16:$CT$487,$E$7+12,0)/100,0)</f>
        <v>0</v>
      </c>
      <c r="AV204" s="841"/>
      <c r="AW204" s="869">
        <f t="shared" si="128"/>
        <v>0</v>
      </c>
      <c r="AX204" s="870">
        <f t="shared" si="129"/>
        <v>0</v>
      </c>
      <c r="AY204" s="871">
        <f t="shared" si="130"/>
        <v>0</v>
      </c>
      <c r="AZ204" s="237" t="str">
        <f t="shared" si="101"/>
        <v xml:space="preserve">10.005.002.001 </v>
      </c>
      <c r="BA204" s="365"/>
      <c r="BB204" s="365"/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872">
        <f t="shared" si="102"/>
        <v>0</v>
      </c>
      <c r="BM204" s="873">
        <f t="shared" si="103"/>
        <v>0</v>
      </c>
      <c r="BN204" s="874">
        <f t="shared" si="131"/>
        <v>0</v>
      </c>
      <c r="BO204" s="875">
        <f t="shared" si="104"/>
        <v>0</v>
      </c>
      <c r="BP204" s="875">
        <f t="shared" si="105"/>
        <v>0</v>
      </c>
      <c r="BQ204" s="876">
        <f t="shared" si="132"/>
        <v>0</v>
      </c>
      <c r="BR204" s="877">
        <f t="shared" si="133"/>
        <v>0</v>
      </c>
      <c r="BS204" s="875">
        <f t="shared" si="106"/>
        <v>0</v>
      </c>
      <c r="BT204" s="875">
        <f t="shared" si="107"/>
        <v>0</v>
      </c>
      <c r="BU204" s="878">
        <f t="shared" si="134"/>
        <v>0</v>
      </c>
      <c r="CE204" s="486">
        <v>192</v>
      </c>
    </row>
    <row r="205" spans="1:83" s="177" customFormat="1" ht="21.95" customHeight="1" x14ac:dyDescent="0.2">
      <c r="A205" s="237">
        <f t="shared" si="108"/>
        <v>0</v>
      </c>
      <c r="B205" s="237">
        <f t="shared" si="109"/>
        <v>0</v>
      </c>
      <c r="C205" s="393">
        <f t="shared" ref="C205:C268" si="136">IF($D205=$D204,0,$D205)</f>
        <v>0</v>
      </c>
      <c r="D205" s="393" t="str">
        <f t="shared" ref="D205:D268" si="137">IF(LEFT($E205,3)=$E205,$E205,LEFT($D204,2)&amp;" ")</f>
        <v xml:space="preserve">10 </v>
      </c>
      <c r="E205" s="959" t="s">
        <v>2105</v>
      </c>
      <c r="F205" s="959" t="s">
        <v>2106</v>
      </c>
      <c r="G205" s="959" t="s">
        <v>15</v>
      </c>
      <c r="H205" s="970">
        <v>10.72</v>
      </c>
      <c r="I205" s="970">
        <v>13.2</v>
      </c>
      <c r="J205" s="966">
        <v>141.5</v>
      </c>
      <c r="K205" s="367">
        <v>0</v>
      </c>
      <c r="L205" s="367">
        <f>IF($H205="",0,VLOOKUP($E205,Plan3!$A$16:$CT$384,$E$7,0)%)</f>
        <v>0</v>
      </c>
      <c r="M205" s="368">
        <f t="shared" si="114"/>
        <v>0</v>
      </c>
      <c r="N205" s="368">
        <f t="shared" si="115"/>
        <v>0</v>
      </c>
      <c r="O205" s="367">
        <v>0</v>
      </c>
      <c r="P205" s="367">
        <f>VLOOKUP($E205,Plan3!$A$492:$P$858,13,0)%</f>
        <v>0</v>
      </c>
      <c r="Q205" s="368">
        <f t="shared" si="116"/>
        <v>0</v>
      </c>
      <c r="R205" s="368">
        <f t="shared" si="117"/>
        <v>0</v>
      </c>
      <c r="S205" s="880">
        <v>143.1414</v>
      </c>
      <c r="T205" s="880">
        <f t="shared" si="118"/>
        <v>0</v>
      </c>
      <c r="U205" s="880">
        <f>IF($I205="",0,($S205-$T205)*(1+('Econômico Macro'!$R$12/100)))</f>
        <v>145.61774622000002</v>
      </c>
      <c r="V205" s="880">
        <f t="shared" si="119"/>
        <v>145.61774622000002</v>
      </c>
      <c r="W205" s="880">
        <f t="shared" si="120"/>
        <v>0</v>
      </c>
      <c r="X205" s="367">
        <f t="shared" ref="X205:X268" si="138">$L205-$K205</f>
        <v>0</v>
      </c>
      <c r="Y205" s="367">
        <f t="shared" ref="Y205:Y268" si="139">$P205-$O205</f>
        <v>0</v>
      </c>
      <c r="Z205" s="367">
        <f t="shared" ref="Z205:Z268" si="140">$P205-$L205</f>
        <v>0</v>
      </c>
      <c r="AA205" s="367">
        <f t="shared" ref="AA205:AA268" si="141">$Y205-$X205</f>
        <v>0</v>
      </c>
      <c r="AB205" s="369" t="str">
        <f t="shared" ref="AB205:AB268" si="142">IF($Z205&lt;0,"Atrasada",IF($Z205&gt;0,"Adiantada",IF($P205=0,"Não Iniciada",0)))</f>
        <v>Não Iniciada</v>
      </c>
      <c r="AC205" s="365"/>
      <c r="AD205" s="368">
        <v>1</v>
      </c>
      <c r="AE205" s="368">
        <f t="shared" si="121"/>
        <v>-1</v>
      </c>
      <c r="AF205" s="365"/>
      <c r="AG205" s="863">
        <f t="shared" si="110"/>
        <v>0</v>
      </c>
      <c r="AH205" s="864">
        <f t="shared" si="122"/>
        <v>0</v>
      </c>
      <c r="AI205" s="863">
        <f t="shared" si="111"/>
        <v>0</v>
      </c>
      <c r="AJ205" s="864">
        <f t="shared" si="123"/>
        <v>0</v>
      </c>
      <c r="AK205" s="365"/>
      <c r="AL205" s="865">
        <f t="shared" si="112"/>
        <v>0</v>
      </c>
      <c r="AM205" s="866">
        <f t="shared" si="124"/>
        <v>0</v>
      </c>
      <c r="AN205" s="866">
        <f t="shared" si="125"/>
        <v>0</v>
      </c>
      <c r="AO205" s="866">
        <f t="shared" si="126"/>
        <v>0</v>
      </c>
      <c r="AP205" s="867">
        <f t="shared" si="127"/>
        <v>0</v>
      </c>
      <c r="AQ205" s="591">
        <f t="shared" si="113"/>
        <v>0</v>
      </c>
      <c r="AR205" s="868">
        <f>IF(AND($L205=0,$P205=0)=TRUE,VLOOKUP($E205,Plan3!$A$16:$CT$487,$E$7+3,0)/100,0)</f>
        <v>0</v>
      </c>
      <c r="AS205" s="868">
        <f>IF(AND($L205=0,$P205=0)=TRUE,VLOOKUP($E205,Plan3!$A$16:$CT$487,$E$7+6,0)/100,0)</f>
        <v>0</v>
      </c>
      <c r="AT205" s="868">
        <f>IF(AND($L205=0,$P205=0)=TRUE,VLOOKUP($E205,Plan3!$A$16:$CT$487,$E$7+9,0)/100,0)</f>
        <v>0</v>
      </c>
      <c r="AU205" s="868">
        <f>IF(AND($L205=0,$P205=0)=TRUE,VLOOKUP($E205,Plan3!$A$16:$CT$487,$E$7+12,0)/100,0)</f>
        <v>0</v>
      </c>
      <c r="AV205" s="841"/>
      <c r="AW205" s="869">
        <f t="shared" si="128"/>
        <v>0</v>
      </c>
      <c r="AX205" s="870">
        <f t="shared" si="129"/>
        <v>0</v>
      </c>
      <c r="AY205" s="871">
        <f t="shared" si="130"/>
        <v>0</v>
      </c>
      <c r="AZ205" s="237" t="str">
        <f t="shared" ref="AZ205:AZ268" si="143">$E205</f>
        <v xml:space="preserve">10.005.002.002 </v>
      </c>
      <c r="BA205" s="365"/>
      <c r="BB205" s="365"/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872">
        <f t="shared" ref="BL205:BL268" si="144">IF($D205=$D204,0,$D205)</f>
        <v>0</v>
      </c>
      <c r="BM205" s="873">
        <f t="shared" ref="BM205:BM268" si="145">IF($AC205="s",$R205,0)</f>
        <v>0</v>
      </c>
      <c r="BN205" s="874">
        <f t="shared" si="131"/>
        <v>0</v>
      </c>
      <c r="BO205" s="875">
        <f t="shared" ref="BO205:BO268" si="146">IF(OR($BN205=0,$BN205=0),0,$BL205)</f>
        <v>0</v>
      </c>
      <c r="BP205" s="875">
        <f t="shared" ref="BP205:BP268" si="147">IF($AC205&lt;&gt;"S",0,IF($N205-$R205&lt;0,0,$R205-$N205))</f>
        <v>0</v>
      </c>
      <c r="BQ205" s="876">
        <f t="shared" si="132"/>
        <v>0</v>
      </c>
      <c r="BR205" s="877">
        <f t="shared" si="133"/>
        <v>0</v>
      </c>
      <c r="BS205" s="875">
        <f t="shared" ref="BS205:BS268" si="148">IF(OR($BR205=0,$BR205=0),0,$BL205)</f>
        <v>0</v>
      </c>
      <c r="BT205" s="875">
        <f t="shared" ref="BT205:BT268" si="149">IF($AC205&lt;&gt;"S",0,IF($N205-$R205&gt;0,0,$R205-$N205))</f>
        <v>0</v>
      </c>
      <c r="BU205" s="878">
        <f t="shared" si="134"/>
        <v>0</v>
      </c>
      <c r="CE205" s="486">
        <v>193</v>
      </c>
    </row>
    <row r="206" spans="1:83" s="177" customFormat="1" ht="21.95" customHeight="1" x14ac:dyDescent="0.2">
      <c r="A206" s="237">
        <f t="shared" ref="A206:A269" si="150">AJ206</f>
        <v>0</v>
      </c>
      <c r="B206" s="237">
        <f t="shared" ref="B206:B269" si="151">AH206</f>
        <v>0</v>
      </c>
      <c r="C206" s="393">
        <f t="shared" si="136"/>
        <v>0</v>
      </c>
      <c r="D206" s="393" t="str">
        <f t="shared" si="137"/>
        <v xml:space="preserve">10 </v>
      </c>
      <c r="E206" s="967" t="s">
        <v>1464</v>
      </c>
      <c r="F206" s="967" t="s">
        <v>1465</v>
      </c>
      <c r="G206" s="967"/>
      <c r="H206" s="968"/>
      <c r="I206" s="968"/>
      <c r="J206" s="974">
        <v>7182.88</v>
      </c>
      <c r="K206" s="367">
        <v>0</v>
      </c>
      <c r="L206" s="367">
        <f>IF($H206="",0,VLOOKUP($E206,Plan3!$A$16:$CT$384,$E$7,0)%)</f>
        <v>0</v>
      </c>
      <c r="M206" s="368">
        <f t="shared" si="114"/>
        <v>0</v>
      </c>
      <c r="N206" s="368">
        <f t="shared" si="115"/>
        <v>0</v>
      </c>
      <c r="O206" s="367">
        <v>0</v>
      </c>
      <c r="P206" s="367">
        <f>VLOOKUP($E206,Plan3!$A$492:$P$858,13,0)%</f>
        <v>0</v>
      </c>
      <c r="Q206" s="368">
        <f t="shared" si="116"/>
        <v>0</v>
      </c>
      <c r="R206" s="368">
        <f t="shared" si="117"/>
        <v>0</v>
      </c>
      <c r="S206" s="880">
        <v>0</v>
      </c>
      <c r="T206" s="880">
        <f t="shared" si="118"/>
        <v>0</v>
      </c>
      <c r="U206" s="880">
        <f>IF($I206="",0,($S206-$T206)*(1+('Econômico Macro'!$R$12/100)))</f>
        <v>0</v>
      </c>
      <c r="V206" s="880">
        <f t="shared" si="119"/>
        <v>0</v>
      </c>
      <c r="W206" s="880">
        <f t="shared" si="120"/>
        <v>0</v>
      </c>
      <c r="X206" s="367">
        <f t="shared" si="138"/>
        <v>0</v>
      </c>
      <c r="Y206" s="367">
        <f t="shared" si="139"/>
        <v>0</v>
      </c>
      <c r="Z206" s="367">
        <f t="shared" si="140"/>
        <v>0</v>
      </c>
      <c r="AA206" s="367">
        <f t="shared" si="141"/>
        <v>0</v>
      </c>
      <c r="AB206" s="369" t="str">
        <f t="shared" si="142"/>
        <v>Não Iniciada</v>
      </c>
      <c r="AC206" s="365"/>
      <c r="AD206" s="368">
        <v>1</v>
      </c>
      <c r="AE206" s="368">
        <f t="shared" si="121"/>
        <v>-1</v>
      </c>
      <c r="AF206" s="365"/>
      <c r="AG206" s="863">
        <f t="shared" ref="AG206:AG269" si="152">IF($AB206="Não Iniciada",+$AM206,IF($Z206&lt;1,$AM206,0))</f>
        <v>0</v>
      </c>
      <c r="AH206" s="864">
        <f t="shared" si="122"/>
        <v>0</v>
      </c>
      <c r="AI206" s="863">
        <f t="shared" ref="AI206:AI269" si="153">IF($AB206="Não Iniciada",0,IF($AO206=0,0,IF($AO206=0,0,$AO206)))</f>
        <v>0</v>
      </c>
      <c r="AJ206" s="864">
        <f t="shared" si="123"/>
        <v>0</v>
      </c>
      <c r="AK206" s="365"/>
      <c r="AL206" s="865">
        <f t="shared" ref="AL206:AL269" si="154">$R206</f>
        <v>0</v>
      </c>
      <c r="AM206" s="866">
        <f t="shared" si="124"/>
        <v>0</v>
      </c>
      <c r="AN206" s="866">
        <f t="shared" si="125"/>
        <v>0</v>
      </c>
      <c r="AO206" s="866">
        <f t="shared" si="126"/>
        <v>0</v>
      </c>
      <c r="AP206" s="867">
        <f t="shared" si="127"/>
        <v>0</v>
      </c>
      <c r="AQ206" s="591"/>
      <c r="AR206" s="868"/>
      <c r="AS206" s="868"/>
      <c r="AT206" s="868"/>
      <c r="AU206" s="868"/>
      <c r="AV206" s="841"/>
      <c r="AW206" s="869"/>
      <c r="AX206" s="870"/>
      <c r="AY206" s="871"/>
      <c r="AZ206" s="237" t="str">
        <f t="shared" si="143"/>
        <v xml:space="preserve">10.005.003 </v>
      </c>
      <c r="BA206" s="365"/>
      <c r="BB206" s="365"/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872">
        <f t="shared" si="144"/>
        <v>0</v>
      </c>
      <c r="BM206" s="873">
        <f t="shared" si="145"/>
        <v>0</v>
      </c>
      <c r="BN206" s="874">
        <f t="shared" si="131"/>
        <v>0</v>
      </c>
      <c r="BO206" s="875">
        <f t="shared" si="146"/>
        <v>0</v>
      </c>
      <c r="BP206" s="875">
        <f t="shared" si="147"/>
        <v>0</v>
      </c>
      <c r="BQ206" s="876">
        <f t="shared" si="132"/>
        <v>0</v>
      </c>
      <c r="BR206" s="877">
        <f t="shared" si="133"/>
        <v>0</v>
      </c>
      <c r="BS206" s="875">
        <f t="shared" si="148"/>
        <v>0</v>
      </c>
      <c r="BT206" s="875">
        <f t="shared" si="149"/>
        <v>0</v>
      </c>
      <c r="BU206" s="878">
        <f t="shared" si="134"/>
        <v>0</v>
      </c>
      <c r="CE206" s="486">
        <v>194</v>
      </c>
    </row>
    <row r="207" spans="1:83" s="177" customFormat="1" ht="21.95" customHeight="1" x14ac:dyDescent="0.2">
      <c r="A207" s="237">
        <f t="shared" si="150"/>
        <v>0</v>
      </c>
      <c r="B207" s="237">
        <f t="shared" si="151"/>
        <v>0</v>
      </c>
      <c r="C207" s="393">
        <f t="shared" si="136"/>
        <v>0</v>
      </c>
      <c r="D207" s="393" t="str">
        <f t="shared" si="137"/>
        <v xml:space="preserve">10 </v>
      </c>
      <c r="E207" s="959" t="s">
        <v>1466</v>
      </c>
      <c r="F207" s="959" t="s">
        <v>1967</v>
      </c>
      <c r="G207" s="959" t="s">
        <v>90</v>
      </c>
      <c r="H207" s="963">
        <v>1191.24</v>
      </c>
      <c r="I207" s="960">
        <v>0.188</v>
      </c>
      <c r="J207" s="966">
        <v>223.95</v>
      </c>
      <c r="K207" s="367">
        <v>0</v>
      </c>
      <c r="L207" s="367">
        <f>IF($H207="",0,VLOOKUP($E207,Plan3!$A$16:$CT$384,$E$7,0)%)</f>
        <v>0</v>
      </c>
      <c r="M207" s="368">
        <f t="shared" ref="M207:M270" si="155">$L207*$H207</f>
        <v>0</v>
      </c>
      <c r="N207" s="368">
        <f t="shared" ref="N207:N270" si="156">$L207*$J207</f>
        <v>0</v>
      </c>
      <c r="O207" s="367">
        <v>0</v>
      </c>
      <c r="P207" s="367">
        <f>VLOOKUP($E207,Plan3!$A$492:$P$858,13,0)%</f>
        <v>0</v>
      </c>
      <c r="Q207" s="368">
        <f t="shared" ref="Q207:Q270" si="157">$P207*$H207</f>
        <v>0</v>
      </c>
      <c r="R207" s="368">
        <f t="shared" ref="R207:R270" si="158">$P207*$J207</f>
        <v>0</v>
      </c>
      <c r="S207" s="880">
        <v>226.54782</v>
      </c>
      <c r="T207" s="880">
        <f t="shared" ref="T207:T270" si="159">$S207*$P207</f>
        <v>0</v>
      </c>
      <c r="U207" s="880">
        <f>IF($I207="",0,($S207-$T207)*(1+('Econômico Macro'!$R$12/100)))</f>
        <v>230.46709728600001</v>
      </c>
      <c r="V207" s="880">
        <f t="shared" ref="V207:V270" si="160">$U207+$T207</f>
        <v>230.46709728600001</v>
      </c>
      <c r="W207" s="880">
        <f t="shared" ref="W207:W270" si="161">V207*L207</f>
        <v>0</v>
      </c>
      <c r="X207" s="367">
        <f t="shared" si="138"/>
        <v>0</v>
      </c>
      <c r="Y207" s="367">
        <f t="shared" si="139"/>
        <v>0</v>
      </c>
      <c r="Z207" s="367">
        <f t="shared" si="140"/>
        <v>0</v>
      </c>
      <c r="AA207" s="367">
        <f t="shared" si="141"/>
        <v>0</v>
      </c>
      <c r="AB207" s="369" t="str">
        <f t="shared" si="142"/>
        <v>Não Iniciada</v>
      </c>
      <c r="AC207" s="365"/>
      <c r="AD207" s="368">
        <v>1</v>
      </c>
      <c r="AE207" s="368">
        <f t="shared" ref="AE207:AE270" si="162">Q207-AD207</f>
        <v>-1</v>
      </c>
      <c r="AF207" s="365"/>
      <c r="AG207" s="863">
        <f t="shared" si="152"/>
        <v>0</v>
      </c>
      <c r="AH207" s="864">
        <f t="shared" ref="AH207:AH270" si="163">IF($AN207=0,0,RANK($AN207,$AN$13:$AN$379))</f>
        <v>0</v>
      </c>
      <c r="AI207" s="863">
        <f t="shared" si="153"/>
        <v>0</v>
      </c>
      <c r="AJ207" s="864">
        <f t="shared" ref="AJ207:AJ270" si="164">IF($AP207=0,0,RANK($AP207,$AP$13:$AP$379))</f>
        <v>0</v>
      </c>
      <c r="AK207" s="365"/>
      <c r="AL207" s="865">
        <f t="shared" si="154"/>
        <v>0</v>
      </c>
      <c r="AM207" s="866">
        <f t="shared" ref="AM207:AM270" si="165">IF($H207="",0,IF(+$N207-$AL207&lt;0,0,+$AL207-$N207))</f>
        <v>0</v>
      </c>
      <c r="AN207" s="866">
        <f t="shared" ref="AN207:AN270" si="166">IF($AM207=0,0,$AM207/$AM$380)</f>
        <v>0</v>
      </c>
      <c r="AO207" s="866">
        <f t="shared" ref="AO207:AO270" si="167">IF($H207="",0,IF($Z207*1000&lt;1,0,IF(+$N207-$R207&gt;0,0,+$R207-$N207)))</f>
        <v>0</v>
      </c>
      <c r="AP207" s="867">
        <f t="shared" ref="AP207:AP270" si="168">IF($AO207=0,0,$AO207/$AO$380)</f>
        <v>0</v>
      </c>
      <c r="AQ207" s="591">
        <f t="shared" ref="AQ207:AQ269" si="169">$AY207</f>
        <v>0</v>
      </c>
      <c r="AR207" s="868">
        <f>IF(AND($L207=0,$P207=0)=TRUE,VLOOKUP($E207,Plan3!$A$16:$CT$487,$E$7+3,0)/100,0)</f>
        <v>0</v>
      </c>
      <c r="AS207" s="868">
        <f>IF(AND($L207=0,$P207=0)=TRUE,VLOOKUP($E207,Plan3!$A$16:$CT$487,$E$7+6,0)/100,0)</f>
        <v>0</v>
      </c>
      <c r="AT207" s="868">
        <f>IF(AND($L207=0,$P207=0)=TRUE,VLOOKUP($E207,Plan3!$A$16:$CT$487,$E$7+9,0)/100,0)</f>
        <v>0</v>
      </c>
      <c r="AU207" s="868">
        <f>IF(AND($L207=0,$P207=0)=TRUE,VLOOKUP($E207,Plan3!$A$16:$CT$487,$E$7+12,0)/100,0)</f>
        <v>0</v>
      </c>
      <c r="AV207" s="841"/>
      <c r="AW207" s="869">
        <f t="shared" ref="AW207:AW270" si="170">IF(MAX($AR207:$AU207)=0,0,MAX($AR207:$AU207)*$J207)</f>
        <v>0</v>
      </c>
      <c r="AX207" s="870">
        <f t="shared" ref="AX207:AX270" si="171">IF($AW207=0,0,$AW207/$AW$380)</f>
        <v>0</v>
      </c>
      <c r="AY207" s="871">
        <f t="shared" ref="AY207:AY270" si="172">IF($AX207=0,0,RANK($AX207,$AX$14:$AX$379))</f>
        <v>0</v>
      </c>
      <c r="AZ207" s="237" t="str">
        <f t="shared" si="143"/>
        <v xml:space="preserve">10.005.003.001 </v>
      </c>
      <c r="BA207" s="365"/>
      <c r="BB207" s="365"/>
      <c r="BC207" s="365"/>
      <c r="BD207" s="365"/>
      <c r="BE207" s="365"/>
      <c r="BF207" s="365"/>
      <c r="BG207" s="365"/>
      <c r="BH207" s="365"/>
      <c r="BI207" s="365"/>
      <c r="BJ207" s="365"/>
      <c r="BK207" s="365"/>
      <c r="BL207" s="872">
        <f t="shared" si="144"/>
        <v>0</v>
      </c>
      <c r="BM207" s="873">
        <f t="shared" si="145"/>
        <v>0</v>
      </c>
      <c r="BN207" s="874">
        <f t="shared" ref="BN207:BN270" si="173">IF($BQ207=0,0,RANK($BQ207,$BQ$12:$BQ$379))</f>
        <v>0</v>
      </c>
      <c r="BO207" s="875">
        <f t="shared" si="146"/>
        <v>0</v>
      </c>
      <c r="BP207" s="875">
        <f t="shared" si="147"/>
        <v>0</v>
      </c>
      <c r="BQ207" s="876">
        <f t="shared" ref="BQ207:BQ270" si="174">IF($BP207=0,0,$BP207/$BP$380)</f>
        <v>0</v>
      </c>
      <c r="BR207" s="877">
        <f t="shared" ref="BR207:BR270" si="175">IF($BU207=0,0,RANK($BU207,$BU$12:$BU$379))</f>
        <v>0</v>
      </c>
      <c r="BS207" s="875">
        <f t="shared" si="148"/>
        <v>0</v>
      </c>
      <c r="BT207" s="875">
        <f t="shared" si="149"/>
        <v>0</v>
      </c>
      <c r="BU207" s="878">
        <f t="shared" ref="BU207:BU270" si="176">IF($BT207=0,0,$BT207/$BT$380)</f>
        <v>0</v>
      </c>
      <c r="CE207" s="486">
        <v>195</v>
      </c>
    </row>
    <row r="208" spans="1:83" s="177" customFormat="1" ht="21.95" customHeight="1" x14ac:dyDescent="0.2">
      <c r="A208" s="237">
        <f t="shared" si="150"/>
        <v>0</v>
      </c>
      <c r="B208" s="237">
        <f t="shared" si="151"/>
        <v>0</v>
      </c>
      <c r="C208" s="393">
        <f t="shared" si="136"/>
        <v>0</v>
      </c>
      <c r="D208" s="393" t="str">
        <f t="shared" si="137"/>
        <v xml:space="preserve">10 </v>
      </c>
      <c r="E208" s="959" t="s">
        <v>1467</v>
      </c>
      <c r="F208" s="959" t="s">
        <v>2082</v>
      </c>
      <c r="G208" s="959" t="s">
        <v>90</v>
      </c>
      <c r="H208" s="970">
        <v>29.96</v>
      </c>
      <c r="I208" s="960">
        <v>0.23499999999999999</v>
      </c>
      <c r="J208" s="973">
        <v>7.04</v>
      </c>
      <c r="K208" s="367">
        <v>0</v>
      </c>
      <c r="L208" s="367">
        <f>IF($H208="",0,VLOOKUP($E208,Plan3!$A$16:$CT$384,$E$7,0)%)</f>
        <v>0</v>
      </c>
      <c r="M208" s="368">
        <f t="shared" si="155"/>
        <v>0</v>
      </c>
      <c r="N208" s="368">
        <f t="shared" si="156"/>
        <v>0</v>
      </c>
      <c r="O208" s="367">
        <v>0</v>
      </c>
      <c r="P208" s="367">
        <f>VLOOKUP($E208,Plan3!$A$492:$P$858,13,0)%</f>
        <v>0</v>
      </c>
      <c r="Q208" s="368">
        <f t="shared" si="157"/>
        <v>0</v>
      </c>
      <c r="R208" s="368">
        <f t="shared" si="158"/>
        <v>0</v>
      </c>
      <c r="S208" s="880">
        <v>7.121664</v>
      </c>
      <c r="T208" s="880">
        <f t="shared" si="159"/>
        <v>0</v>
      </c>
      <c r="U208" s="880">
        <f>IF($I208="",0,($S208-$T208)*(1+('Econômico Macro'!$R$12/100)))</f>
        <v>7.2448687872000006</v>
      </c>
      <c r="V208" s="880">
        <f t="shared" si="160"/>
        <v>7.2448687872000006</v>
      </c>
      <c r="W208" s="880">
        <f t="shared" si="161"/>
        <v>0</v>
      </c>
      <c r="X208" s="367">
        <f t="shared" si="138"/>
        <v>0</v>
      </c>
      <c r="Y208" s="367">
        <f t="shared" si="139"/>
        <v>0</v>
      </c>
      <c r="Z208" s="367">
        <f t="shared" si="140"/>
        <v>0</v>
      </c>
      <c r="AA208" s="367">
        <f t="shared" si="141"/>
        <v>0</v>
      </c>
      <c r="AB208" s="369" t="str">
        <f t="shared" si="142"/>
        <v>Não Iniciada</v>
      </c>
      <c r="AC208" s="365"/>
      <c r="AD208" s="368">
        <v>1</v>
      </c>
      <c r="AE208" s="368">
        <f t="shared" si="162"/>
        <v>-1</v>
      </c>
      <c r="AF208" s="365"/>
      <c r="AG208" s="863">
        <f t="shared" si="152"/>
        <v>0</v>
      </c>
      <c r="AH208" s="864">
        <f t="shared" si="163"/>
        <v>0</v>
      </c>
      <c r="AI208" s="863">
        <f t="shared" si="153"/>
        <v>0</v>
      </c>
      <c r="AJ208" s="864">
        <f t="shared" si="164"/>
        <v>0</v>
      </c>
      <c r="AK208" s="365"/>
      <c r="AL208" s="865">
        <f t="shared" si="154"/>
        <v>0</v>
      </c>
      <c r="AM208" s="866">
        <f t="shared" si="165"/>
        <v>0</v>
      </c>
      <c r="AN208" s="866">
        <f t="shared" si="166"/>
        <v>0</v>
      </c>
      <c r="AO208" s="866">
        <f t="shared" si="167"/>
        <v>0</v>
      </c>
      <c r="AP208" s="867">
        <f t="shared" si="168"/>
        <v>0</v>
      </c>
      <c r="AQ208" s="591">
        <f t="shared" si="169"/>
        <v>0</v>
      </c>
      <c r="AR208" s="868">
        <f>IF(AND($L208=0,$P208=0)=TRUE,VLOOKUP($E208,Plan3!$A$16:$CT$487,$E$7+3,0)/100,0)</f>
        <v>0</v>
      </c>
      <c r="AS208" s="868">
        <f>IF(AND($L208=0,$P208=0)=TRUE,VLOOKUP($E208,Plan3!$A$16:$CT$487,$E$7+6,0)/100,0)</f>
        <v>0</v>
      </c>
      <c r="AT208" s="868">
        <f>IF(AND($L208=0,$P208=0)=TRUE,VLOOKUP($E208,Plan3!$A$16:$CT$487,$E$7+9,0)/100,0)</f>
        <v>0</v>
      </c>
      <c r="AU208" s="868">
        <f>IF(AND($L208=0,$P208=0)=TRUE,VLOOKUP($E208,Plan3!$A$16:$CT$487,$E$7+12,0)/100,0)</f>
        <v>0</v>
      </c>
      <c r="AV208" s="841"/>
      <c r="AW208" s="869">
        <f t="shared" si="170"/>
        <v>0</v>
      </c>
      <c r="AX208" s="870">
        <f t="shared" si="171"/>
        <v>0</v>
      </c>
      <c r="AY208" s="871">
        <f t="shared" si="172"/>
        <v>0</v>
      </c>
      <c r="AZ208" s="237" t="str">
        <f t="shared" si="143"/>
        <v xml:space="preserve">10.005.003.002 </v>
      </c>
      <c r="BA208" s="365"/>
      <c r="BB208" s="365"/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872">
        <f t="shared" si="144"/>
        <v>0</v>
      </c>
      <c r="BM208" s="873">
        <f t="shared" si="145"/>
        <v>0</v>
      </c>
      <c r="BN208" s="874">
        <f t="shared" si="173"/>
        <v>0</v>
      </c>
      <c r="BO208" s="875">
        <f t="shared" si="146"/>
        <v>0</v>
      </c>
      <c r="BP208" s="875">
        <f t="shared" si="147"/>
        <v>0</v>
      </c>
      <c r="BQ208" s="876">
        <f t="shared" si="174"/>
        <v>0</v>
      </c>
      <c r="BR208" s="877">
        <f t="shared" si="175"/>
        <v>0</v>
      </c>
      <c r="BS208" s="875">
        <f t="shared" si="148"/>
        <v>0</v>
      </c>
      <c r="BT208" s="875">
        <f t="shared" si="149"/>
        <v>0</v>
      </c>
      <c r="BU208" s="878">
        <f t="shared" si="176"/>
        <v>0</v>
      </c>
      <c r="CE208" s="486">
        <v>196</v>
      </c>
    </row>
    <row r="209" spans="1:83" s="177" customFormat="1" ht="21.95" customHeight="1" x14ac:dyDescent="0.2">
      <c r="A209" s="237">
        <f t="shared" si="150"/>
        <v>0</v>
      </c>
      <c r="B209" s="237">
        <f t="shared" si="151"/>
        <v>0</v>
      </c>
      <c r="C209" s="393">
        <f t="shared" si="136"/>
        <v>0</v>
      </c>
      <c r="D209" s="393" t="str">
        <f t="shared" si="137"/>
        <v xml:space="preserve">10 </v>
      </c>
      <c r="E209" s="959" t="s">
        <v>2107</v>
      </c>
      <c r="F209" s="959" t="s">
        <v>2272</v>
      </c>
      <c r="G209" s="959" t="s">
        <v>90</v>
      </c>
      <c r="H209" s="970">
        <v>25.2</v>
      </c>
      <c r="I209" s="960">
        <v>0.376</v>
      </c>
      <c r="J209" s="973">
        <v>9.48</v>
      </c>
      <c r="K209" s="367">
        <v>0</v>
      </c>
      <c r="L209" s="367">
        <f>IF($H209="",0,VLOOKUP($E209,Plan3!$A$16:$CT$384,$E$7,0)%)</f>
        <v>0</v>
      </c>
      <c r="M209" s="368">
        <f t="shared" si="155"/>
        <v>0</v>
      </c>
      <c r="N209" s="368">
        <f t="shared" si="156"/>
        <v>0</v>
      </c>
      <c r="O209" s="367">
        <v>0</v>
      </c>
      <c r="P209" s="367">
        <f>VLOOKUP($E209,Plan3!$A$492:$P$858,13,0)%</f>
        <v>0</v>
      </c>
      <c r="Q209" s="368">
        <f t="shared" si="157"/>
        <v>0</v>
      </c>
      <c r="R209" s="368">
        <f t="shared" si="158"/>
        <v>0</v>
      </c>
      <c r="S209" s="880">
        <v>9.5899680000000007</v>
      </c>
      <c r="T209" s="880">
        <f t="shared" si="159"/>
        <v>0</v>
      </c>
      <c r="U209" s="880">
        <f>IF($I209="",0,($S209-$T209)*(1+('Econômico Macro'!$R$12/100)))</f>
        <v>9.7558744464000018</v>
      </c>
      <c r="V209" s="880">
        <f t="shared" si="160"/>
        <v>9.7558744464000018</v>
      </c>
      <c r="W209" s="880">
        <f t="shared" si="161"/>
        <v>0</v>
      </c>
      <c r="X209" s="367">
        <f t="shared" si="138"/>
        <v>0</v>
      </c>
      <c r="Y209" s="367">
        <f t="shared" si="139"/>
        <v>0</v>
      </c>
      <c r="Z209" s="367">
        <f t="shared" si="140"/>
        <v>0</v>
      </c>
      <c r="AA209" s="367">
        <f t="shared" si="141"/>
        <v>0</v>
      </c>
      <c r="AB209" s="369" t="str">
        <f t="shared" si="142"/>
        <v>Não Iniciada</v>
      </c>
      <c r="AC209" s="365"/>
      <c r="AD209" s="368">
        <v>1</v>
      </c>
      <c r="AE209" s="368">
        <f t="shared" si="162"/>
        <v>-1</v>
      </c>
      <c r="AF209" s="365"/>
      <c r="AG209" s="863">
        <f t="shared" si="152"/>
        <v>0</v>
      </c>
      <c r="AH209" s="864">
        <f t="shared" si="163"/>
        <v>0</v>
      </c>
      <c r="AI209" s="863">
        <f t="shared" si="153"/>
        <v>0</v>
      </c>
      <c r="AJ209" s="864">
        <f t="shared" si="164"/>
        <v>0</v>
      </c>
      <c r="AK209" s="365"/>
      <c r="AL209" s="865">
        <f t="shared" si="154"/>
        <v>0</v>
      </c>
      <c r="AM209" s="866">
        <f t="shared" si="165"/>
        <v>0</v>
      </c>
      <c r="AN209" s="866">
        <f t="shared" si="166"/>
        <v>0</v>
      </c>
      <c r="AO209" s="866">
        <f t="shared" si="167"/>
        <v>0</v>
      </c>
      <c r="AP209" s="867">
        <f t="shared" si="168"/>
        <v>0</v>
      </c>
      <c r="AQ209" s="591">
        <f t="shared" si="169"/>
        <v>0</v>
      </c>
      <c r="AR209" s="868">
        <f>IF(AND($L209=0,$P209=0)=TRUE,VLOOKUP($E209,Plan3!$A$16:$CT$487,$E$7+3,0)/100,0)</f>
        <v>0</v>
      </c>
      <c r="AS209" s="868">
        <f>IF(AND($L209=0,$P209=0)=TRUE,VLOOKUP($E209,Plan3!$A$16:$CT$487,$E$7+6,0)/100,0)</f>
        <v>0</v>
      </c>
      <c r="AT209" s="868">
        <f>IF(AND($L209=0,$P209=0)=TRUE,VLOOKUP($E209,Plan3!$A$16:$CT$487,$E$7+9,0)/100,0)</f>
        <v>0</v>
      </c>
      <c r="AU209" s="868">
        <f>IF(AND($L209=0,$P209=0)=TRUE,VLOOKUP($E209,Plan3!$A$16:$CT$487,$E$7+12,0)/100,0)</f>
        <v>0</v>
      </c>
      <c r="AV209" s="841"/>
      <c r="AW209" s="869">
        <f t="shared" si="170"/>
        <v>0</v>
      </c>
      <c r="AX209" s="870">
        <f t="shared" si="171"/>
        <v>0</v>
      </c>
      <c r="AY209" s="871">
        <f t="shared" si="172"/>
        <v>0</v>
      </c>
      <c r="AZ209" s="237" t="str">
        <f t="shared" si="143"/>
        <v xml:space="preserve">10.005.003.003 </v>
      </c>
      <c r="BA209" s="365"/>
      <c r="BB209" s="365"/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872">
        <f t="shared" si="144"/>
        <v>0</v>
      </c>
      <c r="BM209" s="873">
        <f t="shared" si="145"/>
        <v>0</v>
      </c>
      <c r="BN209" s="874">
        <f t="shared" si="173"/>
        <v>0</v>
      </c>
      <c r="BO209" s="875">
        <f t="shared" si="146"/>
        <v>0</v>
      </c>
      <c r="BP209" s="875">
        <f t="shared" si="147"/>
        <v>0</v>
      </c>
      <c r="BQ209" s="876">
        <f t="shared" si="174"/>
        <v>0</v>
      </c>
      <c r="BR209" s="877">
        <f t="shared" si="175"/>
        <v>0</v>
      </c>
      <c r="BS209" s="875">
        <f t="shared" si="148"/>
        <v>0</v>
      </c>
      <c r="BT209" s="875">
        <f t="shared" si="149"/>
        <v>0</v>
      </c>
      <c r="BU209" s="878">
        <f t="shared" si="176"/>
        <v>0</v>
      </c>
      <c r="CE209" s="486">
        <v>197</v>
      </c>
    </row>
    <row r="210" spans="1:83" s="177" customFormat="1" ht="21.95" customHeight="1" x14ac:dyDescent="0.2">
      <c r="A210" s="237">
        <f t="shared" si="150"/>
        <v>0</v>
      </c>
      <c r="B210" s="237">
        <f t="shared" si="151"/>
        <v>0</v>
      </c>
      <c r="C210" s="393">
        <f t="shared" si="136"/>
        <v>0</v>
      </c>
      <c r="D210" s="393" t="str">
        <f t="shared" si="137"/>
        <v xml:space="preserve">10 </v>
      </c>
      <c r="E210" s="959" t="s">
        <v>2108</v>
      </c>
      <c r="F210" s="959" t="s">
        <v>2273</v>
      </c>
      <c r="G210" s="959" t="s">
        <v>90</v>
      </c>
      <c r="H210" s="970">
        <v>80.66</v>
      </c>
      <c r="I210" s="960">
        <v>0.51700000000000002</v>
      </c>
      <c r="J210" s="976">
        <v>41.7</v>
      </c>
      <c r="K210" s="367">
        <v>0</v>
      </c>
      <c r="L210" s="367">
        <f>IF($H210="",0,VLOOKUP($E210,Plan3!$A$16:$CT$384,$E$7,0)%)</f>
        <v>0</v>
      </c>
      <c r="M210" s="368">
        <f t="shared" si="155"/>
        <v>0</v>
      </c>
      <c r="N210" s="368">
        <f t="shared" si="156"/>
        <v>0</v>
      </c>
      <c r="O210" s="367">
        <v>0</v>
      </c>
      <c r="P210" s="367">
        <f>VLOOKUP($E210,Plan3!$A$492:$P$858,13,0)%</f>
        <v>0</v>
      </c>
      <c r="Q210" s="368">
        <f t="shared" si="157"/>
        <v>0</v>
      </c>
      <c r="R210" s="368">
        <f t="shared" si="158"/>
        <v>0</v>
      </c>
      <c r="S210" s="880">
        <v>42.183720000000008</v>
      </c>
      <c r="T210" s="880">
        <f t="shared" si="159"/>
        <v>0</v>
      </c>
      <c r="U210" s="880">
        <f>IF($I210="",0,($S210-$T210)*(1+('Econômico Macro'!$R$12/100)))</f>
        <v>42.913498356000012</v>
      </c>
      <c r="V210" s="880">
        <f t="shared" si="160"/>
        <v>42.913498356000012</v>
      </c>
      <c r="W210" s="880">
        <f t="shared" si="161"/>
        <v>0</v>
      </c>
      <c r="X210" s="367">
        <f t="shared" si="138"/>
        <v>0</v>
      </c>
      <c r="Y210" s="367">
        <f t="shared" si="139"/>
        <v>0</v>
      </c>
      <c r="Z210" s="367">
        <f t="shared" si="140"/>
        <v>0</v>
      </c>
      <c r="AA210" s="367">
        <f t="shared" si="141"/>
        <v>0</v>
      </c>
      <c r="AB210" s="369" t="str">
        <f t="shared" si="142"/>
        <v>Não Iniciada</v>
      </c>
      <c r="AC210" s="365"/>
      <c r="AD210" s="368">
        <v>1</v>
      </c>
      <c r="AE210" s="368">
        <f t="shared" si="162"/>
        <v>-1</v>
      </c>
      <c r="AF210" s="365"/>
      <c r="AG210" s="863">
        <f t="shared" si="152"/>
        <v>0</v>
      </c>
      <c r="AH210" s="864">
        <f t="shared" si="163"/>
        <v>0</v>
      </c>
      <c r="AI210" s="863">
        <f t="shared" si="153"/>
        <v>0</v>
      </c>
      <c r="AJ210" s="864">
        <f t="shared" si="164"/>
        <v>0</v>
      </c>
      <c r="AK210" s="365"/>
      <c r="AL210" s="865">
        <f t="shared" si="154"/>
        <v>0</v>
      </c>
      <c r="AM210" s="866">
        <f t="shared" si="165"/>
        <v>0</v>
      </c>
      <c r="AN210" s="866">
        <f t="shared" si="166"/>
        <v>0</v>
      </c>
      <c r="AO210" s="866">
        <f t="shared" si="167"/>
        <v>0</v>
      </c>
      <c r="AP210" s="867">
        <f t="shared" si="168"/>
        <v>0</v>
      </c>
      <c r="AQ210" s="591">
        <f t="shared" si="169"/>
        <v>0</v>
      </c>
      <c r="AR210" s="868">
        <f>IF(AND($L210=0,$P210=0)=TRUE,VLOOKUP($E210,Plan3!$A$16:$CT$487,$E$7+3,0)/100,0)</f>
        <v>0</v>
      </c>
      <c r="AS210" s="868">
        <f>IF(AND($L210=0,$P210=0)=TRUE,VLOOKUP($E210,Plan3!$A$16:$CT$487,$E$7+6,0)/100,0)</f>
        <v>0</v>
      </c>
      <c r="AT210" s="868">
        <f>IF(AND($L210=0,$P210=0)=TRUE,VLOOKUP($E210,Plan3!$A$16:$CT$487,$E$7+9,0)/100,0)</f>
        <v>0</v>
      </c>
      <c r="AU210" s="868">
        <f>IF(AND($L210=0,$P210=0)=TRUE,VLOOKUP($E210,Plan3!$A$16:$CT$487,$E$7+12,0)/100,0)</f>
        <v>0</v>
      </c>
      <c r="AV210" s="841"/>
      <c r="AW210" s="869">
        <f t="shared" si="170"/>
        <v>0</v>
      </c>
      <c r="AX210" s="870">
        <f t="shared" si="171"/>
        <v>0</v>
      </c>
      <c r="AY210" s="871">
        <f t="shared" si="172"/>
        <v>0</v>
      </c>
      <c r="AZ210" s="237" t="str">
        <f t="shared" si="143"/>
        <v xml:space="preserve">10.005.003.004 </v>
      </c>
      <c r="BA210" s="365"/>
      <c r="BB210" s="365"/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872">
        <f t="shared" si="144"/>
        <v>0</v>
      </c>
      <c r="BM210" s="873">
        <f t="shared" si="145"/>
        <v>0</v>
      </c>
      <c r="BN210" s="874">
        <f t="shared" si="173"/>
        <v>0</v>
      </c>
      <c r="BO210" s="875">
        <f t="shared" si="146"/>
        <v>0</v>
      </c>
      <c r="BP210" s="875">
        <f t="shared" si="147"/>
        <v>0</v>
      </c>
      <c r="BQ210" s="876">
        <f t="shared" si="174"/>
        <v>0</v>
      </c>
      <c r="BR210" s="877">
        <f t="shared" si="175"/>
        <v>0</v>
      </c>
      <c r="BS210" s="875">
        <f t="shared" si="148"/>
        <v>0</v>
      </c>
      <c r="BT210" s="875">
        <f t="shared" si="149"/>
        <v>0</v>
      </c>
      <c r="BU210" s="878">
        <f t="shared" si="176"/>
        <v>0</v>
      </c>
      <c r="CE210" s="486">
        <v>198</v>
      </c>
    </row>
    <row r="211" spans="1:83" s="177" customFormat="1" ht="21.95" customHeight="1" x14ac:dyDescent="0.2">
      <c r="A211" s="237">
        <f t="shared" si="150"/>
        <v>0</v>
      </c>
      <c r="B211" s="237">
        <f t="shared" si="151"/>
        <v>0</v>
      </c>
      <c r="C211" s="393">
        <f t="shared" si="136"/>
        <v>0</v>
      </c>
      <c r="D211" s="393" t="str">
        <f t="shared" si="137"/>
        <v xml:space="preserve">10 </v>
      </c>
      <c r="E211" s="959" t="s">
        <v>2109</v>
      </c>
      <c r="F211" s="959" t="s">
        <v>2274</v>
      </c>
      <c r="G211" s="959" t="s">
        <v>90</v>
      </c>
      <c r="H211" s="963">
        <v>1327.06</v>
      </c>
      <c r="I211" s="960">
        <v>5.2</v>
      </c>
      <c r="J211" s="964">
        <v>6900.71</v>
      </c>
      <c r="K211" s="367">
        <v>0</v>
      </c>
      <c r="L211" s="367">
        <f>IF($H211="",0,VLOOKUP($E211,Plan3!$A$16:$CT$384,$E$7,0)%)</f>
        <v>0</v>
      </c>
      <c r="M211" s="368">
        <f t="shared" si="155"/>
        <v>0</v>
      </c>
      <c r="N211" s="368">
        <f t="shared" si="156"/>
        <v>0</v>
      </c>
      <c r="O211" s="367">
        <v>0</v>
      </c>
      <c r="P211" s="367">
        <f>VLOOKUP($E211,Plan3!$A$492:$P$858,13,0)%</f>
        <v>0</v>
      </c>
      <c r="Q211" s="368">
        <f t="shared" si="157"/>
        <v>0</v>
      </c>
      <c r="R211" s="368">
        <f t="shared" si="158"/>
        <v>0</v>
      </c>
      <c r="S211" s="880">
        <v>6980.7582360000006</v>
      </c>
      <c r="T211" s="880">
        <f t="shared" si="159"/>
        <v>0</v>
      </c>
      <c r="U211" s="880">
        <f>IF($I211="",0,($S211-$T211)*(1+('Econômico Macro'!$R$12/100)))</f>
        <v>7101.5253534828016</v>
      </c>
      <c r="V211" s="880">
        <f t="shared" si="160"/>
        <v>7101.5253534828016</v>
      </c>
      <c r="W211" s="880">
        <f t="shared" si="161"/>
        <v>0</v>
      </c>
      <c r="X211" s="367">
        <f t="shared" si="138"/>
        <v>0</v>
      </c>
      <c r="Y211" s="367">
        <f t="shared" si="139"/>
        <v>0</v>
      </c>
      <c r="Z211" s="367">
        <f t="shared" si="140"/>
        <v>0</v>
      </c>
      <c r="AA211" s="367">
        <f t="shared" si="141"/>
        <v>0</v>
      </c>
      <c r="AB211" s="369" t="str">
        <f t="shared" si="142"/>
        <v>Não Iniciada</v>
      </c>
      <c r="AC211" s="365"/>
      <c r="AD211" s="368">
        <v>1</v>
      </c>
      <c r="AE211" s="368">
        <f t="shared" si="162"/>
        <v>-1</v>
      </c>
      <c r="AF211" s="365"/>
      <c r="AG211" s="863">
        <f t="shared" si="152"/>
        <v>0</v>
      </c>
      <c r="AH211" s="864">
        <f t="shared" si="163"/>
        <v>0</v>
      </c>
      <c r="AI211" s="863">
        <f t="shared" si="153"/>
        <v>0</v>
      </c>
      <c r="AJ211" s="864">
        <f t="shared" si="164"/>
        <v>0</v>
      </c>
      <c r="AK211" s="365"/>
      <c r="AL211" s="865">
        <f t="shared" si="154"/>
        <v>0</v>
      </c>
      <c r="AM211" s="866">
        <f t="shared" si="165"/>
        <v>0</v>
      </c>
      <c r="AN211" s="866">
        <f t="shared" si="166"/>
        <v>0</v>
      </c>
      <c r="AO211" s="866">
        <f t="shared" si="167"/>
        <v>0</v>
      </c>
      <c r="AP211" s="867">
        <f t="shared" si="168"/>
        <v>0</v>
      </c>
      <c r="AQ211" s="591">
        <f t="shared" si="169"/>
        <v>0</v>
      </c>
      <c r="AR211" s="868">
        <f>IF(AND($L211=0,$P211=0)=TRUE,VLOOKUP($E211,Plan3!$A$16:$CT$487,$E$7+3,0)/100,0)</f>
        <v>0</v>
      </c>
      <c r="AS211" s="868">
        <f>IF(AND($L211=0,$P211=0)=TRUE,VLOOKUP($E211,Plan3!$A$16:$CT$487,$E$7+6,0)/100,0)</f>
        <v>0</v>
      </c>
      <c r="AT211" s="868">
        <f>IF(AND($L211=0,$P211=0)=TRUE,VLOOKUP($E211,Plan3!$A$16:$CT$487,$E$7+9,0)/100,0)</f>
        <v>0</v>
      </c>
      <c r="AU211" s="868">
        <f>IF(AND($L211=0,$P211=0)=TRUE,VLOOKUP($E211,Plan3!$A$16:$CT$487,$E$7+12,0)/100,0)</f>
        <v>0</v>
      </c>
      <c r="AV211" s="841"/>
      <c r="AW211" s="869">
        <f t="shared" si="170"/>
        <v>0</v>
      </c>
      <c r="AX211" s="870">
        <f t="shared" si="171"/>
        <v>0</v>
      </c>
      <c r="AY211" s="871">
        <f t="shared" si="172"/>
        <v>0</v>
      </c>
      <c r="AZ211" s="237" t="str">
        <f t="shared" si="143"/>
        <v xml:space="preserve">10.005.003.005 </v>
      </c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872">
        <f t="shared" si="144"/>
        <v>0</v>
      </c>
      <c r="BM211" s="873">
        <f t="shared" si="145"/>
        <v>0</v>
      </c>
      <c r="BN211" s="874">
        <f t="shared" si="173"/>
        <v>0</v>
      </c>
      <c r="BO211" s="875">
        <f t="shared" si="146"/>
        <v>0</v>
      </c>
      <c r="BP211" s="875">
        <f t="shared" si="147"/>
        <v>0</v>
      </c>
      <c r="BQ211" s="876">
        <f t="shared" si="174"/>
        <v>0</v>
      </c>
      <c r="BR211" s="877">
        <f t="shared" si="175"/>
        <v>0</v>
      </c>
      <c r="BS211" s="875">
        <f t="shared" si="148"/>
        <v>0</v>
      </c>
      <c r="BT211" s="875">
        <f t="shared" si="149"/>
        <v>0</v>
      </c>
      <c r="BU211" s="878">
        <f t="shared" si="176"/>
        <v>0</v>
      </c>
      <c r="CE211" s="486">
        <v>199</v>
      </c>
    </row>
    <row r="212" spans="1:83" s="177" customFormat="1" ht="21.95" customHeight="1" x14ac:dyDescent="0.2">
      <c r="A212" s="237">
        <f t="shared" si="150"/>
        <v>0</v>
      </c>
      <c r="B212" s="237">
        <f t="shared" si="151"/>
        <v>0</v>
      </c>
      <c r="C212" s="393">
        <f t="shared" si="136"/>
        <v>0</v>
      </c>
      <c r="D212" s="393" t="str">
        <f t="shared" si="137"/>
        <v xml:space="preserve">10 </v>
      </c>
      <c r="E212" s="967" t="s">
        <v>1468</v>
      </c>
      <c r="F212" s="967" t="s">
        <v>1469</v>
      </c>
      <c r="G212" s="967"/>
      <c r="H212" s="968"/>
      <c r="I212" s="968"/>
      <c r="J212" s="975">
        <v>249.52</v>
      </c>
      <c r="K212" s="367">
        <v>0</v>
      </c>
      <c r="L212" s="367">
        <f>IF($H212="",0,VLOOKUP($E212,Plan3!$A$16:$CT$384,$E$7,0)%)</f>
        <v>0</v>
      </c>
      <c r="M212" s="368">
        <f t="shared" si="155"/>
        <v>0</v>
      </c>
      <c r="N212" s="368">
        <f t="shared" si="156"/>
        <v>0</v>
      </c>
      <c r="O212" s="367">
        <v>0</v>
      </c>
      <c r="P212" s="367">
        <f>VLOOKUP($E212,Plan3!$A$492:$P$858,13,0)%</f>
        <v>0</v>
      </c>
      <c r="Q212" s="368">
        <f t="shared" si="157"/>
        <v>0</v>
      </c>
      <c r="R212" s="368">
        <f t="shared" si="158"/>
        <v>0</v>
      </c>
      <c r="S212" s="880">
        <v>0</v>
      </c>
      <c r="T212" s="880">
        <f t="shared" si="159"/>
        <v>0</v>
      </c>
      <c r="U212" s="880">
        <f>IF($I212="",0,($S212-$T212)*(1+('Econômico Macro'!$R$12/100)))</f>
        <v>0</v>
      </c>
      <c r="V212" s="880">
        <f t="shared" si="160"/>
        <v>0</v>
      </c>
      <c r="W212" s="880">
        <f t="shared" si="161"/>
        <v>0</v>
      </c>
      <c r="X212" s="367">
        <f t="shared" si="138"/>
        <v>0</v>
      </c>
      <c r="Y212" s="367">
        <f t="shared" si="139"/>
        <v>0</v>
      </c>
      <c r="Z212" s="367">
        <f t="shared" si="140"/>
        <v>0</v>
      </c>
      <c r="AA212" s="367">
        <f t="shared" si="141"/>
        <v>0</v>
      </c>
      <c r="AB212" s="369" t="str">
        <f t="shared" si="142"/>
        <v>Não Iniciada</v>
      </c>
      <c r="AC212" s="365"/>
      <c r="AD212" s="368">
        <v>1</v>
      </c>
      <c r="AE212" s="368">
        <f t="shared" si="162"/>
        <v>-1</v>
      </c>
      <c r="AF212" s="365"/>
      <c r="AG212" s="863">
        <f t="shared" si="152"/>
        <v>0</v>
      </c>
      <c r="AH212" s="864">
        <f t="shared" si="163"/>
        <v>0</v>
      </c>
      <c r="AI212" s="863">
        <f t="shared" si="153"/>
        <v>0</v>
      </c>
      <c r="AJ212" s="864">
        <f t="shared" si="164"/>
        <v>0</v>
      </c>
      <c r="AK212" s="365"/>
      <c r="AL212" s="865">
        <f t="shared" si="154"/>
        <v>0</v>
      </c>
      <c r="AM212" s="866">
        <f t="shared" si="165"/>
        <v>0</v>
      </c>
      <c r="AN212" s="866">
        <f t="shared" si="166"/>
        <v>0</v>
      </c>
      <c r="AO212" s="866">
        <f t="shared" si="167"/>
        <v>0</v>
      </c>
      <c r="AP212" s="867">
        <f t="shared" si="168"/>
        <v>0</v>
      </c>
      <c r="AQ212" s="591"/>
      <c r="AR212" s="868"/>
      <c r="AS212" s="868"/>
      <c r="AT212" s="868"/>
      <c r="AU212" s="868"/>
      <c r="AV212" s="841"/>
      <c r="AW212" s="869"/>
      <c r="AX212" s="870"/>
      <c r="AY212" s="871"/>
      <c r="AZ212" s="237" t="str">
        <f t="shared" si="143"/>
        <v xml:space="preserve">10.005.004 </v>
      </c>
      <c r="BA212" s="365"/>
      <c r="BB212" s="365"/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872">
        <f t="shared" si="144"/>
        <v>0</v>
      </c>
      <c r="BM212" s="873">
        <f t="shared" si="145"/>
        <v>0</v>
      </c>
      <c r="BN212" s="874">
        <f t="shared" si="173"/>
        <v>0</v>
      </c>
      <c r="BO212" s="875">
        <f t="shared" si="146"/>
        <v>0</v>
      </c>
      <c r="BP212" s="875">
        <f t="shared" si="147"/>
        <v>0</v>
      </c>
      <c r="BQ212" s="876">
        <f t="shared" si="174"/>
        <v>0</v>
      </c>
      <c r="BR212" s="877">
        <f t="shared" si="175"/>
        <v>0</v>
      </c>
      <c r="BS212" s="875">
        <f t="shared" si="148"/>
        <v>0</v>
      </c>
      <c r="BT212" s="875">
        <f t="shared" si="149"/>
        <v>0</v>
      </c>
      <c r="BU212" s="878">
        <f t="shared" si="176"/>
        <v>0</v>
      </c>
      <c r="CE212" s="486">
        <v>200</v>
      </c>
    </row>
    <row r="213" spans="1:83" s="177" customFormat="1" ht="21.95" customHeight="1" x14ac:dyDescent="0.2">
      <c r="A213" s="237">
        <f t="shared" si="150"/>
        <v>0</v>
      </c>
      <c r="B213" s="237">
        <f t="shared" si="151"/>
        <v>0</v>
      </c>
      <c r="C213" s="393">
        <f t="shared" si="136"/>
        <v>0</v>
      </c>
      <c r="D213" s="393" t="str">
        <f t="shared" si="137"/>
        <v xml:space="preserve">10 </v>
      </c>
      <c r="E213" s="959" t="s">
        <v>1470</v>
      </c>
      <c r="F213" s="959" t="s">
        <v>1471</v>
      </c>
      <c r="G213" s="959" t="s">
        <v>15</v>
      </c>
      <c r="H213" s="970">
        <v>33.36</v>
      </c>
      <c r="I213" s="960">
        <v>7.4798</v>
      </c>
      <c r="J213" s="966">
        <v>249.52</v>
      </c>
      <c r="K213" s="367">
        <v>0</v>
      </c>
      <c r="L213" s="367">
        <f>IF($H213="",0,VLOOKUP($E213,Plan3!$A$16:$CT$384,$E$7,0)%)</f>
        <v>0</v>
      </c>
      <c r="M213" s="368">
        <f t="shared" si="155"/>
        <v>0</v>
      </c>
      <c r="N213" s="368">
        <f t="shared" si="156"/>
        <v>0</v>
      </c>
      <c r="O213" s="367">
        <v>0</v>
      </c>
      <c r="P213" s="367">
        <f>VLOOKUP($E213,Plan3!$A$492:$P$858,13,0)%</f>
        <v>0</v>
      </c>
      <c r="Q213" s="368">
        <f t="shared" si="157"/>
        <v>0</v>
      </c>
      <c r="R213" s="368">
        <f t="shared" si="158"/>
        <v>0</v>
      </c>
      <c r="S213" s="880">
        <v>252.41443200000003</v>
      </c>
      <c r="T213" s="880">
        <f t="shared" si="159"/>
        <v>0</v>
      </c>
      <c r="U213" s="880">
        <f>IF($I213="",0,($S213-$T213)*(1+('Econômico Macro'!$R$12/100)))</f>
        <v>256.78120167360004</v>
      </c>
      <c r="V213" s="880">
        <f t="shared" si="160"/>
        <v>256.78120167360004</v>
      </c>
      <c r="W213" s="880">
        <f t="shared" si="161"/>
        <v>0</v>
      </c>
      <c r="X213" s="367">
        <f t="shared" si="138"/>
        <v>0</v>
      </c>
      <c r="Y213" s="367">
        <f t="shared" si="139"/>
        <v>0</v>
      </c>
      <c r="Z213" s="367">
        <f t="shared" si="140"/>
        <v>0</v>
      </c>
      <c r="AA213" s="367">
        <f t="shared" si="141"/>
        <v>0</v>
      </c>
      <c r="AB213" s="369" t="str">
        <f t="shared" si="142"/>
        <v>Não Iniciada</v>
      </c>
      <c r="AC213" s="365"/>
      <c r="AD213" s="368">
        <v>1</v>
      </c>
      <c r="AE213" s="368">
        <f t="shared" si="162"/>
        <v>-1</v>
      </c>
      <c r="AF213" s="365"/>
      <c r="AG213" s="863">
        <f t="shared" si="152"/>
        <v>0</v>
      </c>
      <c r="AH213" s="864">
        <f t="shared" si="163"/>
        <v>0</v>
      </c>
      <c r="AI213" s="863">
        <f t="shared" si="153"/>
        <v>0</v>
      </c>
      <c r="AJ213" s="864">
        <f t="shared" si="164"/>
        <v>0</v>
      </c>
      <c r="AK213" s="365"/>
      <c r="AL213" s="865">
        <f t="shared" si="154"/>
        <v>0</v>
      </c>
      <c r="AM213" s="866">
        <f t="shared" si="165"/>
        <v>0</v>
      </c>
      <c r="AN213" s="866">
        <f t="shared" si="166"/>
        <v>0</v>
      </c>
      <c r="AO213" s="866">
        <f t="shared" si="167"/>
        <v>0</v>
      </c>
      <c r="AP213" s="867">
        <f t="shared" si="168"/>
        <v>0</v>
      </c>
      <c r="AQ213" s="591">
        <f t="shared" si="169"/>
        <v>0</v>
      </c>
      <c r="AR213" s="868">
        <f>IF(AND($L213=0,$P213=0)=TRUE,VLOOKUP($E213,Plan3!$A$16:$CT$487,$E$7+3,0)/100,0)</f>
        <v>0</v>
      </c>
      <c r="AS213" s="868">
        <f>IF(AND($L213=0,$P213=0)=TRUE,VLOOKUP($E213,Plan3!$A$16:$CT$487,$E$7+6,0)/100,0)</f>
        <v>0</v>
      </c>
      <c r="AT213" s="868">
        <f>IF(AND($L213=0,$P213=0)=TRUE,VLOOKUP($E213,Plan3!$A$16:$CT$487,$E$7+9,0)/100,0)</f>
        <v>0</v>
      </c>
      <c r="AU213" s="868">
        <f>IF(AND($L213=0,$P213=0)=TRUE,VLOOKUP($E213,Plan3!$A$16:$CT$487,$E$7+12,0)/100,0)</f>
        <v>0</v>
      </c>
      <c r="AV213" s="841"/>
      <c r="AW213" s="869">
        <f t="shared" si="170"/>
        <v>0</v>
      </c>
      <c r="AX213" s="870">
        <f t="shared" si="171"/>
        <v>0</v>
      </c>
      <c r="AY213" s="871">
        <f t="shared" si="172"/>
        <v>0</v>
      </c>
      <c r="AZ213" s="237" t="str">
        <f t="shared" si="143"/>
        <v xml:space="preserve">10.005.004.001 </v>
      </c>
      <c r="BA213" s="365"/>
      <c r="BB213" s="365"/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872">
        <f t="shared" si="144"/>
        <v>0</v>
      </c>
      <c r="BM213" s="873">
        <f t="shared" si="145"/>
        <v>0</v>
      </c>
      <c r="BN213" s="874">
        <f t="shared" si="173"/>
        <v>0</v>
      </c>
      <c r="BO213" s="875">
        <f t="shared" si="146"/>
        <v>0</v>
      </c>
      <c r="BP213" s="875">
        <f t="shared" si="147"/>
        <v>0</v>
      </c>
      <c r="BQ213" s="876">
        <f t="shared" si="174"/>
        <v>0</v>
      </c>
      <c r="BR213" s="877">
        <f t="shared" si="175"/>
        <v>0</v>
      </c>
      <c r="BS213" s="875">
        <f t="shared" si="148"/>
        <v>0</v>
      </c>
      <c r="BT213" s="875">
        <f t="shared" si="149"/>
        <v>0</v>
      </c>
      <c r="BU213" s="878">
        <f t="shared" si="176"/>
        <v>0</v>
      </c>
      <c r="CE213" s="486">
        <v>201</v>
      </c>
    </row>
    <row r="214" spans="1:83" s="177" customFormat="1" ht="21.95" customHeight="1" x14ac:dyDescent="0.2">
      <c r="A214" s="237">
        <f t="shared" si="150"/>
        <v>0</v>
      </c>
      <c r="B214" s="237">
        <f t="shared" si="151"/>
        <v>0</v>
      </c>
      <c r="C214" s="393">
        <f t="shared" si="136"/>
        <v>0</v>
      </c>
      <c r="D214" s="393" t="str">
        <f t="shared" si="137"/>
        <v xml:space="preserve">10 </v>
      </c>
      <c r="E214" s="967" t="s">
        <v>651</v>
      </c>
      <c r="F214" s="967" t="s">
        <v>652</v>
      </c>
      <c r="G214" s="967"/>
      <c r="H214" s="968"/>
      <c r="I214" s="968"/>
      <c r="J214" s="969">
        <v>11445.46</v>
      </c>
      <c r="K214" s="367">
        <v>0</v>
      </c>
      <c r="L214" s="367">
        <f>IF($H214="",0,VLOOKUP($E214,Plan3!$A$16:$CT$384,$E$7,0)%)</f>
        <v>0</v>
      </c>
      <c r="M214" s="368">
        <f t="shared" si="155"/>
        <v>0</v>
      </c>
      <c r="N214" s="368">
        <f t="shared" si="156"/>
        <v>0</v>
      </c>
      <c r="O214" s="367">
        <v>0</v>
      </c>
      <c r="P214" s="367">
        <f>VLOOKUP($E214,Plan3!$A$492:$P$858,13,0)%</f>
        <v>0</v>
      </c>
      <c r="Q214" s="368">
        <f t="shared" si="157"/>
        <v>0</v>
      </c>
      <c r="R214" s="368">
        <f t="shared" si="158"/>
        <v>0</v>
      </c>
      <c r="S214" s="880">
        <v>0</v>
      </c>
      <c r="T214" s="880">
        <f t="shared" si="159"/>
        <v>0</v>
      </c>
      <c r="U214" s="880">
        <f>IF($I214="",0,($S214-$T214)*(1+('Econômico Macro'!$R$12/100)))</f>
        <v>0</v>
      </c>
      <c r="V214" s="880">
        <f t="shared" si="160"/>
        <v>0</v>
      </c>
      <c r="W214" s="880">
        <f t="shared" si="161"/>
        <v>0</v>
      </c>
      <c r="X214" s="367">
        <f t="shared" si="138"/>
        <v>0</v>
      </c>
      <c r="Y214" s="367">
        <f t="shared" si="139"/>
        <v>0</v>
      </c>
      <c r="Z214" s="367">
        <f t="shared" si="140"/>
        <v>0</v>
      </c>
      <c r="AA214" s="367">
        <f t="shared" si="141"/>
        <v>0</v>
      </c>
      <c r="AB214" s="369" t="str">
        <f t="shared" si="142"/>
        <v>Não Iniciada</v>
      </c>
      <c r="AC214" s="365"/>
      <c r="AD214" s="368">
        <v>1</v>
      </c>
      <c r="AE214" s="368">
        <f t="shared" si="162"/>
        <v>-1</v>
      </c>
      <c r="AF214" s="365"/>
      <c r="AG214" s="863">
        <f t="shared" si="152"/>
        <v>0</v>
      </c>
      <c r="AH214" s="864">
        <f t="shared" si="163"/>
        <v>0</v>
      </c>
      <c r="AI214" s="863">
        <f t="shared" si="153"/>
        <v>0</v>
      </c>
      <c r="AJ214" s="864">
        <f t="shared" si="164"/>
        <v>0</v>
      </c>
      <c r="AK214" s="365"/>
      <c r="AL214" s="865">
        <f t="shared" si="154"/>
        <v>0</v>
      </c>
      <c r="AM214" s="866">
        <f t="shared" si="165"/>
        <v>0</v>
      </c>
      <c r="AN214" s="866">
        <f t="shared" si="166"/>
        <v>0</v>
      </c>
      <c r="AO214" s="866">
        <f t="shared" si="167"/>
        <v>0</v>
      </c>
      <c r="AP214" s="867">
        <f t="shared" si="168"/>
        <v>0</v>
      </c>
      <c r="AQ214" s="591"/>
      <c r="AR214" s="868"/>
      <c r="AS214" s="868"/>
      <c r="AT214" s="868"/>
      <c r="AU214" s="868"/>
      <c r="AV214" s="841"/>
      <c r="AW214" s="869"/>
      <c r="AX214" s="870"/>
      <c r="AY214" s="871"/>
      <c r="AZ214" s="237" t="str">
        <f t="shared" si="143"/>
        <v xml:space="preserve">10.006 </v>
      </c>
      <c r="BA214" s="365"/>
      <c r="BB214" s="365"/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872">
        <f t="shared" si="144"/>
        <v>0</v>
      </c>
      <c r="BM214" s="873">
        <f t="shared" si="145"/>
        <v>0</v>
      </c>
      <c r="BN214" s="874">
        <f t="shared" si="173"/>
        <v>0</v>
      </c>
      <c r="BO214" s="875">
        <f t="shared" si="146"/>
        <v>0</v>
      </c>
      <c r="BP214" s="875">
        <f t="shared" si="147"/>
        <v>0</v>
      </c>
      <c r="BQ214" s="876">
        <f t="shared" si="174"/>
        <v>0</v>
      </c>
      <c r="BR214" s="877">
        <f t="shared" si="175"/>
        <v>0</v>
      </c>
      <c r="BS214" s="875">
        <f t="shared" si="148"/>
        <v>0</v>
      </c>
      <c r="BT214" s="875">
        <f t="shared" si="149"/>
        <v>0</v>
      </c>
      <c r="BU214" s="878">
        <f t="shared" si="176"/>
        <v>0</v>
      </c>
      <c r="CE214" s="486">
        <v>202</v>
      </c>
    </row>
    <row r="215" spans="1:83" s="177" customFormat="1" ht="21.95" customHeight="1" x14ac:dyDescent="0.2">
      <c r="A215" s="237">
        <f t="shared" si="150"/>
        <v>0</v>
      </c>
      <c r="B215" s="237">
        <f t="shared" si="151"/>
        <v>0</v>
      </c>
      <c r="C215" s="393">
        <f t="shared" si="136"/>
        <v>0</v>
      </c>
      <c r="D215" s="393" t="str">
        <f t="shared" si="137"/>
        <v xml:space="preserve">10 </v>
      </c>
      <c r="E215" s="959" t="s">
        <v>653</v>
      </c>
      <c r="F215" s="959" t="s">
        <v>1473</v>
      </c>
      <c r="G215" s="959" t="s">
        <v>15</v>
      </c>
      <c r="H215" s="970">
        <v>98.1</v>
      </c>
      <c r="I215" s="965">
        <v>116.67140000000001</v>
      </c>
      <c r="J215" s="962">
        <v>11445.46</v>
      </c>
      <c r="K215" s="367">
        <v>0</v>
      </c>
      <c r="L215" s="367">
        <f>IF($H215="",0,VLOOKUP($E215,Plan3!$A$16:$CT$384,$E$7,0)%)</f>
        <v>0</v>
      </c>
      <c r="M215" s="368">
        <f t="shared" si="155"/>
        <v>0</v>
      </c>
      <c r="N215" s="368">
        <f t="shared" si="156"/>
        <v>0</v>
      </c>
      <c r="O215" s="367">
        <v>0</v>
      </c>
      <c r="P215" s="367">
        <f>VLOOKUP($E215,Plan3!$A$492:$P$858,13,0)%</f>
        <v>0</v>
      </c>
      <c r="Q215" s="368">
        <f t="shared" si="157"/>
        <v>0</v>
      </c>
      <c r="R215" s="368">
        <f t="shared" si="158"/>
        <v>0</v>
      </c>
      <c r="S215" s="880">
        <v>11578.227336</v>
      </c>
      <c r="T215" s="880">
        <f t="shared" si="159"/>
        <v>0</v>
      </c>
      <c r="U215" s="880">
        <f>IF($I215="",0,($S215-$T215)*(1+('Econômico Macro'!$R$12/100)))</f>
        <v>11778.530668912801</v>
      </c>
      <c r="V215" s="880">
        <f t="shared" si="160"/>
        <v>11778.530668912801</v>
      </c>
      <c r="W215" s="880">
        <f t="shared" si="161"/>
        <v>0</v>
      </c>
      <c r="X215" s="367">
        <f t="shared" si="138"/>
        <v>0</v>
      </c>
      <c r="Y215" s="367">
        <f t="shared" si="139"/>
        <v>0</v>
      </c>
      <c r="Z215" s="367">
        <f t="shared" si="140"/>
        <v>0</v>
      </c>
      <c r="AA215" s="367">
        <f t="shared" si="141"/>
        <v>0</v>
      </c>
      <c r="AB215" s="369" t="str">
        <f t="shared" si="142"/>
        <v>Não Iniciada</v>
      </c>
      <c r="AC215" s="365"/>
      <c r="AD215" s="368">
        <v>1</v>
      </c>
      <c r="AE215" s="368">
        <f t="shared" si="162"/>
        <v>-1</v>
      </c>
      <c r="AF215" s="365"/>
      <c r="AG215" s="863">
        <f t="shared" si="152"/>
        <v>0</v>
      </c>
      <c r="AH215" s="864">
        <f t="shared" si="163"/>
        <v>0</v>
      </c>
      <c r="AI215" s="863">
        <f t="shared" si="153"/>
        <v>0</v>
      </c>
      <c r="AJ215" s="864">
        <f t="shared" si="164"/>
        <v>0</v>
      </c>
      <c r="AK215" s="365"/>
      <c r="AL215" s="865">
        <f t="shared" si="154"/>
        <v>0</v>
      </c>
      <c r="AM215" s="866">
        <f t="shared" si="165"/>
        <v>0</v>
      </c>
      <c r="AN215" s="866">
        <f t="shared" si="166"/>
        <v>0</v>
      </c>
      <c r="AO215" s="866">
        <f t="shared" si="167"/>
        <v>0</v>
      </c>
      <c r="AP215" s="867">
        <f t="shared" si="168"/>
        <v>0</v>
      </c>
      <c r="AQ215" s="591">
        <f t="shared" si="169"/>
        <v>0</v>
      </c>
      <c r="AR215" s="868">
        <f>IF(AND($L215=0,$P215=0)=TRUE,VLOOKUP($E215,Plan3!$A$16:$CT$487,$E$7+3,0)/100,0)</f>
        <v>0</v>
      </c>
      <c r="AS215" s="868">
        <f>IF(AND($L215=0,$P215=0)=TRUE,VLOOKUP($E215,Plan3!$A$16:$CT$487,$E$7+6,0)/100,0)</f>
        <v>0</v>
      </c>
      <c r="AT215" s="868">
        <f>IF(AND($L215=0,$P215=0)=TRUE,VLOOKUP($E215,Plan3!$A$16:$CT$487,$E$7+9,0)/100,0)</f>
        <v>0</v>
      </c>
      <c r="AU215" s="868">
        <f>IF(AND($L215=0,$P215=0)=TRUE,VLOOKUP($E215,Plan3!$A$16:$CT$487,$E$7+12,0)/100,0)</f>
        <v>0</v>
      </c>
      <c r="AV215" s="841"/>
      <c r="AW215" s="869">
        <f t="shared" si="170"/>
        <v>0</v>
      </c>
      <c r="AX215" s="870">
        <f t="shared" si="171"/>
        <v>0</v>
      </c>
      <c r="AY215" s="871">
        <f t="shared" si="172"/>
        <v>0</v>
      </c>
      <c r="AZ215" s="237" t="str">
        <f t="shared" si="143"/>
        <v xml:space="preserve">10.006.000.001 </v>
      </c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872">
        <f t="shared" si="144"/>
        <v>0</v>
      </c>
      <c r="BM215" s="873">
        <f t="shared" si="145"/>
        <v>0</v>
      </c>
      <c r="BN215" s="874">
        <f t="shared" si="173"/>
        <v>0</v>
      </c>
      <c r="BO215" s="875">
        <f t="shared" si="146"/>
        <v>0</v>
      </c>
      <c r="BP215" s="875">
        <f t="shared" si="147"/>
        <v>0</v>
      </c>
      <c r="BQ215" s="876">
        <f t="shared" si="174"/>
        <v>0</v>
      </c>
      <c r="BR215" s="877">
        <f t="shared" si="175"/>
        <v>0</v>
      </c>
      <c r="BS215" s="875">
        <f t="shared" si="148"/>
        <v>0</v>
      </c>
      <c r="BT215" s="875">
        <f t="shared" si="149"/>
        <v>0</v>
      </c>
      <c r="BU215" s="878">
        <f t="shared" si="176"/>
        <v>0</v>
      </c>
      <c r="CE215" s="486">
        <v>203</v>
      </c>
    </row>
    <row r="216" spans="1:83" s="177" customFormat="1" ht="21.95" customHeight="1" x14ac:dyDescent="0.2">
      <c r="A216" s="237">
        <f t="shared" si="150"/>
        <v>0</v>
      </c>
      <c r="B216" s="237">
        <f t="shared" si="151"/>
        <v>0</v>
      </c>
      <c r="C216" s="393">
        <f t="shared" si="136"/>
        <v>0</v>
      </c>
      <c r="D216" s="393" t="str">
        <f t="shared" si="137"/>
        <v xml:space="preserve">10 </v>
      </c>
      <c r="E216" s="967" t="s">
        <v>1474</v>
      </c>
      <c r="F216" s="967" t="s">
        <v>116</v>
      </c>
      <c r="G216" s="967"/>
      <c r="H216" s="968"/>
      <c r="I216" s="968"/>
      <c r="J216" s="969">
        <v>14748.53</v>
      </c>
      <c r="K216" s="367">
        <v>0</v>
      </c>
      <c r="L216" s="367">
        <f>IF($H216="",0,VLOOKUP($E216,Plan3!$A$16:$CT$384,$E$7,0)%)</f>
        <v>0</v>
      </c>
      <c r="M216" s="368">
        <f t="shared" si="155"/>
        <v>0</v>
      </c>
      <c r="N216" s="368">
        <f t="shared" si="156"/>
        <v>0</v>
      </c>
      <c r="O216" s="367">
        <v>0</v>
      </c>
      <c r="P216" s="367">
        <f>VLOOKUP($E216,Plan3!$A$492:$P$858,13,0)%</f>
        <v>0</v>
      </c>
      <c r="Q216" s="368">
        <f t="shared" si="157"/>
        <v>0</v>
      </c>
      <c r="R216" s="368">
        <f t="shared" si="158"/>
        <v>0</v>
      </c>
      <c r="S216" s="880">
        <v>0</v>
      </c>
      <c r="T216" s="880">
        <f t="shared" si="159"/>
        <v>0</v>
      </c>
      <c r="U216" s="880">
        <f>IF($I216="",0,($S216-$T216)*(1+('Econômico Macro'!$R$12/100)))</f>
        <v>0</v>
      </c>
      <c r="V216" s="880">
        <f t="shared" si="160"/>
        <v>0</v>
      </c>
      <c r="W216" s="880">
        <f t="shared" si="161"/>
        <v>0</v>
      </c>
      <c r="X216" s="367">
        <f t="shared" si="138"/>
        <v>0</v>
      </c>
      <c r="Y216" s="367">
        <f t="shared" si="139"/>
        <v>0</v>
      </c>
      <c r="Z216" s="367">
        <f t="shared" si="140"/>
        <v>0</v>
      </c>
      <c r="AA216" s="367">
        <f t="shared" si="141"/>
        <v>0</v>
      </c>
      <c r="AB216" s="369" t="str">
        <f t="shared" si="142"/>
        <v>Não Iniciada</v>
      </c>
      <c r="AC216" s="365"/>
      <c r="AD216" s="368">
        <v>1</v>
      </c>
      <c r="AE216" s="368">
        <f t="shared" si="162"/>
        <v>-1</v>
      </c>
      <c r="AF216" s="365"/>
      <c r="AG216" s="863">
        <f t="shared" si="152"/>
        <v>0</v>
      </c>
      <c r="AH216" s="864">
        <f t="shared" si="163"/>
        <v>0</v>
      </c>
      <c r="AI216" s="863">
        <f t="shared" si="153"/>
        <v>0</v>
      </c>
      <c r="AJ216" s="864">
        <f t="shared" si="164"/>
        <v>0</v>
      </c>
      <c r="AK216" s="365"/>
      <c r="AL216" s="865">
        <f t="shared" si="154"/>
        <v>0</v>
      </c>
      <c r="AM216" s="866">
        <f t="shared" si="165"/>
        <v>0</v>
      </c>
      <c r="AN216" s="866">
        <f t="shared" si="166"/>
        <v>0</v>
      </c>
      <c r="AO216" s="866">
        <f t="shared" si="167"/>
        <v>0</v>
      </c>
      <c r="AP216" s="867">
        <f t="shared" si="168"/>
        <v>0</v>
      </c>
      <c r="AQ216" s="591"/>
      <c r="AR216" s="868"/>
      <c r="AS216" s="868"/>
      <c r="AT216" s="868"/>
      <c r="AU216" s="868"/>
      <c r="AV216" s="841"/>
      <c r="AW216" s="869"/>
      <c r="AX216" s="870"/>
      <c r="AY216" s="871"/>
      <c r="AZ216" s="237" t="str">
        <f t="shared" si="143"/>
        <v xml:space="preserve">10.007 </v>
      </c>
      <c r="BA216" s="365"/>
      <c r="BB216" s="365"/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872">
        <f t="shared" si="144"/>
        <v>0</v>
      </c>
      <c r="BM216" s="873">
        <f t="shared" si="145"/>
        <v>0</v>
      </c>
      <c r="BN216" s="874">
        <f t="shared" si="173"/>
        <v>0</v>
      </c>
      <c r="BO216" s="875">
        <f t="shared" si="146"/>
        <v>0</v>
      </c>
      <c r="BP216" s="875">
        <f t="shared" si="147"/>
        <v>0</v>
      </c>
      <c r="BQ216" s="876">
        <f t="shared" si="174"/>
        <v>0</v>
      </c>
      <c r="BR216" s="877">
        <f t="shared" si="175"/>
        <v>0</v>
      </c>
      <c r="BS216" s="875">
        <f t="shared" si="148"/>
        <v>0</v>
      </c>
      <c r="BT216" s="875">
        <f t="shared" si="149"/>
        <v>0</v>
      </c>
      <c r="BU216" s="878">
        <f t="shared" si="176"/>
        <v>0</v>
      </c>
      <c r="CE216" s="486">
        <v>204</v>
      </c>
    </row>
    <row r="217" spans="1:83" s="177" customFormat="1" ht="21.95" customHeight="1" x14ac:dyDescent="0.2">
      <c r="A217" s="237">
        <f t="shared" si="150"/>
        <v>0</v>
      </c>
      <c r="B217" s="237">
        <f t="shared" si="151"/>
        <v>0</v>
      </c>
      <c r="C217" s="393">
        <f t="shared" si="136"/>
        <v>0</v>
      </c>
      <c r="D217" s="393" t="str">
        <f t="shared" si="137"/>
        <v xml:space="preserve">10 </v>
      </c>
      <c r="E217" s="959" t="s">
        <v>1475</v>
      </c>
      <c r="F217" s="959" t="s">
        <v>2275</v>
      </c>
      <c r="G217" s="959" t="s">
        <v>90</v>
      </c>
      <c r="H217" s="970">
        <v>18.899999999999999</v>
      </c>
      <c r="I217" s="965">
        <v>424.91390000000001</v>
      </c>
      <c r="J217" s="964">
        <v>8030.87</v>
      </c>
      <c r="K217" s="367">
        <v>0</v>
      </c>
      <c r="L217" s="367">
        <f>IF($H217="",0,VLOOKUP($E217,Plan3!$A$16:$CT$384,$E$7,0)%)</f>
        <v>0</v>
      </c>
      <c r="M217" s="368">
        <f t="shared" si="155"/>
        <v>0</v>
      </c>
      <c r="N217" s="368">
        <f t="shared" si="156"/>
        <v>0</v>
      </c>
      <c r="O217" s="367">
        <v>0</v>
      </c>
      <c r="P217" s="367">
        <f>VLOOKUP($E217,Plan3!$A$492:$P$858,13,0)%</f>
        <v>0</v>
      </c>
      <c r="Q217" s="368">
        <f t="shared" si="157"/>
        <v>0</v>
      </c>
      <c r="R217" s="368">
        <f t="shared" si="158"/>
        <v>0</v>
      </c>
      <c r="S217" s="880">
        <v>8124.0280920000005</v>
      </c>
      <c r="T217" s="880">
        <f t="shared" si="159"/>
        <v>0</v>
      </c>
      <c r="U217" s="880">
        <f>IF($I217="",0,($S217-$T217)*(1+('Econômico Macro'!$R$12/100)))</f>
        <v>8264.5737779916017</v>
      </c>
      <c r="V217" s="880">
        <f t="shared" si="160"/>
        <v>8264.5737779916017</v>
      </c>
      <c r="W217" s="880">
        <f t="shared" si="161"/>
        <v>0</v>
      </c>
      <c r="X217" s="367">
        <f t="shared" si="138"/>
        <v>0</v>
      </c>
      <c r="Y217" s="367">
        <f t="shared" si="139"/>
        <v>0</v>
      </c>
      <c r="Z217" s="367">
        <f t="shared" si="140"/>
        <v>0</v>
      </c>
      <c r="AA217" s="367">
        <f t="shared" si="141"/>
        <v>0</v>
      </c>
      <c r="AB217" s="369" t="str">
        <f t="shared" si="142"/>
        <v>Não Iniciada</v>
      </c>
      <c r="AC217" s="365"/>
      <c r="AD217" s="368">
        <v>1</v>
      </c>
      <c r="AE217" s="368">
        <f t="shared" si="162"/>
        <v>-1</v>
      </c>
      <c r="AF217" s="365"/>
      <c r="AG217" s="863">
        <f t="shared" si="152"/>
        <v>0</v>
      </c>
      <c r="AH217" s="864">
        <f t="shared" si="163"/>
        <v>0</v>
      </c>
      <c r="AI217" s="863">
        <f t="shared" si="153"/>
        <v>0</v>
      </c>
      <c r="AJ217" s="864">
        <f t="shared" si="164"/>
        <v>0</v>
      </c>
      <c r="AK217" s="365"/>
      <c r="AL217" s="865">
        <f t="shared" si="154"/>
        <v>0</v>
      </c>
      <c r="AM217" s="866">
        <f t="shared" si="165"/>
        <v>0</v>
      </c>
      <c r="AN217" s="866">
        <f t="shared" si="166"/>
        <v>0</v>
      </c>
      <c r="AO217" s="866">
        <f t="shared" si="167"/>
        <v>0</v>
      </c>
      <c r="AP217" s="867">
        <f t="shared" si="168"/>
        <v>0</v>
      </c>
      <c r="AQ217" s="591">
        <f t="shared" si="169"/>
        <v>0</v>
      </c>
      <c r="AR217" s="868">
        <f>IF(AND($L217=0,$P217=0)=TRUE,VLOOKUP($E217,Plan3!$A$16:$CT$487,$E$7+3,0)/100,0)</f>
        <v>0</v>
      </c>
      <c r="AS217" s="868">
        <f>IF(AND($L217=0,$P217=0)=TRUE,VLOOKUP($E217,Plan3!$A$16:$CT$487,$E$7+6,0)/100,0)</f>
        <v>0</v>
      </c>
      <c r="AT217" s="868">
        <f>IF(AND($L217=0,$P217=0)=TRUE,VLOOKUP($E217,Plan3!$A$16:$CT$487,$E$7+9,0)/100,0)</f>
        <v>0</v>
      </c>
      <c r="AU217" s="868">
        <f>IF(AND($L217=0,$P217=0)=TRUE,VLOOKUP($E217,Plan3!$A$16:$CT$487,$E$7+12,0)/100,0)</f>
        <v>0</v>
      </c>
      <c r="AV217" s="841"/>
      <c r="AW217" s="869">
        <f t="shared" si="170"/>
        <v>0</v>
      </c>
      <c r="AX217" s="870">
        <f t="shared" si="171"/>
        <v>0</v>
      </c>
      <c r="AY217" s="871">
        <f t="shared" si="172"/>
        <v>0</v>
      </c>
      <c r="AZ217" s="237" t="str">
        <f t="shared" si="143"/>
        <v xml:space="preserve">10.007.000.001 </v>
      </c>
      <c r="BA217" s="365"/>
      <c r="BB217" s="365"/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872">
        <f t="shared" si="144"/>
        <v>0</v>
      </c>
      <c r="BM217" s="873">
        <f t="shared" si="145"/>
        <v>0</v>
      </c>
      <c r="BN217" s="874">
        <f t="shared" si="173"/>
        <v>0</v>
      </c>
      <c r="BO217" s="875">
        <f t="shared" si="146"/>
        <v>0</v>
      </c>
      <c r="BP217" s="875">
        <f t="shared" si="147"/>
        <v>0</v>
      </c>
      <c r="BQ217" s="876">
        <f t="shared" si="174"/>
        <v>0</v>
      </c>
      <c r="BR217" s="877">
        <f t="shared" si="175"/>
        <v>0</v>
      </c>
      <c r="BS217" s="875">
        <f t="shared" si="148"/>
        <v>0</v>
      </c>
      <c r="BT217" s="875">
        <f t="shared" si="149"/>
        <v>0</v>
      </c>
      <c r="BU217" s="878">
        <f t="shared" si="176"/>
        <v>0</v>
      </c>
      <c r="CE217" s="486">
        <v>205</v>
      </c>
    </row>
    <row r="218" spans="1:83" s="177" customFormat="1" ht="21.95" customHeight="1" x14ac:dyDescent="0.2">
      <c r="A218" s="237">
        <f t="shared" si="150"/>
        <v>0</v>
      </c>
      <c r="B218" s="237">
        <f t="shared" si="151"/>
        <v>0</v>
      </c>
      <c r="C218" s="393">
        <f t="shared" si="136"/>
        <v>0</v>
      </c>
      <c r="D218" s="393" t="str">
        <f t="shared" si="137"/>
        <v xml:space="preserve">10 </v>
      </c>
      <c r="E218" s="959" t="s">
        <v>1476</v>
      </c>
      <c r="F218" s="959" t="s">
        <v>2276</v>
      </c>
      <c r="G218" s="959" t="s">
        <v>90</v>
      </c>
      <c r="H218" s="970">
        <v>29.29</v>
      </c>
      <c r="I218" s="965">
        <v>229.34989999999999</v>
      </c>
      <c r="J218" s="964">
        <v>6717.66</v>
      </c>
      <c r="K218" s="367">
        <v>0</v>
      </c>
      <c r="L218" s="367">
        <f>IF($H218="",0,VLOOKUP($E218,Plan3!$A$16:$CT$384,$E$7,0)%)</f>
        <v>0</v>
      </c>
      <c r="M218" s="368">
        <f t="shared" si="155"/>
        <v>0</v>
      </c>
      <c r="N218" s="368">
        <f t="shared" si="156"/>
        <v>0</v>
      </c>
      <c r="O218" s="367">
        <v>0</v>
      </c>
      <c r="P218" s="367">
        <f>VLOOKUP($E218,Plan3!$A$492:$P$858,13,0)%</f>
        <v>0</v>
      </c>
      <c r="Q218" s="368">
        <f t="shared" si="157"/>
        <v>0</v>
      </c>
      <c r="R218" s="368">
        <f t="shared" si="158"/>
        <v>0</v>
      </c>
      <c r="S218" s="880">
        <v>6795.5848560000004</v>
      </c>
      <c r="T218" s="880">
        <f t="shared" si="159"/>
        <v>0</v>
      </c>
      <c r="U218" s="880">
        <f>IF($I218="",0,($S218-$T218)*(1+('Econômico Macro'!$R$12/100)))</f>
        <v>6913.1484740088008</v>
      </c>
      <c r="V218" s="880">
        <f t="shared" si="160"/>
        <v>6913.1484740088008</v>
      </c>
      <c r="W218" s="880">
        <f t="shared" si="161"/>
        <v>0</v>
      </c>
      <c r="X218" s="367">
        <f t="shared" si="138"/>
        <v>0</v>
      </c>
      <c r="Y218" s="367">
        <f t="shared" si="139"/>
        <v>0</v>
      </c>
      <c r="Z218" s="367">
        <f t="shared" si="140"/>
        <v>0</v>
      </c>
      <c r="AA218" s="367">
        <f t="shared" si="141"/>
        <v>0</v>
      </c>
      <c r="AB218" s="369" t="str">
        <f t="shared" si="142"/>
        <v>Não Iniciada</v>
      </c>
      <c r="AC218" s="365"/>
      <c r="AD218" s="368">
        <v>1</v>
      </c>
      <c r="AE218" s="368">
        <f t="shared" si="162"/>
        <v>-1</v>
      </c>
      <c r="AF218" s="365"/>
      <c r="AG218" s="863">
        <f t="shared" si="152"/>
        <v>0</v>
      </c>
      <c r="AH218" s="864">
        <f t="shared" si="163"/>
        <v>0</v>
      </c>
      <c r="AI218" s="863">
        <f t="shared" si="153"/>
        <v>0</v>
      </c>
      <c r="AJ218" s="864">
        <f t="shared" si="164"/>
        <v>0</v>
      </c>
      <c r="AK218" s="365"/>
      <c r="AL218" s="865">
        <f t="shared" si="154"/>
        <v>0</v>
      </c>
      <c r="AM218" s="866">
        <f t="shared" si="165"/>
        <v>0</v>
      </c>
      <c r="AN218" s="866">
        <f t="shared" si="166"/>
        <v>0</v>
      </c>
      <c r="AO218" s="866">
        <f t="shared" si="167"/>
        <v>0</v>
      </c>
      <c r="AP218" s="867">
        <f t="shared" si="168"/>
        <v>0</v>
      </c>
      <c r="AQ218" s="591">
        <f t="shared" si="169"/>
        <v>0</v>
      </c>
      <c r="AR218" s="868">
        <f>IF(AND($L218=0,$P218=0)=TRUE,VLOOKUP($E218,Plan3!$A$16:$CT$487,$E$7+3,0)/100,0)</f>
        <v>0</v>
      </c>
      <c r="AS218" s="868">
        <f>IF(AND($L218=0,$P218=0)=TRUE,VLOOKUP($E218,Plan3!$A$16:$CT$487,$E$7+6,0)/100,0)</f>
        <v>0</v>
      </c>
      <c r="AT218" s="868">
        <f>IF(AND($L218=0,$P218=0)=TRUE,VLOOKUP($E218,Plan3!$A$16:$CT$487,$E$7+9,0)/100,0)</f>
        <v>0</v>
      </c>
      <c r="AU218" s="868">
        <f>IF(AND($L218=0,$P218=0)=TRUE,VLOOKUP($E218,Plan3!$A$16:$CT$487,$E$7+12,0)/100,0)</f>
        <v>0</v>
      </c>
      <c r="AV218" s="841"/>
      <c r="AW218" s="869">
        <f t="shared" si="170"/>
        <v>0</v>
      </c>
      <c r="AX218" s="870">
        <f t="shared" si="171"/>
        <v>0</v>
      </c>
      <c r="AY218" s="871">
        <f t="shared" si="172"/>
        <v>0</v>
      </c>
      <c r="AZ218" s="237" t="str">
        <f t="shared" si="143"/>
        <v xml:space="preserve">10.007.000.002 </v>
      </c>
      <c r="BA218" s="365"/>
      <c r="BB218" s="365"/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872">
        <f t="shared" si="144"/>
        <v>0</v>
      </c>
      <c r="BM218" s="873">
        <f t="shared" si="145"/>
        <v>0</v>
      </c>
      <c r="BN218" s="874">
        <f t="shared" si="173"/>
        <v>0</v>
      </c>
      <c r="BO218" s="875">
        <f t="shared" si="146"/>
        <v>0</v>
      </c>
      <c r="BP218" s="875">
        <f t="shared" si="147"/>
        <v>0</v>
      </c>
      <c r="BQ218" s="876">
        <f t="shared" si="174"/>
        <v>0</v>
      </c>
      <c r="BR218" s="877">
        <f t="shared" si="175"/>
        <v>0</v>
      </c>
      <c r="BS218" s="875">
        <f t="shared" si="148"/>
        <v>0</v>
      </c>
      <c r="BT218" s="875">
        <f t="shared" si="149"/>
        <v>0</v>
      </c>
      <c r="BU218" s="878">
        <f t="shared" si="176"/>
        <v>0</v>
      </c>
      <c r="CE218" s="486">
        <v>206</v>
      </c>
    </row>
    <row r="219" spans="1:83" s="177" customFormat="1" ht="21.95" customHeight="1" x14ac:dyDescent="0.2">
      <c r="A219" s="237">
        <f t="shared" si="150"/>
        <v>0</v>
      </c>
      <c r="B219" s="237">
        <f t="shared" si="151"/>
        <v>0</v>
      </c>
      <c r="C219" s="393" t="str">
        <f t="shared" si="136"/>
        <v xml:space="preserve">11 </v>
      </c>
      <c r="D219" s="393" t="str">
        <f t="shared" si="137"/>
        <v xml:space="preserve">11 </v>
      </c>
      <c r="E219" s="161" t="s">
        <v>133</v>
      </c>
      <c r="F219" s="161" t="s">
        <v>654</v>
      </c>
      <c r="G219" s="162"/>
      <c r="H219" s="162"/>
      <c r="I219" s="162"/>
      <c r="J219" s="163">
        <v>43276.78</v>
      </c>
      <c r="K219" s="164">
        <v>0</v>
      </c>
      <c r="L219" s="164">
        <f t="array" ref="L219">SUM(IF($D220:$D$379=$E219,$L220:$L$379*$J220:$J$379))/$J219</f>
        <v>0</v>
      </c>
      <c r="M219" s="163"/>
      <c r="N219" s="163">
        <f>$L219*$J219</f>
        <v>0</v>
      </c>
      <c r="O219" s="164">
        <v>0</v>
      </c>
      <c r="P219" s="164">
        <f t="array" ref="P219">SUM(IF($D220:$D$379=$E219,$P220:$P$379*$J220:$J$379))/$J219</f>
        <v>0</v>
      </c>
      <c r="Q219" s="163">
        <f>$P219*$H219</f>
        <v>0</v>
      </c>
      <c r="R219" s="163">
        <f>$P219*$J219</f>
        <v>0</v>
      </c>
      <c r="S219" s="163">
        <v>43778.790648000002</v>
      </c>
      <c r="T219" s="163">
        <f>SUM(T220:T224)</f>
        <v>0</v>
      </c>
      <c r="U219" s="163"/>
      <c r="V219" s="163">
        <f t="shared" ref="V219:W219" si="177">SUM(V220:V224)</f>
        <v>44536.163726210405</v>
      </c>
      <c r="W219" s="163">
        <f t="shared" si="177"/>
        <v>0</v>
      </c>
      <c r="X219" s="164">
        <f t="shared" si="138"/>
        <v>0</v>
      </c>
      <c r="Y219" s="164">
        <f t="shared" si="139"/>
        <v>0</v>
      </c>
      <c r="Z219" s="164">
        <f t="shared" si="140"/>
        <v>0</v>
      </c>
      <c r="AA219" s="164">
        <f t="shared" si="141"/>
        <v>0</v>
      </c>
      <c r="AB219" s="201" t="str">
        <f t="shared" si="142"/>
        <v>Não Iniciada</v>
      </c>
      <c r="AC219" s="155" t="s">
        <v>763</v>
      </c>
      <c r="AD219" s="689">
        <v>0</v>
      </c>
      <c r="AE219" s="835">
        <f>Q219-AD219</f>
        <v>0</v>
      </c>
      <c r="AF219" s="155"/>
      <c r="AG219" s="207"/>
      <c r="AH219" s="208"/>
      <c r="AI219" s="207"/>
      <c r="AJ219" s="208"/>
      <c r="AK219" s="155"/>
      <c r="AL219" s="212"/>
      <c r="AM219" s="209"/>
      <c r="AN219" s="209"/>
      <c r="AO219" s="209"/>
      <c r="AP219" s="213"/>
      <c r="AQ219" s="401"/>
      <c r="AR219" s="247"/>
      <c r="AS219" s="247"/>
      <c r="AT219" s="247"/>
      <c r="AU219" s="247"/>
      <c r="AV219" s="155"/>
      <c r="AW219" s="250"/>
      <c r="AX219" s="248"/>
      <c r="AY219" s="402"/>
      <c r="AZ219" s="237" t="str">
        <f t="shared" si="143"/>
        <v xml:space="preserve">11 </v>
      </c>
      <c r="BA219" s="155"/>
      <c r="BB219" s="155"/>
      <c r="BC219" s="155"/>
      <c r="BD219" s="155"/>
      <c r="BE219" s="155"/>
      <c r="BF219" s="155"/>
      <c r="BG219" s="155"/>
      <c r="BH219" s="155"/>
      <c r="BI219" s="155"/>
      <c r="BJ219" s="155"/>
      <c r="BK219" s="155"/>
      <c r="BL219" s="666" t="str">
        <f t="shared" si="144"/>
        <v xml:space="preserve">11 </v>
      </c>
      <c r="BM219" s="667">
        <f t="shared" si="145"/>
        <v>0</v>
      </c>
      <c r="BN219" s="668">
        <f>IF($BQ219=0,0,RANK($BQ219,$BQ$12:$BQ$379))</f>
        <v>0</v>
      </c>
      <c r="BO219" s="669">
        <f t="shared" si="146"/>
        <v>0</v>
      </c>
      <c r="BP219" s="669">
        <f t="shared" si="147"/>
        <v>0</v>
      </c>
      <c r="BQ219" s="670">
        <f>IF($BP219=0,0,$BP219/$BP$380)</f>
        <v>0</v>
      </c>
      <c r="BR219" s="671">
        <f>IF($BU219=0,0,RANK($BU219,$BU$12:$BU$379))</f>
        <v>0</v>
      </c>
      <c r="BS219" s="669">
        <f t="shared" si="148"/>
        <v>0</v>
      </c>
      <c r="BT219" s="669">
        <f t="shared" si="149"/>
        <v>0</v>
      </c>
      <c r="BU219" s="672">
        <f>IF($BT219=0,0,$BT219/$BT$380)</f>
        <v>0</v>
      </c>
      <c r="CE219" s="486">
        <v>207</v>
      </c>
    </row>
    <row r="220" spans="1:83" s="177" customFormat="1" ht="21.95" customHeight="1" x14ac:dyDescent="0.2">
      <c r="A220" s="237">
        <f t="shared" si="150"/>
        <v>0</v>
      </c>
      <c r="B220" s="237">
        <f t="shared" si="151"/>
        <v>0</v>
      </c>
      <c r="C220" s="393">
        <f t="shared" si="136"/>
        <v>0</v>
      </c>
      <c r="D220" s="393" t="str">
        <f t="shared" si="137"/>
        <v xml:space="preserve">11 </v>
      </c>
      <c r="E220" s="967" t="s">
        <v>239</v>
      </c>
      <c r="F220" s="967" t="s">
        <v>655</v>
      </c>
      <c r="G220" s="967"/>
      <c r="H220" s="968"/>
      <c r="I220" s="968"/>
      <c r="J220" s="969">
        <v>43276.78</v>
      </c>
      <c r="K220" s="367">
        <v>0</v>
      </c>
      <c r="L220" s="367">
        <f>IF($H220="",0,VLOOKUP($E220,Plan3!$A$16:$CT$384,$E$7,0)%)</f>
        <v>0</v>
      </c>
      <c r="M220" s="368">
        <f t="shared" si="155"/>
        <v>0</v>
      </c>
      <c r="N220" s="368">
        <f t="shared" si="156"/>
        <v>0</v>
      </c>
      <c r="O220" s="367">
        <v>0</v>
      </c>
      <c r="P220" s="367">
        <f>VLOOKUP($E220,Plan3!$A$492:$P$858,13,0)%</f>
        <v>0</v>
      </c>
      <c r="Q220" s="368">
        <f t="shared" si="157"/>
        <v>0</v>
      </c>
      <c r="R220" s="368">
        <f t="shared" si="158"/>
        <v>0</v>
      </c>
      <c r="S220" s="880">
        <v>0</v>
      </c>
      <c r="T220" s="880">
        <f t="shared" si="159"/>
        <v>0</v>
      </c>
      <c r="U220" s="880">
        <f>IF($I220="",0,($S220-$T220)*(1+('Econômico Macro'!$R$12/100)))</f>
        <v>0</v>
      </c>
      <c r="V220" s="880">
        <f t="shared" si="160"/>
        <v>0</v>
      </c>
      <c r="W220" s="880">
        <f t="shared" si="161"/>
        <v>0</v>
      </c>
      <c r="X220" s="367">
        <f t="shared" si="138"/>
        <v>0</v>
      </c>
      <c r="Y220" s="367">
        <f t="shared" si="139"/>
        <v>0</v>
      </c>
      <c r="Z220" s="367">
        <f t="shared" si="140"/>
        <v>0</v>
      </c>
      <c r="AA220" s="367">
        <f t="shared" si="141"/>
        <v>0</v>
      </c>
      <c r="AB220" s="369" t="str">
        <f t="shared" si="142"/>
        <v>Não Iniciada</v>
      </c>
      <c r="AC220" s="365"/>
      <c r="AD220" s="368">
        <v>1</v>
      </c>
      <c r="AE220" s="368">
        <f t="shared" si="162"/>
        <v>-1</v>
      </c>
      <c r="AF220" s="365"/>
      <c r="AG220" s="863">
        <f t="shared" si="152"/>
        <v>0</v>
      </c>
      <c r="AH220" s="864">
        <f t="shared" si="163"/>
        <v>0</v>
      </c>
      <c r="AI220" s="863">
        <f t="shared" si="153"/>
        <v>0</v>
      </c>
      <c r="AJ220" s="864">
        <f t="shared" si="164"/>
        <v>0</v>
      </c>
      <c r="AK220" s="365"/>
      <c r="AL220" s="865">
        <f t="shared" si="154"/>
        <v>0</v>
      </c>
      <c r="AM220" s="866">
        <f t="shared" si="165"/>
        <v>0</v>
      </c>
      <c r="AN220" s="866">
        <f t="shared" si="166"/>
        <v>0</v>
      </c>
      <c r="AO220" s="866">
        <f t="shared" si="167"/>
        <v>0</v>
      </c>
      <c r="AP220" s="867">
        <f t="shared" si="168"/>
        <v>0</v>
      </c>
      <c r="AQ220" s="591"/>
      <c r="AR220" s="868"/>
      <c r="AS220" s="868"/>
      <c r="AT220" s="868"/>
      <c r="AU220" s="868"/>
      <c r="AV220" s="841"/>
      <c r="AW220" s="869"/>
      <c r="AX220" s="870"/>
      <c r="AY220" s="871"/>
      <c r="AZ220" s="237" t="str">
        <f t="shared" si="143"/>
        <v xml:space="preserve">11.001 </v>
      </c>
      <c r="BA220" s="365"/>
      <c r="BB220" s="365"/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872">
        <f t="shared" si="144"/>
        <v>0</v>
      </c>
      <c r="BM220" s="873">
        <f t="shared" si="145"/>
        <v>0</v>
      </c>
      <c r="BN220" s="874">
        <f t="shared" si="173"/>
        <v>0</v>
      </c>
      <c r="BO220" s="875">
        <f t="shared" si="146"/>
        <v>0</v>
      </c>
      <c r="BP220" s="875">
        <f t="shared" si="147"/>
        <v>0</v>
      </c>
      <c r="BQ220" s="876">
        <f t="shared" si="174"/>
        <v>0</v>
      </c>
      <c r="BR220" s="877">
        <f t="shared" si="175"/>
        <v>0</v>
      </c>
      <c r="BS220" s="875">
        <f t="shared" si="148"/>
        <v>0</v>
      </c>
      <c r="BT220" s="875">
        <f t="shared" si="149"/>
        <v>0</v>
      </c>
      <c r="BU220" s="878">
        <f t="shared" si="176"/>
        <v>0</v>
      </c>
      <c r="CE220" s="486">
        <v>208</v>
      </c>
    </row>
    <row r="221" spans="1:83" s="177" customFormat="1" ht="21.95" customHeight="1" x14ac:dyDescent="0.2">
      <c r="A221" s="237">
        <f t="shared" si="150"/>
        <v>0</v>
      </c>
      <c r="B221" s="237">
        <f t="shared" si="151"/>
        <v>0</v>
      </c>
      <c r="C221" s="393">
        <f t="shared" si="136"/>
        <v>0</v>
      </c>
      <c r="D221" s="393" t="str">
        <f t="shared" si="137"/>
        <v xml:space="preserve">11 </v>
      </c>
      <c r="E221" s="959" t="s">
        <v>240</v>
      </c>
      <c r="F221" s="959" t="s">
        <v>2112</v>
      </c>
      <c r="G221" s="959" t="s">
        <v>90</v>
      </c>
      <c r="H221" s="965">
        <v>501.94</v>
      </c>
      <c r="I221" s="970">
        <v>37</v>
      </c>
      <c r="J221" s="962">
        <v>18571.78</v>
      </c>
      <c r="K221" s="367">
        <v>0</v>
      </c>
      <c r="L221" s="367">
        <f>IF($H221="",0,VLOOKUP($E221,Plan3!$A$16:$CT$384,$E$7,0)%)</f>
        <v>0</v>
      </c>
      <c r="M221" s="368">
        <f t="shared" si="155"/>
        <v>0</v>
      </c>
      <c r="N221" s="368">
        <f t="shared" si="156"/>
        <v>0</v>
      </c>
      <c r="O221" s="367">
        <v>0</v>
      </c>
      <c r="P221" s="367">
        <f>VLOOKUP($E221,Plan3!$A$492:$P$858,13,0)%</f>
        <v>0</v>
      </c>
      <c r="Q221" s="368">
        <f t="shared" si="157"/>
        <v>0</v>
      </c>
      <c r="R221" s="368">
        <f t="shared" si="158"/>
        <v>0</v>
      </c>
      <c r="S221" s="880">
        <v>18787.212648000001</v>
      </c>
      <c r="T221" s="880">
        <f t="shared" si="159"/>
        <v>0</v>
      </c>
      <c r="U221" s="880">
        <f>IF($I221="",0,($S221-$T221)*(1+('Econômico Macro'!$R$12/100)))</f>
        <v>19112.231426810402</v>
      </c>
      <c r="V221" s="880">
        <f t="shared" si="160"/>
        <v>19112.231426810402</v>
      </c>
      <c r="W221" s="880">
        <f t="shared" si="161"/>
        <v>0</v>
      </c>
      <c r="X221" s="367">
        <f t="shared" si="138"/>
        <v>0</v>
      </c>
      <c r="Y221" s="367">
        <f t="shared" si="139"/>
        <v>0</v>
      </c>
      <c r="Z221" s="367">
        <f t="shared" si="140"/>
        <v>0</v>
      </c>
      <c r="AA221" s="367">
        <f t="shared" si="141"/>
        <v>0</v>
      </c>
      <c r="AB221" s="369" t="str">
        <f t="shared" si="142"/>
        <v>Não Iniciada</v>
      </c>
      <c r="AC221" s="365"/>
      <c r="AD221" s="368">
        <v>1</v>
      </c>
      <c r="AE221" s="368">
        <f t="shared" si="162"/>
        <v>-1</v>
      </c>
      <c r="AF221" s="365"/>
      <c r="AG221" s="863">
        <f t="shared" si="152"/>
        <v>0</v>
      </c>
      <c r="AH221" s="864">
        <f t="shared" si="163"/>
        <v>0</v>
      </c>
      <c r="AI221" s="863">
        <f t="shared" si="153"/>
        <v>0</v>
      </c>
      <c r="AJ221" s="864">
        <f t="shared" si="164"/>
        <v>0</v>
      </c>
      <c r="AK221" s="365"/>
      <c r="AL221" s="865">
        <f t="shared" si="154"/>
        <v>0</v>
      </c>
      <c r="AM221" s="866">
        <f t="shared" si="165"/>
        <v>0</v>
      </c>
      <c r="AN221" s="866">
        <f t="shared" si="166"/>
        <v>0</v>
      </c>
      <c r="AO221" s="866">
        <f t="shared" si="167"/>
        <v>0</v>
      </c>
      <c r="AP221" s="867">
        <f t="shared" si="168"/>
        <v>0</v>
      </c>
      <c r="AQ221" s="591">
        <f t="shared" si="169"/>
        <v>0</v>
      </c>
      <c r="AR221" s="868">
        <f>IF(AND($L221=0,$P221=0)=TRUE,VLOOKUP($E221,Plan3!$A$16:$CT$487,$E$7+3,0)/100,0)</f>
        <v>0</v>
      </c>
      <c r="AS221" s="868">
        <f>IF(AND($L221=0,$P221=0)=TRUE,VLOOKUP($E221,Plan3!$A$16:$CT$487,$E$7+6,0)/100,0)</f>
        <v>0</v>
      </c>
      <c r="AT221" s="868">
        <f>IF(AND($L221=0,$P221=0)=TRUE,VLOOKUP($E221,Plan3!$A$16:$CT$487,$E$7+9,0)/100,0)</f>
        <v>0</v>
      </c>
      <c r="AU221" s="868">
        <f>IF(AND($L221=0,$P221=0)=TRUE,VLOOKUP($E221,Plan3!$A$16:$CT$487,$E$7+12,0)/100,0)</f>
        <v>0</v>
      </c>
      <c r="AV221" s="841"/>
      <c r="AW221" s="869">
        <f t="shared" si="170"/>
        <v>0</v>
      </c>
      <c r="AX221" s="870">
        <f t="shared" si="171"/>
        <v>0</v>
      </c>
      <c r="AY221" s="871">
        <f t="shared" si="172"/>
        <v>0</v>
      </c>
      <c r="AZ221" s="237" t="str">
        <f t="shared" si="143"/>
        <v xml:space="preserve">11.001.000.001 </v>
      </c>
      <c r="BA221" s="365"/>
      <c r="BB221" s="365"/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872">
        <f t="shared" si="144"/>
        <v>0</v>
      </c>
      <c r="BM221" s="873">
        <f t="shared" si="145"/>
        <v>0</v>
      </c>
      <c r="BN221" s="874">
        <f t="shared" si="173"/>
        <v>0</v>
      </c>
      <c r="BO221" s="875">
        <f t="shared" si="146"/>
        <v>0</v>
      </c>
      <c r="BP221" s="875">
        <f t="shared" si="147"/>
        <v>0</v>
      </c>
      <c r="BQ221" s="876">
        <f t="shared" si="174"/>
        <v>0</v>
      </c>
      <c r="BR221" s="877">
        <f t="shared" si="175"/>
        <v>0</v>
      </c>
      <c r="BS221" s="875">
        <f t="shared" si="148"/>
        <v>0</v>
      </c>
      <c r="BT221" s="875">
        <f t="shared" si="149"/>
        <v>0</v>
      </c>
      <c r="BU221" s="878">
        <f t="shared" si="176"/>
        <v>0</v>
      </c>
      <c r="CE221" s="486">
        <v>209</v>
      </c>
    </row>
    <row r="222" spans="1:83" s="177" customFormat="1" ht="21.95" customHeight="1" x14ac:dyDescent="0.2">
      <c r="A222" s="237">
        <f t="shared" si="150"/>
        <v>0</v>
      </c>
      <c r="B222" s="237">
        <f t="shared" si="151"/>
        <v>0</v>
      </c>
      <c r="C222" s="393">
        <f t="shared" si="136"/>
        <v>0</v>
      </c>
      <c r="D222" s="393" t="str">
        <f t="shared" si="137"/>
        <v xml:space="preserve">11 </v>
      </c>
      <c r="E222" s="959" t="s">
        <v>241</v>
      </c>
      <c r="F222" s="959" t="s">
        <v>2277</v>
      </c>
      <c r="G222" s="959" t="s">
        <v>90</v>
      </c>
      <c r="H222" s="970">
        <v>65.36</v>
      </c>
      <c r="I222" s="965">
        <v>190</v>
      </c>
      <c r="J222" s="962">
        <v>12418.4</v>
      </c>
      <c r="K222" s="367">
        <v>0</v>
      </c>
      <c r="L222" s="367">
        <f>IF($H222="",0,VLOOKUP($E222,Plan3!$A$16:$CT$384,$E$7,0)%)</f>
        <v>0</v>
      </c>
      <c r="M222" s="368">
        <f t="shared" si="155"/>
        <v>0</v>
      </c>
      <c r="N222" s="368">
        <f t="shared" si="156"/>
        <v>0</v>
      </c>
      <c r="O222" s="367">
        <v>0</v>
      </c>
      <c r="P222" s="367">
        <f>VLOOKUP($E222,Plan3!$A$492:$P$858,13,0)%</f>
        <v>0</v>
      </c>
      <c r="Q222" s="368">
        <f t="shared" si="157"/>
        <v>0</v>
      </c>
      <c r="R222" s="368">
        <f t="shared" si="158"/>
        <v>0</v>
      </c>
      <c r="S222" s="880">
        <v>12562.453440000001</v>
      </c>
      <c r="T222" s="880">
        <f t="shared" si="159"/>
        <v>0</v>
      </c>
      <c r="U222" s="880">
        <f>IF($I222="",0,($S222-$T222)*(1+('Econômico Macro'!$R$12/100)))</f>
        <v>12779.783884512002</v>
      </c>
      <c r="V222" s="880">
        <f t="shared" si="160"/>
        <v>12779.783884512002</v>
      </c>
      <c r="W222" s="880">
        <f t="shared" si="161"/>
        <v>0</v>
      </c>
      <c r="X222" s="367">
        <f t="shared" si="138"/>
        <v>0</v>
      </c>
      <c r="Y222" s="367">
        <f t="shared" si="139"/>
        <v>0</v>
      </c>
      <c r="Z222" s="367">
        <f t="shared" si="140"/>
        <v>0</v>
      </c>
      <c r="AA222" s="367">
        <f t="shared" si="141"/>
        <v>0</v>
      </c>
      <c r="AB222" s="369" t="str">
        <f t="shared" si="142"/>
        <v>Não Iniciada</v>
      </c>
      <c r="AC222" s="365"/>
      <c r="AD222" s="368">
        <v>1</v>
      </c>
      <c r="AE222" s="368">
        <f t="shared" si="162"/>
        <v>-1</v>
      </c>
      <c r="AF222" s="365"/>
      <c r="AG222" s="863">
        <f t="shared" si="152"/>
        <v>0</v>
      </c>
      <c r="AH222" s="864">
        <f t="shared" si="163"/>
        <v>0</v>
      </c>
      <c r="AI222" s="863">
        <f t="shared" si="153"/>
        <v>0</v>
      </c>
      <c r="AJ222" s="864">
        <f t="shared" si="164"/>
        <v>0</v>
      </c>
      <c r="AK222" s="365"/>
      <c r="AL222" s="865">
        <f t="shared" si="154"/>
        <v>0</v>
      </c>
      <c r="AM222" s="866">
        <f t="shared" si="165"/>
        <v>0</v>
      </c>
      <c r="AN222" s="866">
        <f t="shared" si="166"/>
        <v>0</v>
      </c>
      <c r="AO222" s="866">
        <f t="shared" si="167"/>
        <v>0</v>
      </c>
      <c r="AP222" s="867">
        <f t="shared" si="168"/>
        <v>0</v>
      </c>
      <c r="AQ222" s="591">
        <f t="shared" si="169"/>
        <v>0</v>
      </c>
      <c r="AR222" s="868">
        <f>IF(AND($L222=0,$P222=0)=TRUE,VLOOKUP($E222,Plan3!$A$16:$CT$487,$E$7+3,0)/100,0)</f>
        <v>0</v>
      </c>
      <c r="AS222" s="868">
        <f>IF(AND($L222=0,$P222=0)=TRUE,VLOOKUP($E222,Plan3!$A$16:$CT$487,$E$7+6,0)/100,0)</f>
        <v>0</v>
      </c>
      <c r="AT222" s="868">
        <f>IF(AND($L222=0,$P222=0)=TRUE,VLOOKUP($E222,Plan3!$A$16:$CT$487,$E$7+9,0)/100,0)</f>
        <v>0</v>
      </c>
      <c r="AU222" s="868">
        <f>IF(AND($L222=0,$P222=0)=TRUE,VLOOKUP($E222,Plan3!$A$16:$CT$487,$E$7+12,0)/100,0)</f>
        <v>0</v>
      </c>
      <c r="AV222" s="841"/>
      <c r="AW222" s="869">
        <f t="shared" si="170"/>
        <v>0</v>
      </c>
      <c r="AX222" s="870">
        <f t="shared" si="171"/>
        <v>0</v>
      </c>
      <c r="AY222" s="871">
        <f t="shared" si="172"/>
        <v>0</v>
      </c>
      <c r="AZ222" s="237" t="str">
        <f t="shared" si="143"/>
        <v xml:space="preserve">11.001.000.002 </v>
      </c>
      <c r="BA222" s="365"/>
      <c r="BB222" s="365"/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872">
        <f t="shared" si="144"/>
        <v>0</v>
      </c>
      <c r="BM222" s="873">
        <f t="shared" si="145"/>
        <v>0</v>
      </c>
      <c r="BN222" s="874">
        <f t="shared" si="173"/>
        <v>0</v>
      </c>
      <c r="BO222" s="875">
        <f t="shared" si="146"/>
        <v>0</v>
      </c>
      <c r="BP222" s="875">
        <f t="shared" si="147"/>
        <v>0</v>
      </c>
      <c r="BQ222" s="876">
        <f t="shared" si="174"/>
        <v>0</v>
      </c>
      <c r="BR222" s="877">
        <f t="shared" si="175"/>
        <v>0</v>
      </c>
      <c r="BS222" s="875">
        <f t="shared" si="148"/>
        <v>0</v>
      </c>
      <c r="BT222" s="875">
        <f t="shared" si="149"/>
        <v>0</v>
      </c>
      <c r="BU222" s="878">
        <f t="shared" si="176"/>
        <v>0</v>
      </c>
      <c r="CE222" s="486">
        <v>210</v>
      </c>
    </row>
    <row r="223" spans="1:83" s="177" customFormat="1" ht="21.95" customHeight="1" x14ac:dyDescent="0.2">
      <c r="A223" s="237">
        <f t="shared" si="150"/>
        <v>0</v>
      </c>
      <c r="B223" s="237">
        <f t="shared" si="151"/>
        <v>0</v>
      </c>
      <c r="C223" s="393">
        <f t="shared" si="136"/>
        <v>0</v>
      </c>
      <c r="D223" s="393" t="str">
        <f t="shared" si="137"/>
        <v xml:space="preserve">11 </v>
      </c>
      <c r="E223" s="959" t="s">
        <v>656</v>
      </c>
      <c r="F223" s="959" t="s">
        <v>489</v>
      </c>
      <c r="G223" s="959" t="s">
        <v>15</v>
      </c>
      <c r="H223" s="965">
        <v>955.66</v>
      </c>
      <c r="I223" s="970">
        <v>10</v>
      </c>
      <c r="J223" s="964">
        <v>9556.6</v>
      </c>
      <c r="K223" s="367">
        <v>0</v>
      </c>
      <c r="L223" s="367">
        <f>IF($H223="",0,VLOOKUP($E223,Plan3!$A$16:$CT$384,$E$7,0)%)</f>
        <v>0</v>
      </c>
      <c r="M223" s="368">
        <f t="shared" si="155"/>
        <v>0</v>
      </c>
      <c r="N223" s="368">
        <f t="shared" si="156"/>
        <v>0</v>
      </c>
      <c r="O223" s="367">
        <v>0</v>
      </c>
      <c r="P223" s="367">
        <f>VLOOKUP($E223,Plan3!$A$492:$P$858,13,0)%</f>
        <v>0</v>
      </c>
      <c r="Q223" s="368">
        <f t="shared" si="157"/>
        <v>0</v>
      </c>
      <c r="R223" s="368">
        <f t="shared" si="158"/>
        <v>0</v>
      </c>
      <c r="S223" s="880">
        <v>9667.4565600000005</v>
      </c>
      <c r="T223" s="880">
        <f t="shared" si="159"/>
        <v>0</v>
      </c>
      <c r="U223" s="880">
        <f>IF($I223="",0,($S223-$T223)*(1+('Econômico Macro'!$R$12/100)))</f>
        <v>9834.7035584880014</v>
      </c>
      <c r="V223" s="880">
        <f t="shared" si="160"/>
        <v>9834.7035584880014</v>
      </c>
      <c r="W223" s="880">
        <f t="shared" si="161"/>
        <v>0</v>
      </c>
      <c r="X223" s="367">
        <f t="shared" si="138"/>
        <v>0</v>
      </c>
      <c r="Y223" s="367">
        <f t="shared" si="139"/>
        <v>0</v>
      </c>
      <c r="Z223" s="367">
        <f t="shared" si="140"/>
        <v>0</v>
      </c>
      <c r="AA223" s="367">
        <f t="shared" si="141"/>
        <v>0</v>
      </c>
      <c r="AB223" s="369" t="str">
        <f t="shared" si="142"/>
        <v>Não Iniciada</v>
      </c>
      <c r="AC223" s="365"/>
      <c r="AD223" s="368">
        <v>1</v>
      </c>
      <c r="AE223" s="368">
        <f t="shared" si="162"/>
        <v>-1</v>
      </c>
      <c r="AF223" s="365"/>
      <c r="AG223" s="863">
        <f t="shared" si="152"/>
        <v>0</v>
      </c>
      <c r="AH223" s="864">
        <f t="shared" si="163"/>
        <v>0</v>
      </c>
      <c r="AI223" s="863">
        <f t="shared" si="153"/>
        <v>0</v>
      </c>
      <c r="AJ223" s="864">
        <f t="shared" si="164"/>
        <v>0</v>
      </c>
      <c r="AK223" s="365"/>
      <c r="AL223" s="865">
        <f t="shared" si="154"/>
        <v>0</v>
      </c>
      <c r="AM223" s="866">
        <f t="shared" si="165"/>
        <v>0</v>
      </c>
      <c r="AN223" s="866">
        <f t="shared" si="166"/>
        <v>0</v>
      </c>
      <c r="AO223" s="866">
        <f t="shared" si="167"/>
        <v>0</v>
      </c>
      <c r="AP223" s="867">
        <f t="shared" si="168"/>
        <v>0</v>
      </c>
      <c r="AQ223" s="591">
        <f t="shared" si="169"/>
        <v>0</v>
      </c>
      <c r="AR223" s="868">
        <f>IF(AND($L223=0,$P223=0)=TRUE,VLOOKUP($E223,Plan3!$A$16:$CT$487,$E$7+3,0)/100,0)</f>
        <v>0</v>
      </c>
      <c r="AS223" s="868">
        <f>IF(AND($L223=0,$P223=0)=TRUE,VLOOKUP($E223,Plan3!$A$16:$CT$487,$E$7+6,0)/100,0)</f>
        <v>0</v>
      </c>
      <c r="AT223" s="868">
        <f>IF(AND($L223=0,$P223=0)=TRUE,VLOOKUP($E223,Plan3!$A$16:$CT$487,$E$7+9,0)/100,0)</f>
        <v>0</v>
      </c>
      <c r="AU223" s="868">
        <f>IF(AND($L223=0,$P223=0)=TRUE,VLOOKUP($E223,Plan3!$A$16:$CT$487,$E$7+12,0)/100,0)</f>
        <v>0</v>
      </c>
      <c r="AV223" s="841"/>
      <c r="AW223" s="869">
        <f t="shared" si="170"/>
        <v>0</v>
      </c>
      <c r="AX223" s="870">
        <f t="shared" si="171"/>
        <v>0</v>
      </c>
      <c r="AY223" s="871">
        <f t="shared" si="172"/>
        <v>0</v>
      </c>
      <c r="AZ223" s="237" t="str">
        <f t="shared" si="143"/>
        <v xml:space="preserve">11.001.000.003 </v>
      </c>
      <c r="BA223" s="365"/>
      <c r="BB223" s="365"/>
      <c r="BC223" s="365"/>
      <c r="BD223" s="365"/>
      <c r="BE223" s="365"/>
      <c r="BF223" s="365"/>
      <c r="BG223" s="365"/>
      <c r="BH223" s="365"/>
      <c r="BI223" s="365"/>
      <c r="BJ223" s="365"/>
      <c r="BK223" s="365"/>
      <c r="BL223" s="872">
        <f t="shared" si="144"/>
        <v>0</v>
      </c>
      <c r="BM223" s="873">
        <f t="shared" si="145"/>
        <v>0</v>
      </c>
      <c r="BN223" s="874">
        <f t="shared" si="173"/>
        <v>0</v>
      </c>
      <c r="BO223" s="875">
        <f t="shared" si="146"/>
        <v>0</v>
      </c>
      <c r="BP223" s="875">
        <f t="shared" si="147"/>
        <v>0</v>
      </c>
      <c r="BQ223" s="876">
        <f t="shared" si="174"/>
        <v>0</v>
      </c>
      <c r="BR223" s="877">
        <f t="shared" si="175"/>
        <v>0</v>
      </c>
      <c r="BS223" s="875">
        <f t="shared" si="148"/>
        <v>0</v>
      </c>
      <c r="BT223" s="875">
        <f t="shared" si="149"/>
        <v>0</v>
      </c>
      <c r="BU223" s="878">
        <f t="shared" si="176"/>
        <v>0</v>
      </c>
      <c r="CE223" s="486">
        <v>211</v>
      </c>
    </row>
    <row r="224" spans="1:83" s="177" customFormat="1" ht="21.95" customHeight="1" x14ac:dyDescent="0.2">
      <c r="A224" s="237">
        <f t="shared" si="150"/>
        <v>0</v>
      </c>
      <c r="B224" s="237">
        <f t="shared" si="151"/>
        <v>0</v>
      </c>
      <c r="C224" s="393">
        <f t="shared" si="136"/>
        <v>0</v>
      </c>
      <c r="D224" s="393" t="str">
        <f t="shared" si="137"/>
        <v xml:space="preserve">11 </v>
      </c>
      <c r="E224" s="959" t="s">
        <v>657</v>
      </c>
      <c r="F224" s="959" t="s">
        <v>2278</v>
      </c>
      <c r="G224" s="959" t="s">
        <v>15</v>
      </c>
      <c r="H224" s="970">
        <v>78</v>
      </c>
      <c r="I224" s="970">
        <v>35</v>
      </c>
      <c r="J224" s="964">
        <v>2730</v>
      </c>
      <c r="K224" s="367">
        <v>0</v>
      </c>
      <c r="L224" s="367">
        <f>IF($H224="",0,VLOOKUP($E224,Plan3!$A$16:$CT$384,$E$7,0)%)</f>
        <v>0</v>
      </c>
      <c r="M224" s="368">
        <f t="shared" si="155"/>
        <v>0</v>
      </c>
      <c r="N224" s="368">
        <f t="shared" si="156"/>
        <v>0</v>
      </c>
      <c r="O224" s="367">
        <v>0</v>
      </c>
      <c r="P224" s="367">
        <f>VLOOKUP($E224,Plan3!$A$492:$P$858,13,0)%</f>
        <v>0</v>
      </c>
      <c r="Q224" s="368">
        <f t="shared" si="157"/>
        <v>0</v>
      </c>
      <c r="R224" s="368">
        <f t="shared" si="158"/>
        <v>0</v>
      </c>
      <c r="S224" s="880">
        <v>2761.6680000000001</v>
      </c>
      <c r="T224" s="880">
        <f t="shared" si="159"/>
        <v>0</v>
      </c>
      <c r="U224" s="880">
        <f>IF($I224="",0,($S224-$T224)*(1+('Econômico Macro'!$R$12/100)))</f>
        <v>2809.4448564000004</v>
      </c>
      <c r="V224" s="880">
        <f t="shared" si="160"/>
        <v>2809.4448564000004</v>
      </c>
      <c r="W224" s="880">
        <f t="shared" si="161"/>
        <v>0</v>
      </c>
      <c r="X224" s="367">
        <f t="shared" si="138"/>
        <v>0</v>
      </c>
      <c r="Y224" s="367">
        <f t="shared" si="139"/>
        <v>0</v>
      </c>
      <c r="Z224" s="367">
        <f t="shared" si="140"/>
        <v>0</v>
      </c>
      <c r="AA224" s="367">
        <f t="shared" si="141"/>
        <v>0</v>
      </c>
      <c r="AB224" s="369" t="str">
        <f t="shared" si="142"/>
        <v>Não Iniciada</v>
      </c>
      <c r="AC224" s="365"/>
      <c r="AD224" s="368">
        <v>1</v>
      </c>
      <c r="AE224" s="368">
        <f t="shared" si="162"/>
        <v>-1</v>
      </c>
      <c r="AF224" s="365"/>
      <c r="AG224" s="863">
        <f t="shared" si="152"/>
        <v>0</v>
      </c>
      <c r="AH224" s="864">
        <f t="shared" si="163"/>
        <v>0</v>
      </c>
      <c r="AI224" s="863">
        <f t="shared" si="153"/>
        <v>0</v>
      </c>
      <c r="AJ224" s="864">
        <f t="shared" si="164"/>
        <v>0</v>
      </c>
      <c r="AK224" s="365"/>
      <c r="AL224" s="865">
        <f t="shared" si="154"/>
        <v>0</v>
      </c>
      <c r="AM224" s="866">
        <f t="shared" si="165"/>
        <v>0</v>
      </c>
      <c r="AN224" s="866">
        <f t="shared" si="166"/>
        <v>0</v>
      </c>
      <c r="AO224" s="866">
        <f t="shared" si="167"/>
        <v>0</v>
      </c>
      <c r="AP224" s="867">
        <f t="shared" si="168"/>
        <v>0</v>
      </c>
      <c r="AQ224" s="591">
        <f t="shared" si="169"/>
        <v>0</v>
      </c>
      <c r="AR224" s="868">
        <f>IF(AND($L224=0,$P224=0)=TRUE,VLOOKUP($E224,Plan3!$A$16:$CT$487,$E$7+3,0)/100,0)</f>
        <v>0</v>
      </c>
      <c r="AS224" s="868">
        <f>IF(AND($L224=0,$P224=0)=TRUE,VLOOKUP($E224,Plan3!$A$16:$CT$487,$E$7+6,0)/100,0)</f>
        <v>0</v>
      </c>
      <c r="AT224" s="868">
        <f>IF(AND($L224=0,$P224=0)=TRUE,VLOOKUP($E224,Plan3!$A$16:$CT$487,$E$7+9,0)/100,0)</f>
        <v>0</v>
      </c>
      <c r="AU224" s="868">
        <f>IF(AND($L224=0,$P224=0)=TRUE,VLOOKUP($E224,Plan3!$A$16:$CT$487,$E$7+12,0)/100,0)</f>
        <v>0</v>
      </c>
      <c r="AV224" s="841"/>
      <c r="AW224" s="869">
        <f t="shared" si="170"/>
        <v>0</v>
      </c>
      <c r="AX224" s="870">
        <f t="shared" si="171"/>
        <v>0</v>
      </c>
      <c r="AY224" s="871">
        <f t="shared" si="172"/>
        <v>0</v>
      </c>
      <c r="AZ224" s="237" t="str">
        <f t="shared" si="143"/>
        <v xml:space="preserve">11.001.000.004 </v>
      </c>
      <c r="BA224" s="365"/>
      <c r="BB224" s="365"/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872">
        <f t="shared" si="144"/>
        <v>0</v>
      </c>
      <c r="BM224" s="873">
        <f t="shared" si="145"/>
        <v>0</v>
      </c>
      <c r="BN224" s="874">
        <f t="shared" si="173"/>
        <v>0</v>
      </c>
      <c r="BO224" s="875">
        <f t="shared" si="146"/>
        <v>0</v>
      </c>
      <c r="BP224" s="875">
        <f t="shared" si="147"/>
        <v>0</v>
      </c>
      <c r="BQ224" s="876">
        <f t="shared" si="174"/>
        <v>0</v>
      </c>
      <c r="BR224" s="877">
        <f t="shared" si="175"/>
        <v>0</v>
      </c>
      <c r="BS224" s="875">
        <f t="shared" si="148"/>
        <v>0</v>
      </c>
      <c r="BT224" s="875">
        <f t="shared" si="149"/>
        <v>0</v>
      </c>
      <c r="BU224" s="878">
        <f t="shared" si="176"/>
        <v>0</v>
      </c>
      <c r="CE224" s="486">
        <v>212</v>
      </c>
    </row>
    <row r="225" spans="1:83" s="177" customFormat="1" ht="21.95" customHeight="1" x14ac:dyDescent="0.2">
      <c r="A225" s="237">
        <f t="shared" si="150"/>
        <v>0</v>
      </c>
      <c r="B225" s="237">
        <f t="shared" si="151"/>
        <v>0</v>
      </c>
      <c r="C225" s="393" t="str">
        <f t="shared" si="136"/>
        <v xml:space="preserve">12 </v>
      </c>
      <c r="D225" s="393" t="str">
        <f t="shared" si="137"/>
        <v xml:space="preserve">12 </v>
      </c>
      <c r="E225" s="161" t="s">
        <v>134</v>
      </c>
      <c r="F225" s="161" t="s">
        <v>1</v>
      </c>
      <c r="G225" s="162"/>
      <c r="H225" s="162"/>
      <c r="I225" s="162"/>
      <c r="J225" s="163">
        <v>385076.31</v>
      </c>
      <c r="K225" s="164">
        <v>0</v>
      </c>
      <c r="L225" s="164">
        <f t="array" ref="L225">SUM(IF($D226:$D$379=$E225,$L226:$L$379*$J226:$J$379))/$J225</f>
        <v>0</v>
      </c>
      <c r="M225" s="163"/>
      <c r="N225" s="163">
        <f>$L225*$J225</f>
        <v>0</v>
      </c>
      <c r="O225" s="164">
        <v>0</v>
      </c>
      <c r="P225" s="164">
        <f t="array" ref="P225">SUM(IF($D226:$D$379=$E225,$P226:$P$379*$J226:$J$379))/$J225</f>
        <v>0</v>
      </c>
      <c r="Q225" s="163">
        <f>$P225*$H225</f>
        <v>0</v>
      </c>
      <c r="R225" s="163">
        <f>$P225*$J225</f>
        <v>0</v>
      </c>
      <c r="S225" s="163">
        <v>389543.19519600004</v>
      </c>
      <c r="T225" s="163">
        <f>SUM(T226:T249)</f>
        <v>0</v>
      </c>
      <c r="U225" s="163"/>
      <c r="V225" s="163">
        <f t="shared" ref="V225:W225" si="178">SUM(V226:V249)</f>
        <v>396282.29247289081</v>
      </c>
      <c r="W225" s="163">
        <f t="shared" si="178"/>
        <v>0</v>
      </c>
      <c r="X225" s="164">
        <f t="shared" si="138"/>
        <v>0</v>
      </c>
      <c r="Y225" s="164">
        <f t="shared" si="139"/>
        <v>0</v>
      </c>
      <c r="Z225" s="164">
        <f t="shared" si="140"/>
        <v>0</v>
      </c>
      <c r="AA225" s="164">
        <f t="shared" si="141"/>
        <v>0</v>
      </c>
      <c r="AB225" s="201" t="str">
        <f t="shared" si="142"/>
        <v>Não Iniciada</v>
      </c>
      <c r="AC225" s="155" t="s">
        <v>763</v>
      </c>
      <c r="AD225" s="689">
        <v>0</v>
      </c>
      <c r="AE225" s="835">
        <f>Q225-AD225</f>
        <v>0</v>
      </c>
      <c r="AF225" s="155"/>
      <c r="AG225" s="207"/>
      <c r="AH225" s="208"/>
      <c r="AI225" s="207"/>
      <c r="AJ225" s="208"/>
      <c r="AK225" s="155"/>
      <c r="AL225" s="212"/>
      <c r="AM225" s="209"/>
      <c r="AN225" s="209"/>
      <c r="AO225" s="209"/>
      <c r="AP225" s="213"/>
      <c r="AQ225" s="401"/>
      <c r="AR225" s="247"/>
      <c r="AS225" s="247"/>
      <c r="AT225" s="247"/>
      <c r="AU225" s="247"/>
      <c r="AV225" s="155"/>
      <c r="AW225" s="250"/>
      <c r="AX225" s="248"/>
      <c r="AY225" s="402"/>
      <c r="AZ225" s="237" t="str">
        <f t="shared" si="143"/>
        <v xml:space="preserve">12 </v>
      </c>
      <c r="BA225" s="155"/>
      <c r="BB225" s="155"/>
      <c r="BC225" s="155"/>
      <c r="BD225" s="155"/>
      <c r="BE225" s="155"/>
      <c r="BF225" s="155"/>
      <c r="BG225" s="155"/>
      <c r="BH225" s="155"/>
      <c r="BI225" s="155"/>
      <c r="BJ225" s="155"/>
      <c r="BK225" s="155"/>
      <c r="BL225" s="666" t="str">
        <f t="shared" si="144"/>
        <v xml:space="preserve">12 </v>
      </c>
      <c r="BM225" s="667">
        <f t="shared" si="145"/>
        <v>0</v>
      </c>
      <c r="BN225" s="668">
        <f>IF($BQ225=0,0,RANK($BQ225,$BQ$12:$BQ$379))</f>
        <v>0</v>
      </c>
      <c r="BO225" s="669">
        <f t="shared" si="146"/>
        <v>0</v>
      </c>
      <c r="BP225" s="669">
        <f t="shared" si="147"/>
        <v>0</v>
      </c>
      <c r="BQ225" s="670">
        <f>IF($BP225=0,0,$BP225/$BP$380)</f>
        <v>0</v>
      </c>
      <c r="BR225" s="671">
        <f>IF($BU225=0,0,RANK($BU225,$BU$12:$BU$379))</f>
        <v>0</v>
      </c>
      <c r="BS225" s="669">
        <f t="shared" si="148"/>
        <v>0</v>
      </c>
      <c r="BT225" s="669">
        <f t="shared" si="149"/>
        <v>0</v>
      </c>
      <c r="BU225" s="672">
        <f>IF($BT225=0,0,$BT225/$BT$380)</f>
        <v>0</v>
      </c>
      <c r="CE225" s="486">
        <v>213</v>
      </c>
    </row>
    <row r="226" spans="1:83" s="177" customFormat="1" ht="21.95" customHeight="1" x14ac:dyDescent="0.2">
      <c r="A226" s="237">
        <f t="shared" si="150"/>
        <v>0</v>
      </c>
      <c r="B226" s="237">
        <f t="shared" si="151"/>
        <v>0</v>
      </c>
      <c r="C226" s="393">
        <f t="shared" si="136"/>
        <v>0</v>
      </c>
      <c r="D226" s="393" t="str">
        <f t="shared" si="137"/>
        <v xml:space="preserve">12 </v>
      </c>
      <c r="E226" s="967" t="s">
        <v>135</v>
      </c>
      <c r="F226" s="967" t="s">
        <v>478</v>
      </c>
      <c r="G226" s="967"/>
      <c r="H226" s="968"/>
      <c r="I226" s="968"/>
      <c r="J226" s="969">
        <v>10117.76</v>
      </c>
      <c r="K226" s="367">
        <v>0</v>
      </c>
      <c r="L226" s="367">
        <f>IF($H226="",0,VLOOKUP($E226,Plan3!$A$16:$CT$384,$E$7,0)%)</f>
        <v>0</v>
      </c>
      <c r="M226" s="368">
        <f t="shared" si="155"/>
        <v>0</v>
      </c>
      <c r="N226" s="368">
        <f t="shared" si="156"/>
        <v>0</v>
      </c>
      <c r="O226" s="367">
        <v>0</v>
      </c>
      <c r="P226" s="367">
        <f>VLOOKUP($E226,Plan3!$A$492:$P$858,13,0)%</f>
        <v>0</v>
      </c>
      <c r="Q226" s="368">
        <f t="shared" si="157"/>
        <v>0</v>
      </c>
      <c r="R226" s="368">
        <f t="shared" si="158"/>
        <v>0</v>
      </c>
      <c r="S226" s="880">
        <v>0</v>
      </c>
      <c r="T226" s="880">
        <f t="shared" si="159"/>
        <v>0</v>
      </c>
      <c r="U226" s="880">
        <f>IF($I226="",0,($S226-$T226)*(1+('Econômico Macro'!$R$12/100)))</f>
        <v>0</v>
      </c>
      <c r="V226" s="880">
        <f t="shared" si="160"/>
        <v>0</v>
      </c>
      <c r="W226" s="880">
        <f t="shared" si="161"/>
        <v>0</v>
      </c>
      <c r="X226" s="367">
        <f t="shared" si="138"/>
        <v>0</v>
      </c>
      <c r="Y226" s="367">
        <f t="shared" si="139"/>
        <v>0</v>
      </c>
      <c r="Z226" s="367">
        <f t="shared" si="140"/>
        <v>0</v>
      </c>
      <c r="AA226" s="367">
        <f t="shared" si="141"/>
        <v>0</v>
      </c>
      <c r="AB226" s="369" t="str">
        <f t="shared" si="142"/>
        <v>Não Iniciada</v>
      </c>
      <c r="AC226" s="365"/>
      <c r="AD226" s="368">
        <v>1</v>
      </c>
      <c r="AE226" s="368">
        <f t="shared" si="162"/>
        <v>-1</v>
      </c>
      <c r="AF226" s="365"/>
      <c r="AG226" s="863">
        <f t="shared" si="152"/>
        <v>0</v>
      </c>
      <c r="AH226" s="864">
        <f t="shared" si="163"/>
        <v>0</v>
      </c>
      <c r="AI226" s="863">
        <f t="shared" si="153"/>
        <v>0</v>
      </c>
      <c r="AJ226" s="864">
        <f t="shared" si="164"/>
        <v>0</v>
      </c>
      <c r="AK226" s="365"/>
      <c r="AL226" s="865">
        <f t="shared" si="154"/>
        <v>0</v>
      </c>
      <c r="AM226" s="866">
        <f t="shared" si="165"/>
        <v>0</v>
      </c>
      <c r="AN226" s="866">
        <f t="shared" si="166"/>
        <v>0</v>
      </c>
      <c r="AO226" s="866">
        <f t="shared" si="167"/>
        <v>0</v>
      </c>
      <c r="AP226" s="867">
        <f t="shared" si="168"/>
        <v>0</v>
      </c>
      <c r="AQ226" s="591"/>
      <c r="AR226" s="868"/>
      <c r="AS226" s="868"/>
      <c r="AT226" s="868"/>
      <c r="AU226" s="868"/>
      <c r="AV226" s="841"/>
      <c r="AW226" s="869"/>
      <c r="AX226" s="870"/>
      <c r="AY226" s="871"/>
      <c r="AZ226" s="237" t="str">
        <f t="shared" si="143"/>
        <v xml:space="preserve">12.001 </v>
      </c>
      <c r="BA226" s="365"/>
      <c r="BB226" s="365"/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872">
        <f t="shared" si="144"/>
        <v>0</v>
      </c>
      <c r="BM226" s="873">
        <f t="shared" si="145"/>
        <v>0</v>
      </c>
      <c r="BN226" s="874">
        <f t="shared" si="173"/>
        <v>0</v>
      </c>
      <c r="BO226" s="875">
        <f t="shared" si="146"/>
        <v>0</v>
      </c>
      <c r="BP226" s="875">
        <f t="shared" si="147"/>
        <v>0</v>
      </c>
      <c r="BQ226" s="876">
        <f t="shared" si="174"/>
        <v>0</v>
      </c>
      <c r="BR226" s="877">
        <f t="shared" si="175"/>
        <v>0</v>
      </c>
      <c r="BS226" s="875">
        <f t="shared" si="148"/>
        <v>0</v>
      </c>
      <c r="BT226" s="875">
        <f t="shared" si="149"/>
        <v>0</v>
      </c>
      <c r="BU226" s="878">
        <f t="shared" si="176"/>
        <v>0</v>
      </c>
      <c r="CE226" s="486">
        <v>214</v>
      </c>
    </row>
    <row r="227" spans="1:83" s="177" customFormat="1" ht="21.95" customHeight="1" x14ac:dyDescent="0.2">
      <c r="A227" s="237">
        <f t="shared" si="150"/>
        <v>0</v>
      </c>
      <c r="B227" s="237">
        <f t="shared" si="151"/>
        <v>0</v>
      </c>
      <c r="C227" s="393">
        <f t="shared" si="136"/>
        <v>0</v>
      </c>
      <c r="D227" s="393" t="str">
        <f t="shared" si="137"/>
        <v xml:space="preserve">12 </v>
      </c>
      <c r="E227" s="959" t="s">
        <v>136</v>
      </c>
      <c r="F227" s="959" t="s">
        <v>478</v>
      </c>
      <c r="G227" s="959" t="s">
        <v>90</v>
      </c>
      <c r="H227" s="963">
        <v>1154.52</v>
      </c>
      <c r="I227" s="960">
        <v>7.0453999999999999</v>
      </c>
      <c r="J227" s="964">
        <v>8134.06</v>
      </c>
      <c r="K227" s="367">
        <v>0</v>
      </c>
      <c r="L227" s="367">
        <f>IF($H227="",0,VLOOKUP($E227,Plan3!$A$16:$CT$384,$E$7,0)%)</f>
        <v>0</v>
      </c>
      <c r="M227" s="368">
        <f t="shared" si="155"/>
        <v>0</v>
      </c>
      <c r="N227" s="368">
        <f t="shared" si="156"/>
        <v>0</v>
      </c>
      <c r="O227" s="367">
        <v>0</v>
      </c>
      <c r="P227" s="367">
        <f>VLOOKUP($E227,Plan3!$A$492:$P$858,13,0)%</f>
        <v>0</v>
      </c>
      <c r="Q227" s="368">
        <f t="shared" si="157"/>
        <v>0</v>
      </c>
      <c r="R227" s="368">
        <f t="shared" si="158"/>
        <v>0</v>
      </c>
      <c r="S227" s="880">
        <v>8228.4150960000006</v>
      </c>
      <c r="T227" s="880">
        <f t="shared" si="159"/>
        <v>0</v>
      </c>
      <c r="U227" s="880">
        <f>IF($I227="",0,($S227-$T227)*(1+('Econômico Macro'!$R$12/100)))</f>
        <v>8370.7666771608019</v>
      </c>
      <c r="V227" s="880">
        <f t="shared" si="160"/>
        <v>8370.7666771608019</v>
      </c>
      <c r="W227" s="880">
        <f t="shared" si="161"/>
        <v>0</v>
      </c>
      <c r="X227" s="367">
        <f t="shared" si="138"/>
        <v>0</v>
      </c>
      <c r="Y227" s="367">
        <f t="shared" si="139"/>
        <v>0</v>
      </c>
      <c r="Z227" s="367">
        <f t="shared" si="140"/>
        <v>0</v>
      </c>
      <c r="AA227" s="367">
        <f t="shared" si="141"/>
        <v>0</v>
      </c>
      <c r="AB227" s="369" t="str">
        <f t="shared" si="142"/>
        <v>Não Iniciada</v>
      </c>
      <c r="AC227" s="365"/>
      <c r="AD227" s="368">
        <v>1</v>
      </c>
      <c r="AE227" s="368">
        <f t="shared" si="162"/>
        <v>-1</v>
      </c>
      <c r="AF227" s="365"/>
      <c r="AG227" s="863">
        <f t="shared" si="152"/>
        <v>0</v>
      </c>
      <c r="AH227" s="864">
        <f t="shared" si="163"/>
        <v>0</v>
      </c>
      <c r="AI227" s="863">
        <f t="shared" si="153"/>
        <v>0</v>
      </c>
      <c r="AJ227" s="864">
        <f t="shared" si="164"/>
        <v>0</v>
      </c>
      <c r="AK227" s="365"/>
      <c r="AL227" s="865">
        <f t="shared" si="154"/>
        <v>0</v>
      </c>
      <c r="AM227" s="866">
        <f t="shared" si="165"/>
        <v>0</v>
      </c>
      <c r="AN227" s="866">
        <f t="shared" si="166"/>
        <v>0</v>
      </c>
      <c r="AO227" s="866">
        <f t="shared" si="167"/>
        <v>0</v>
      </c>
      <c r="AP227" s="867">
        <f t="shared" si="168"/>
        <v>0</v>
      </c>
      <c r="AQ227" s="591">
        <f t="shared" si="169"/>
        <v>0</v>
      </c>
      <c r="AR227" s="868">
        <f>IF(AND($L227=0,$P227=0)=TRUE,VLOOKUP($E227,Plan3!$A$16:$CT$487,$E$7+3,0)/100,0)</f>
        <v>0</v>
      </c>
      <c r="AS227" s="868">
        <f>IF(AND($L227=0,$P227=0)=TRUE,VLOOKUP($E227,Plan3!$A$16:$CT$487,$E$7+6,0)/100,0)</f>
        <v>0</v>
      </c>
      <c r="AT227" s="868">
        <f>IF(AND($L227=0,$P227=0)=TRUE,VLOOKUP($E227,Plan3!$A$16:$CT$487,$E$7+9,0)/100,0)</f>
        <v>0</v>
      </c>
      <c r="AU227" s="868">
        <f>IF(AND($L227=0,$P227=0)=TRUE,VLOOKUP($E227,Plan3!$A$16:$CT$487,$E$7+12,0)/100,0)</f>
        <v>0</v>
      </c>
      <c r="AV227" s="841"/>
      <c r="AW227" s="869">
        <f t="shared" si="170"/>
        <v>0</v>
      </c>
      <c r="AX227" s="870">
        <f t="shared" si="171"/>
        <v>0</v>
      </c>
      <c r="AY227" s="871">
        <f t="shared" si="172"/>
        <v>0</v>
      </c>
      <c r="AZ227" s="237" t="str">
        <f t="shared" si="143"/>
        <v xml:space="preserve">12.001.000.001 </v>
      </c>
      <c r="BA227" s="365"/>
      <c r="BB227" s="365"/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872">
        <f t="shared" si="144"/>
        <v>0</v>
      </c>
      <c r="BM227" s="873">
        <f t="shared" si="145"/>
        <v>0</v>
      </c>
      <c r="BN227" s="874">
        <f t="shared" si="173"/>
        <v>0</v>
      </c>
      <c r="BO227" s="875">
        <f t="shared" si="146"/>
        <v>0</v>
      </c>
      <c r="BP227" s="875">
        <f t="shared" si="147"/>
        <v>0</v>
      </c>
      <c r="BQ227" s="876">
        <f t="shared" si="174"/>
        <v>0</v>
      </c>
      <c r="BR227" s="877">
        <f t="shared" si="175"/>
        <v>0</v>
      </c>
      <c r="BS227" s="875">
        <f t="shared" si="148"/>
        <v>0</v>
      </c>
      <c r="BT227" s="875">
        <f t="shared" si="149"/>
        <v>0</v>
      </c>
      <c r="BU227" s="878">
        <f t="shared" si="176"/>
        <v>0</v>
      </c>
      <c r="CE227" s="486">
        <v>215</v>
      </c>
    </row>
    <row r="228" spans="1:83" s="177" customFormat="1" ht="21.95" customHeight="1" x14ac:dyDescent="0.2">
      <c r="A228" s="237">
        <f t="shared" si="150"/>
        <v>0</v>
      </c>
      <c r="B228" s="237">
        <f t="shared" si="151"/>
        <v>0</v>
      </c>
      <c r="C228" s="393">
        <f t="shared" si="136"/>
        <v>0</v>
      </c>
      <c r="D228" s="393" t="str">
        <f t="shared" si="137"/>
        <v xml:space="preserve">12 </v>
      </c>
      <c r="E228" s="959" t="s">
        <v>2279</v>
      </c>
      <c r="F228" s="959" t="s">
        <v>2280</v>
      </c>
      <c r="G228" s="959" t="s">
        <v>90</v>
      </c>
      <c r="H228" s="965">
        <v>281.56</v>
      </c>
      <c r="I228" s="960">
        <v>7.0453999999999999</v>
      </c>
      <c r="J228" s="964">
        <v>1983.7</v>
      </c>
      <c r="K228" s="367">
        <v>0</v>
      </c>
      <c r="L228" s="367">
        <f>IF($H228="",0,VLOOKUP($E228,Plan3!$A$16:$CT$384,$E$7,0)%)</f>
        <v>0</v>
      </c>
      <c r="M228" s="368">
        <f t="shared" si="155"/>
        <v>0</v>
      </c>
      <c r="N228" s="368">
        <f t="shared" si="156"/>
        <v>0</v>
      </c>
      <c r="O228" s="367">
        <v>0</v>
      </c>
      <c r="P228" s="367">
        <f>VLOOKUP($E228,Plan3!$A$492:$P$858,13,0)%</f>
        <v>0</v>
      </c>
      <c r="Q228" s="368">
        <f t="shared" si="157"/>
        <v>0</v>
      </c>
      <c r="R228" s="368">
        <f t="shared" si="158"/>
        <v>0</v>
      </c>
      <c r="S228" s="880">
        <v>2006.7109200000002</v>
      </c>
      <c r="T228" s="880">
        <f t="shared" si="159"/>
        <v>0</v>
      </c>
      <c r="U228" s="880">
        <f>IF($I228="",0,($S228-$T228)*(1+('Econômico Macro'!$R$12/100)))</f>
        <v>2041.4270189160004</v>
      </c>
      <c r="V228" s="880">
        <f t="shared" si="160"/>
        <v>2041.4270189160004</v>
      </c>
      <c r="W228" s="880">
        <f t="shared" si="161"/>
        <v>0</v>
      </c>
      <c r="X228" s="367">
        <f t="shared" si="138"/>
        <v>0</v>
      </c>
      <c r="Y228" s="367">
        <f t="shared" si="139"/>
        <v>0</v>
      </c>
      <c r="Z228" s="367">
        <f t="shared" si="140"/>
        <v>0</v>
      </c>
      <c r="AA228" s="367">
        <f t="shared" si="141"/>
        <v>0</v>
      </c>
      <c r="AB228" s="369" t="str">
        <f t="shared" si="142"/>
        <v>Não Iniciada</v>
      </c>
      <c r="AC228" s="365"/>
      <c r="AD228" s="368">
        <v>1</v>
      </c>
      <c r="AE228" s="368">
        <f t="shared" si="162"/>
        <v>-1</v>
      </c>
      <c r="AF228" s="365"/>
      <c r="AG228" s="863">
        <f t="shared" si="152"/>
        <v>0</v>
      </c>
      <c r="AH228" s="864">
        <f t="shared" si="163"/>
        <v>0</v>
      </c>
      <c r="AI228" s="863">
        <f t="shared" si="153"/>
        <v>0</v>
      </c>
      <c r="AJ228" s="864">
        <f t="shared" si="164"/>
        <v>0</v>
      </c>
      <c r="AK228" s="365"/>
      <c r="AL228" s="865">
        <f t="shared" si="154"/>
        <v>0</v>
      </c>
      <c r="AM228" s="866">
        <f t="shared" si="165"/>
        <v>0</v>
      </c>
      <c r="AN228" s="866">
        <f t="shared" si="166"/>
        <v>0</v>
      </c>
      <c r="AO228" s="866">
        <f t="shared" si="167"/>
        <v>0</v>
      </c>
      <c r="AP228" s="867">
        <f t="shared" si="168"/>
        <v>0</v>
      </c>
      <c r="AQ228" s="591">
        <f t="shared" si="169"/>
        <v>0</v>
      </c>
      <c r="AR228" s="868">
        <f>IF(AND($L228=0,$P228=0)=TRUE,VLOOKUP($E228,Plan3!$A$16:$CT$487,$E$7+3,0)/100,0)</f>
        <v>0</v>
      </c>
      <c r="AS228" s="868">
        <f>IF(AND($L228=0,$P228=0)=TRUE,VLOOKUP($E228,Plan3!$A$16:$CT$487,$E$7+6,0)/100,0)</f>
        <v>0</v>
      </c>
      <c r="AT228" s="868">
        <f>IF(AND($L228=0,$P228=0)=TRUE,VLOOKUP($E228,Plan3!$A$16:$CT$487,$E$7+9,0)/100,0)</f>
        <v>0</v>
      </c>
      <c r="AU228" s="868">
        <f>IF(AND($L228=0,$P228=0)=TRUE,VLOOKUP($E228,Plan3!$A$16:$CT$487,$E$7+12,0)/100,0)</f>
        <v>0</v>
      </c>
      <c r="AV228" s="841"/>
      <c r="AW228" s="869">
        <f t="shared" si="170"/>
        <v>0</v>
      </c>
      <c r="AX228" s="870">
        <f t="shared" si="171"/>
        <v>0</v>
      </c>
      <c r="AY228" s="871">
        <f t="shared" si="172"/>
        <v>0</v>
      </c>
      <c r="AZ228" s="237" t="str">
        <f t="shared" si="143"/>
        <v xml:space="preserve">12.001.000.002 </v>
      </c>
      <c r="BA228" s="365"/>
      <c r="BB228" s="365"/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872">
        <f t="shared" si="144"/>
        <v>0</v>
      </c>
      <c r="BM228" s="873">
        <f t="shared" si="145"/>
        <v>0</v>
      </c>
      <c r="BN228" s="874">
        <f t="shared" si="173"/>
        <v>0</v>
      </c>
      <c r="BO228" s="875">
        <f t="shared" si="146"/>
        <v>0</v>
      </c>
      <c r="BP228" s="875">
        <f t="shared" si="147"/>
        <v>0</v>
      </c>
      <c r="BQ228" s="876">
        <f t="shared" si="174"/>
        <v>0</v>
      </c>
      <c r="BR228" s="877">
        <f t="shared" si="175"/>
        <v>0</v>
      </c>
      <c r="BS228" s="875">
        <f t="shared" si="148"/>
        <v>0</v>
      </c>
      <c r="BT228" s="875">
        <f t="shared" si="149"/>
        <v>0</v>
      </c>
      <c r="BU228" s="878">
        <f t="shared" si="176"/>
        <v>0</v>
      </c>
      <c r="CE228" s="486">
        <v>216</v>
      </c>
    </row>
    <row r="229" spans="1:83" s="177" customFormat="1" ht="21.95" customHeight="1" x14ac:dyDescent="0.2">
      <c r="A229" s="237">
        <f t="shared" si="150"/>
        <v>0</v>
      </c>
      <c r="B229" s="237">
        <f t="shared" si="151"/>
        <v>0</v>
      </c>
      <c r="C229" s="393">
        <f t="shared" si="136"/>
        <v>0</v>
      </c>
      <c r="D229" s="393" t="str">
        <f t="shared" si="137"/>
        <v xml:space="preserve">12 </v>
      </c>
      <c r="E229" s="967" t="s">
        <v>137</v>
      </c>
      <c r="F229" s="967" t="s">
        <v>480</v>
      </c>
      <c r="G229" s="967"/>
      <c r="H229" s="968"/>
      <c r="I229" s="968"/>
      <c r="J229" s="969">
        <v>66488.11</v>
      </c>
      <c r="K229" s="367">
        <v>0</v>
      </c>
      <c r="L229" s="367">
        <f>IF($H229="",0,VLOOKUP($E229,Plan3!$A$16:$CT$384,$E$7,0)%)</f>
        <v>0</v>
      </c>
      <c r="M229" s="368">
        <f t="shared" si="155"/>
        <v>0</v>
      </c>
      <c r="N229" s="368">
        <f t="shared" si="156"/>
        <v>0</v>
      </c>
      <c r="O229" s="367">
        <v>0</v>
      </c>
      <c r="P229" s="367">
        <f>VLOOKUP($E229,Plan3!$A$492:$P$858,13,0)%</f>
        <v>0</v>
      </c>
      <c r="Q229" s="368">
        <f t="shared" si="157"/>
        <v>0</v>
      </c>
      <c r="R229" s="368">
        <f t="shared" si="158"/>
        <v>0</v>
      </c>
      <c r="S229" s="880">
        <v>0</v>
      </c>
      <c r="T229" s="880">
        <f t="shared" si="159"/>
        <v>0</v>
      </c>
      <c r="U229" s="880">
        <f>IF($I229="",0,($S229-$T229)*(1+('Econômico Macro'!$R$12/100)))</f>
        <v>0</v>
      </c>
      <c r="V229" s="880">
        <f t="shared" si="160"/>
        <v>0</v>
      </c>
      <c r="W229" s="880">
        <f t="shared" si="161"/>
        <v>0</v>
      </c>
      <c r="X229" s="367">
        <f t="shared" si="138"/>
        <v>0</v>
      </c>
      <c r="Y229" s="367">
        <f t="shared" si="139"/>
        <v>0</v>
      </c>
      <c r="Z229" s="367">
        <f t="shared" si="140"/>
        <v>0</v>
      </c>
      <c r="AA229" s="367">
        <f t="shared" si="141"/>
        <v>0</v>
      </c>
      <c r="AB229" s="369" t="str">
        <f t="shared" si="142"/>
        <v>Não Iniciada</v>
      </c>
      <c r="AC229" s="365"/>
      <c r="AD229" s="368">
        <v>1</v>
      </c>
      <c r="AE229" s="368">
        <f t="shared" si="162"/>
        <v>-1</v>
      </c>
      <c r="AF229" s="365"/>
      <c r="AG229" s="863">
        <f t="shared" si="152"/>
        <v>0</v>
      </c>
      <c r="AH229" s="864">
        <f t="shared" si="163"/>
        <v>0</v>
      </c>
      <c r="AI229" s="863">
        <f t="shared" si="153"/>
        <v>0</v>
      </c>
      <c r="AJ229" s="864">
        <f t="shared" si="164"/>
        <v>0</v>
      </c>
      <c r="AK229" s="365"/>
      <c r="AL229" s="865">
        <f t="shared" si="154"/>
        <v>0</v>
      </c>
      <c r="AM229" s="866">
        <f t="shared" si="165"/>
        <v>0</v>
      </c>
      <c r="AN229" s="866">
        <f t="shared" si="166"/>
        <v>0</v>
      </c>
      <c r="AO229" s="866">
        <f t="shared" si="167"/>
        <v>0</v>
      </c>
      <c r="AP229" s="867">
        <f t="shared" si="168"/>
        <v>0</v>
      </c>
      <c r="AQ229" s="591"/>
      <c r="AR229" s="868"/>
      <c r="AS229" s="868"/>
      <c r="AT229" s="868"/>
      <c r="AU229" s="868"/>
      <c r="AV229" s="841"/>
      <c r="AW229" s="869"/>
      <c r="AX229" s="870"/>
      <c r="AY229" s="871"/>
      <c r="AZ229" s="237" t="str">
        <f t="shared" si="143"/>
        <v xml:space="preserve">12.002 </v>
      </c>
      <c r="BA229" s="365"/>
      <c r="BB229" s="365"/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872">
        <f t="shared" si="144"/>
        <v>0</v>
      </c>
      <c r="BM229" s="873">
        <f t="shared" si="145"/>
        <v>0</v>
      </c>
      <c r="BN229" s="874">
        <f t="shared" si="173"/>
        <v>0</v>
      </c>
      <c r="BO229" s="875">
        <f t="shared" si="146"/>
        <v>0</v>
      </c>
      <c r="BP229" s="875">
        <f t="shared" si="147"/>
        <v>0</v>
      </c>
      <c r="BQ229" s="876">
        <f t="shared" si="174"/>
        <v>0</v>
      </c>
      <c r="BR229" s="877">
        <f t="shared" si="175"/>
        <v>0</v>
      </c>
      <c r="BS229" s="875">
        <f t="shared" si="148"/>
        <v>0</v>
      </c>
      <c r="BT229" s="875">
        <f t="shared" si="149"/>
        <v>0</v>
      </c>
      <c r="BU229" s="878">
        <f t="shared" si="176"/>
        <v>0</v>
      </c>
      <c r="CE229" s="486">
        <v>217</v>
      </c>
    </row>
    <row r="230" spans="1:83" s="177" customFormat="1" ht="21.95" customHeight="1" x14ac:dyDescent="0.2">
      <c r="A230" s="237">
        <f t="shared" si="150"/>
        <v>0</v>
      </c>
      <c r="B230" s="237">
        <f t="shared" si="151"/>
        <v>0</v>
      </c>
      <c r="C230" s="393">
        <f t="shared" si="136"/>
        <v>0</v>
      </c>
      <c r="D230" s="393" t="str">
        <f t="shared" si="137"/>
        <v xml:space="preserve">12 </v>
      </c>
      <c r="E230" s="959" t="s">
        <v>138</v>
      </c>
      <c r="F230" s="959" t="s">
        <v>1968</v>
      </c>
      <c r="G230" s="959" t="s">
        <v>90</v>
      </c>
      <c r="H230" s="963">
        <v>1484.62</v>
      </c>
      <c r="I230" s="960">
        <v>7.65</v>
      </c>
      <c r="J230" s="962">
        <v>11357.34</v>
      </c>
      <c r="K230" s="367">
        <v>0</v>
      </c>
      <c r="L230" s="367">
        <f>IF($H230="",0,VLOOKUP($E230,Plan3!$A$16:$CT$384,$E$7,0)%)</f>
        <v>0</v>
      </c>
      <c r="M230" s="368">
        <f t="shared" si="155"/>
        <v>0</v>
      </c>
      <c r="N230" s="368">
        <f t="shared" si="156"/>
        <v>0</v>
      </c>
      <c r="O230" s="367">
        <v>0</v>
      </c>
      <c r="P230" s="367">
        <f>VLOOKUP($E230,Plan3!$A$492:$P$858,13,0)%</f>
        <v>0</v>
      </c>
      <c r="Q230" s="368">
        <f t="shared" si="157"/>
        <v>0</v>
      </c>
      <c r="R230" s="368">
        <f t="shared" si="158"/>
        <v>0</v>
      </c>
      <c r="S230" s="880">
        <v>11489.085144000001</v>
      </c>
      <c r="T230" s="880">
        <f t="shared" si="159"/>
        <v>0</v>
      </c>
      <c r="U230" s="880">
        <f>IF($I230="",0,($S230-$T230)*(1+('Econômico Macro'!$R$12/100)))</f>
        <v>11687.846316991201</v>
      </c>
      <c r="V230" s="880">
        <f t="shared" si="160"/>
        <v>11687.846316991201</v>
      </c>
      <c r="W230" s="880">
        <f t="shared" si="161"/>
        <v>0</v>
      </c>
      <c r="X230" s="367">
        <f t="shared" si="138"/>
        <v>0</v>
      </c>
      <c r="Y230" s="367">
        <f t="shared" si="139"/>
        <v>0</v>
      </c>
      <c r="Z230" s="367">
        <f t="shared" si="140"/>
        <v>0</v>
      </c>
      <c r="AA230" s="367">
        <f t="shared" si="141"/>
        <v>0</v>
      </c>
      <c r="AB230" s="369" t="str">
        <f t="shared" si="142"/>
        <v>Não Iniciada</v>
      </c>
      <c r="AC230" s="365"/>
      <c r="AD230" s="368">
        <v>1</v>
      </c>
      <c r="AE230" s="368">
        <f t="shared" si="162"/>
        <v>-1</v>
      </c>
      <c r="AF230" s="365"/>
      <c r="AG230" s="863">
        <f t="shared" si="152"/>
        <v>0</v>
      </c>
      <c r="AH230" s="864">
        <f t="shared" si="163"/>
        <v>0</v>
      </c>
      <c r="AI230" s="863">
        <f t="shared" si="153"/>
        <v>0</v>
      </c>
      <c r="AJ230" s="864">
        <f t="shared" si="164"/>
        <v>0</v>
      </c>
      <c r="AK230" s="365"/>
      <c r="AL230" s="865">
        <f t="shared" si="154"/>
        <v>0</v>
      </c>
      <c r="AM230" s="866">
        <f t="shared" si="165"/>
        <v>0</v>
      </c>
      <c r="AN230" s="866">
        <f t="shared" si="166"/>
        <v>0</v>
      </c>
      <c r="AO230" s="866">
        <f t="shared" si="167"/>
        <v>0</v>
      </c>
      <c r="AP230" s="867">
        <f t="shared" si="168"/>
        <v>0</v>
      </c>
      <c r="AQ230" s="591">
        <f t="shared" si="169"/>
        <v>0</v>
      </c>
      <c r="AR230" s="868">
        <f>IF(AND($L230=0,$P230=0)=TRUE,VLOOKUP($E230,Plan3!$A$16:$CT$487,$E$7+3,0)/100,0)</f>
        <v>0</v>
      </c>
      <c r="AS230" s="868">
        <f>IF(AND($L230=0,$P230=0)=TRUE,VLOOKUP($E230,Plan3!$A$16:$CT$487,$E$7+6,0)/100,0)</f>
        <v>0</v>
      </c>
      <c r="AT230" s="868">
        <f>IF(AND($L230=0,$P230=0)=TRUE,VLOOKUP($E230,Plan3!$A$16:$CT$487,$E$7+9,0)/100,0)</f>
        <v>0</v>
      </c>
      <c r="AU230" s="868">
        <f>IF(AND($L230=0,$P230=0)=TRUE,VLOOKUP($E230,Plan3!$A$16:$CT$487,$E$7+12,0)/100,0)</f>
        <v>0</v>
      </c>
      <c r="AV230" s="841"/>
      <c r="AW230" s="869">
        <f t="shared" si="170"/>
        <v>0</v>
      </c>
      <c r="AX230" s="870">
        <f t="shared" si="171"/>
        <v>0</v>
      </c>
      <c r="AY230" s="871">
        <f t="shared" si="172"/>
        <v>0</v>
      </c>
      <c r="AZ230" s="237" t="str">
        <f t="shared" si="143"/>
        <v xml:space="preserve">12.002.000.001 </v>
      </c>
      <c r="BA230" s="365"/>
      <c r="BB230" s="365"/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872">
        <f t="shared" si="144"/>
        <v>0</v>
      </c>
      <c r="BM230" s="873">
        <f t="shared" si="145"/>
        <v>0</v>
      </c>
      <c r="BN230" s="874">
        <f t="shared" si="173"/>
        <v>0</v>
      </c>
      <c r="BO230" s="875">
        <f t="shared" si="146"/>
        <v>0</v>
      </c>
      <c r="BP230" s="875">
        <f t="shared" si="147"/>
        <v>0</v>
      </c>
      <c r="BQ230" s="876">
        <f t="shared" si="174"/>
        <v>0</v>
      </c>
      <c r="BR230" s="877">
        <f t="shared" si="175"/>
        <v>0</v>
      </c>
      <c r="BS230" s="875">
        <f t="shared" si="148"/>
        <v>0</v>
      </c>
      <c r="BT230" s="875">
        <f t="shared" si="149"/>
        <v>0</v>
      </c>
      <c r="BU230" s="878">
        <f t="shared" si="176"/>
        <v>0</v>
      </c>
      <c r="CE230" s="486">
        <v>218</v>
      </c>
    </row>
    <row r="231" spans="1:83" s="177" customFormat="1" ht="21.95" customHeight="1" x14ac:dyDescent="0.2">
      <c r="A231" s="237">
        <f t="shared" si="150"/>
        <v>0</v>
      </c>
      <c r="B231" s="237">
        <f t="shared" si="151"/>
        <v>0</v>
      </c>
      <c r="C231" s="393">
        <f t="shared" si="136"/>
        <v>0</v>
      </c>
      <c r="D231" s="393" t="str">
        <f t="shared" si="137"/>
        <v xml:space="preserve">12 </v>
      </c>
      <c r="E231" s="959" t="s">
        <v>139</v>
      </c>
      <c r="F231" s="959" t="s">
        <v>2281</v>
      </c>
      <c r="G231" s="959" t="s">
        <v>90</v>
      </c>
      <c r="H231" s="965">
        <v>286</v>
      </c>
      <c r="I231" s="970">
        <v>76.5</v>
      </c>
      <c r="J231" s="962">
        <v>21879</v>
      </c>
      <c r="K231" s="367">
        <v>0</v>
      </c>
      <c r="L231" s="367">
        <f>IF($H231="",0,VLOOKUP($E231,Plan3!$A$16:$CT$384,$E$7,0)%)</f>
        <v>0</v>
      </c>
      <c r="M231" s="368">
        <f t="shared" si="155"/>
        <v>0</v>
      </c>
      <c r="N231" s="368">
        <f t="shared" si="156"/>
        <v>0</v>
      </c>
      <c r="O231" s="367">
        <v>0</v>
      </c>
      <c r="P231" s="367">
        <f>VLOOKUP($E231,Plan3!$A$492:$P$858,13,0)%</f>
        <v>0</v>
      </c>
      <c r="Q231" s="368">
        <f t="shared" si="157"/>
        <v>0</v>
      </c>
      <c r="R231" s="368">
        <f t="shared" si="158"/>
        <v>0</v>
      </c>
      <c r="S231" s="880">
        <v>22132.796400000003</v>
      </c>
      <c r="T231" s="880">
        <f t="shared" si="159"/>
        <v>0</v>
      </c>
      <c r="U231" s="880">
        <f>IF($I231="",0,($S231-$T231)*(1+('Econômico Macro'!$R$12/100)))</f>
        <v>22515.693777720004</v>
      </c>
      <c r="V231" s="880">
        <f t="shared" si="160"/>
        <v>22515.693777720004</v>
      </c>
      <c r="W231" s="880">
        <f t="shared" si="161"/>
        <v>0</v>
      </c>
      <c r="X231" s="367">
        <f t="shared" si="138"/>
        <v>0</v>
      </c>
      <c r="Y231" s="367">
        <f t="shared" si="139"/>
        <v>0</v>
      </c>
      <c r="Z231" s="367">
        <f t="shared" si="140"/>
        <v>0</v>
      </c>
      <c r="AA231" s="367">
        <f t="shared" si="141"/>
        <v>0</v>
      </c>
      <c r="AB231" s="369" t="str">
        <f t="shared" si="142"/>
        <v>Não Iniciada</v>
      </c>
      <c r="AC231" s="365"/>
      <c r="AD231" s="368">
        <v>1</v>
      </c>
      <c r="AE231" s="368">
        <f t="shared" si="162"/>
        <v>-1</v>
      </c>
      <c r="AF231" s="365"/>
      <c r="AG231" s="863">
        <f t="shared" si="152"/>
        <v>0</v>
      </c>
      <c r="AH231" s="864">
        <f t="shared" si="163"/>
        <v>0</v>
      </c>
      <c r="AI231" s="863">
        <f t="shared" si="153"/>
        <v>0</v>
      </c>
      <c r="AJ231" s="864">
        <f t="shared" si="164"/>
        <v>0</v>
      </c>
      <c r="AK231" s="365"/>
      <c r="AL231" s="865">
        <f t="shared" si="154"/>
        <v>0</v>
      </c>
      <c r="AM231" s="866">
        <f t="shared" si="165"/>
        <v>0</v>
      </c>
      <c r="AN231" s="866">
        <f t="shared" si="166"/>
        <v>0</v>
      </c>
      <c r="AO231" s="866">
        <f t="shared" si="167"/>
        <v>0</v>
      </c>
      <c r="AP231" s="867">
        <f t="shared" si="168"/>
        <v>0</v>
      </c>
      <c r="AQ231" s="591">
        <f t="shared" si="169"/>
        <v>0</v>
      </c>
      <c r="AR231" s="868">
        <f>IF(AND($L231=0,$P231=0)=TRUE,VLOOKUP($E231,Plan3!$A$16:$CT$487,$E$7+3,0)/100,0)</f>
        <v>0</v>
      </c>
      <c r="AS231" s="868">
        <f>IF(AND($L231=0,$P231=0)=TRUE,VLOOKUP($E231,Plan3!$A$16:$CT$487,$E$7+6,0)/100,0)</f>
        <v>0</v>
      </c>
      <c r="AT231" s="868">
        <f>IF(AND($L231=0,$P231=0)=TRUE,VLOOKUP($E231,Plan3!$A$16:$CT$487,$E$7+9,0)/100,0)</f>
        <v>0</v>
      </c>
      <c r="AU231" s="868">
        <f>IF(AND($L231=0,$P231=0)=TRUE,VLOOKUP($E231,Plan3!$A$16:$CT$487,$E$7+12,0)/100,0)</f>
        <v>0</v>
      </c>
      <c r="AV231" s="841"/>
      <c r="AW231" s="869">
        <f t="shared" si="170"/>
        <v>0</v>
      </c>
      <c r="AX231" s="870">
        <f t="shared" si="171"/>
        <v>0</v>
      </c>
      <c r="AY231" s="871">
        <f t="shared" si="172"/>
        <v>0</v>
      </c>
      <c r="AZ231" s="237" t="str">
        <f t="shared" si="143"/>
        <v xml:space="preserve">12.002.000.002 </v>
      </c>
      <c r="BA231" s="365"/>
      <c r="BB231" s="365"/>
      <c r="BC231" s="365"/>
      <c r="BD231" s="365"/>
      <c r="BE231" s="365"/>
      <c r="BF231" s="365"/>
      <c r="BG231" s="365"/>
      <c r="BH231" s="365"/>
      <c r="BI231" s="365"/>
      <c r="BJ231" s="365"/>
      <c r="BK231" s="365"/>
      <c r="BL231" s="872">
        <f t="shared" si="144"/>
        <v>0</v>
      </c>
      <c r="BM231" s="873">
        <f t="shared" si="145"/>
        <v>0</v>
      </c>
      <c r="BN231" s="874">
        <f t="shared" si="173"/>
        <v>0</v>
      </c>
      <c r="BO231" s="875">
        <f t="shared" si="146"/>
        <v>0</v>
      </c>
      <c r="BP231" s="875">
        <f t="shared" si="147"/>
        <v>0</v>
      </c>
      <c r="BQ231" s="876">
        <f t="shared" si="174"/>
        <v>0</v>
      </c>
      <c r="BR231" s="877">
        <f t="shared" si="175"/>
        <v>0</v>
      </c>
      <c r="BS231" s="875">
        <f t="shared" si="148"/>
        <v>0</v>
      </c>
      <c r="BT231" s="875">
        <f t="shared" si="149"/>
        <v>0</v>
      </c>
      <c r="BU231" s="878">
        <f t="shared" si="176"/>
        <v>0</v>
      </c>
      <c r="CE231" s="486">
        <v>219</v>
      </c>
    </row>
    <row r="232" spans="1:83" s="177" customFormat="1" ht="21.95" customHeight="1" x14ac:dyDescent="0.2">
      <c r="A232" s="237">
        <f t="shared" si="150"/>
        <v>0</v>
      </c>
      <c r="B232" s="237">
        <f t="shared" si="151"/>
        <v>0</v>
      </c>
      <c r="C232" s="393">
        <f t="shared" si="136"/>
        <v>0</v>
      </c>
      <c r="D232" s="393" t="str">
        <f t="shared" si="137"/>
        <v xml:space="preserve">12 </v>
      </c>
      <c r="E232" s="959" t="s">
        <v>243</v>
      </c>
      <c r="F232" s="959" t="s">
        <v>479</v>
      </c>
      <c r="G232" s="959" t="s">
        <v>90</v>
      </c>
      <c r="H232" s="963">
        <v>1485.7</v>
      </c>
      <c r="I232" s="970">
        <v>17.87</v>
      </c>
      <c r="J232" s="962">
        <v>26549.46</v>
      </c>
      <c r="K232" s="367">
        <v>0</v>
      </c>
      <c r="L232" s="367">
        <f>IF($H232="",0,VLOOKUP($E232,Plan3!$A$16:$CT$384,$E$7,0)%)</f>
        <v>0</v>
      </c>
      <c r="M232" s="368">
        <f t="shared" si="155"/>
        <v>0</v>
      </c>
      <c r="N232" s="368">
        <f t="shared" si="156"/>
        <v>0</v>
      </c>
      <c r="O232" s="367">
        <v>0</v>
      </c>
      <c r="P232" s="367">
        <f>VLOOKUP($E232,Plan3!$A$492:$P$858,13,0)%</f>
        <v>0</v>
      </c>
      <c r="Q232" s="368">
        <f t="shared" si="157"/>
        <v>0</v>
      </c>
      <c r="R232" s="368">
        <f t="shared" si="158"/>
        <v>0</v>
      </c>
      <c r="S232" s="880">
        <v>26857.433735999999</v>
      </c>
      <c r="T232" s="880">
        <f t="shared" si="159"/>
        <v>0</v>
      </c>
      <c r="U232" s="880">
        <f>IF($I232="",0,($S232-$T232)*(1+('Econômico Macro'!$R$12/100)))</f>
        <v>27322.067339632802</v>
      </c>
      <c r="V232" s="880">
        <f t="shared" si="160"/>
        <v>27322.067339632802</v>
      </c>
      <c r="W232" s="880">
        <f t="shared" si="161"/>
        <v>0</v>
      </c>
      <c r="X232" s="367">
        <f t="shared" si="138"/>
        <v>0</v>
      </c>
      <c r="Y232" s="367">
        <f t="shared" si="139"/>
        <v>0</v>
      </c>
      <c r="Z232" s="367">
        <f t="shared" si="140"/>
        <v>0</v>
      </c>
      <c r="AA232" s="367">
        <f t="shared" si="141"/>
        <v>0</v>
      </c>
      <c r="AB232" s="369" t="str">
        <f t="shared" si="142"/>
        <v>Não Iniciada</v>
      </c>
      <c r="AC232" s="365"/>
      <c r="AD232" s="368">
        <v>1</v>
      </c>
      <c r="AE232" s="368">
        <f t="shared" si="162"/>
        <v>-1</v>
      </c>
      <c r="AF232" s="365"/>
      <c r="AG232" s="863">
        <f t="shared" si="152"/>
        <v>0</v>
      </c>
      <c r="AH232" s="864">
        <f t="shared" si="163"/>
        <v>0</v>
      </c>
      <c r="AI232" s="863">
        <f t="shared" si="153"/>
        <v>0</v>
      </c>
      <c r="AJ232" s="864">
        <f t="shared" si="164"/>
        <v>0</v>
      </c>
      <c r="AK232" s="365"/>
      <c r="AL232" s="865">
        <f t="shared" si="154"/>
        <v>0</v>
      </c>
      <c r="AM232" s="866">
        <f t="shared" si="165"/>
        <v>0</v>
      </c>
      <c r="AN232" s="866">
        <f t="shared" si="166"/>
        <v>0</v>
      </c>
      <c r="AO232" s="866">
        <f t="shared" si="167"/>
        <v>0</v>
      </c>
      <c r="AP232" s="867">
        <f t="shared" si="168"/>
        <v>0</v>
      </c>
      <c r="AQ232" s="591">
        <f t="shared" si="169"/>
        <v>0</v>
      </c>
      <c r="AR232" s="868">
        <f>IF(AND($L232=0,$P232=0)=TRUE,VLOOKUP($E232,Plan3!$A$16:$CT$487,$E$7+3,0)/100,0)</f>
        <v>0</v>
      </c>
      <c r="AS232" s="868">
        <f>IF(AND($L232=0,$P232=0)=TRUE,VLOOKUP($E232,Plan3!$A$16:$CT$487,$E$7+6,0)/100,0)</f>
        <v>0</v>
      </c>
      <c r="AT232" s="868">
        <f>IF(AND($L232=0,$P232=0)=TRUE,VLOOKUP($E232,Plan3!$A$16:$CT$487,$E$7+9,0)/100,0)</f>
        <v>0</v>
      </c>
      <c r="AU232" s="868">
        <f>IF(AND($L232=0,$P232=0)=TRUE,VLOOKUP($E232,Plan3!$A$16:$CT$487,$E$7+12,0)/100,0)</f>
        <v>0</v>
      </c>
      <c r="AV232" s="841"/>
      <c r="AW232" s="869">
        <f t="shared" si="170"/>
        <v>0</v>
      </c>
      <c r="AX232" s="870">
        <f t="shared" si="171"/>
        <v>0</v>
      </c>
      <c r="AY232" s="871">
        <f t="shared" si="172"/>
        <v>0</v>
      </c>
      <c r="AZ232" s="237" t="str">
        <f t="shared" si="143"/>
        <v xml:space="preserve">12.002.000.003 </v>
      </c>
      <c r="BA232" s="365"/>
      <c r="BB232" s="365"/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872">
        <f t="shared" si="144"/>
        <v>0</v>
      </c>
      <c r="BM232" s="873">
        <f t="shared" si="145"/>
        <v>0</v>
      </c>
      <c r="BN232" s="874">
        <f t="shared" si="173"/>
        <v>0</v>
      </c>
      <c r="BO232" s="875">
        <f t="shared" si="146"/>
        <v>0</v>
      </c>
      <c r="BP232" s="875">
        <f t="shared" si="147"/>
        <v>0</v>
      </c>
      <c r="BQ232" s="876">
        <f t="shared" si="174"/>
        <v>0</v>
      </c>
      <c r="BR232" s="877">
        <f t="shared" si="175"/>
        <v>0</v>
      </c>
      <c r="BS232" s="875">
        <f t="shared" si="148"/>
        <v>0</v>
      </c>
      <c r="BT232" s="875">
        <f t="shared" si="149"/>
        <v>0</v>
      </c>
      <c r="BU232" s="878">
        <f t="shared" si="176"/>
        <v>0</v>
      </c>
      <c r="CE232" s="486">
        <v>220</v>
      </c>
    </row>
    <row r="233" spans="1:83" s="177" customFormat="1" ht="21.95" customHeight="1" x14ac:dyDescent="0.2">
      <c r="A233" s="237">
        <f t="shared" si="150"/>
        <v>0</v>
      </c>
      <c r="B233" s="237">
        <f t="shared" si="151"/>
        <v>0</v>
      </c>
      <c r="C233" s="393">
        <f t="shared" si="136"/>
        <v>0</v>
      </c>
      <c r="D233" s="393" t="str">
        <f t="shared" si="137"/>
        <v xml:space="preserve">12 </v>
      </c>
      <c r="E233" s="959" t="s">
        <v>2282</v>
      </c>
      <c r="F233" s="959" t="s">
        <v>2350</v>
      </c>
      <c r="G233" s="959" t="s">
        <v>15</v>
      </c>
      <c r="H233" s="965">
        <v>493.87</v>
      </c>
      <c r="I233" s="970">
        <v>13.571</v>
      </c>
      <c r="J233" s="964">
        <v>6702.31</v>
      </c>
      <c r="K233" s="367">
        <v>0</v>
      </c>
      <c r="L233" s="367">
        <f>IF($H233="",0,VLOOKUP($E233,Plan3!$A$16:$CT$384,$E$7,0)%)</f>
        <v>0</v>
      </c>
      <c r="M233" s="368">
        <f t="shared" si="155"/>
        <v>0</v>
      </c>
      <c r="N233" s="368">
        <f t="shared" si="156"/>
        <v>0</v>
      </c>
      <c r="O233" s="367">
        <v>0</v>
      </c>
      <c r="P233" s="367">
        <f>VLOOKUP($E233,Plan3!$A$492:$P$858,13,0)%</f>
        <v>0</v>
      </c>
      <c r="Q233" s="368">
        <f t="shared" si="157"/>
        <v>0</v>
      </c>
      <c r="R233" s="368">
        <f t="shared" si="158"/>
        <v>0</v>
      </c>
      <c r="S233" s="880">
        <v>6780.0567960000008</v>
      </c>
      <c r="T233" s="880">
        <f t="shared" si="159"/>
        <v>0</v>
      </c>
      <c r="U233" s="880">
        <f>IF($I233="",0,($S233-$T233)*(1+('Econômico Macro'!$R$12/100)))</f>
        <v>6897.3517785708018</v>
      </c>
      <c r="V233" s="880">
        <f t="shared" si="160"/>
        <v>6897.3517785708018</v>
      </c>
      <c r="W233" s="880">
        <f t="shared" si="161"/>
        <v>0</v>
      </c>
      <c r="X233" s="367">
        <f t="shared" si="138"/>
        <v>0</v>
      </c>
      <c r="Y233" s="367">
        <f t="shared" si="139"/>
        <v>0</v>
      </c>
      <c r="Z233" s="367">
        <f t="shared" si="140"/>
        <v>0</v>
      </c>
      <c r="AA233" s="367">
        <f t="shared" si="141"/>
        <v>0</v>
      </c>
      <c r="AB233" s="369" t="str">
        <f t="shared" si="142"/>
        <v>Não Iniciada</v>
      </c>
      <c r="AC233" s="365"/>
      <c r="AD233" s="368">
        <v>1</v>
      </c>
      <c r="AE233" s="368">
        <f t="shared" si="162"/>
        <v>-1</v>
      </c>
      <c r="AF233" s="365"/>
      <c r="AG233" s="863">
        <f t="shared" si="152"/>
        <v>0</v>
      </c>
      <c r="AH233" s="864">
        <f t="shared" si="163"/>
        <v>0</v>
      </c>
      <c r="AI233" s="863">
        <f t="shared" si="153"/>
        <v>0</v>
      </c>
      <c r="AJ233" s="864">
        <f t="shared" si="164"/>
        <v>0</v>
      </c>
      <c r="AK233" s="365"/>
      <c r="AL233" s="865">
        <f t="shared" si="154"/>
        <v>0</v>
      </c>
      <c r="AM233" s="866">
        <f t="shared" si="165"/>
        <v>0</v>
      </c>
      <c r="AN233" s="866">
        <f t="shared" si="166"/>
        <v>0</v>
      </c>
      <c r="AO233" s="866">
        <f t="shared" si="167"/>
        <v>0</v>
      </c>
      <c r="AP233" s="867">
        <f t="shared" si="168"/>
        <v>0</v>
      </c>
      <c r="AQ233" s="591">
        <f t="shared" si="169"/>
        <v>0</v>
      </c>
      <c r="AR233" s="868">
        <f>IF(AND($L233=0,$P233=0)=TRUE,VLOOKUP($E233,Plan3!$A$16:$CT$487,$E$7+3,0)/100,0)</f>
        <v>0</v>
      </c>
      <c r="AS233" s="868">
        <f>IF(AND($L233=0,$P233=0)=TRUE,VLOOKUP($E233,Plan3!$A$16:$CT$487,$E$7+6,0)/100,0)</f>
        <v>0</v>
      </c>
      <c r="AT233" s="868">
        <f>IF(AND($L233=0,$P233=0)=TRUE,VLOOKUP($E233,Plan3!$A$16:$CT$487,$E$7+9,0)/100,0)</f>
        <v>0</v>
      </c>
      <c r="AU233" s="868">
        <f>IF(AND($L233=0,$P233=0)=TRUE,VLOOKUP($E233,Plan3!$A$16:$CT$487,$E$7+12,0)/100,0)</f>
        <v>0</v>
      </c>
      <c r="AV233" s="841"/>
      <c r="AW233" s="869">
        <f t="shared" si="170"/>
        <v>0</v>
      </c>
      <c r="AX233" s="870">
        <f t="shared" si="171"/>
        <v>0</v>
      </c>
      <c r="AY233" s="871">
        <f t="shared" si="172"/>
        <v>0</v>
      </c>
      <c r="AZ233" s="237" t="str">
        <f t="shared" si="143"/>
        <v xml:space="preserve">12.002.000.004 </v>
      </c>
      <c r="BA233" s="365"/>
      <c r="BB233" s="365"/>
      <c r="BC233" s="365"/>
      <c r="BD233" s="365"/>
      <c r="BE233" s="365"/>
      <c r="BF233" s="365"/>
      <c r="BG233" s="365"/>
      <c r="BH233" s="365"/>
      <c r="BI233" s="365"/>
      <c r="BJ233" s="365"/>
      <c r="BK233" s="365"/>
      <c r="BL233" s="872">
        <f t="shared" si="144"/>
        <v>0</v>
      </c>
      <c r="BM233" s="873">
        <f t="shared" si="145"/>
        <v>0</v>
      </c>
      <c r="BN233" s="874">
        <f t="shared" si="173"/>
        <v>0</v>
      </c>
      <c r="BO233" s="875">
        <f t="shared" si="146"/>
        <v>0</v>
      </c>
      <c r="BP233" s="875">
        <f t="shared" si="147"/>
        <v>0</v>
      </c>
      <c r="BQ233" s="876">
        <f t="shared" si="174"/>
        <v>0</v>
      </c>
      <c r="BR233" s="877">
        <f t="shared" si="175"/>
        <v>0</v>
      </c>
      <c r="BS233" s="875">
        <f t="shared" si="148"/>
        <v>0</v>
      </c>
      <c r="BT233" s="875">
        <f t="shared" si="149"/>
        <v>0</v>
      </c>
      <c r="BU233" s="878">
        <f t="shared" si="176"/>
        <v>0</v>
      </c>
      <c r="CE233" s="486">
        <v>221</v>
      </c>
    </row>
    <row r="234" spans="1:83" s="177" customFormat="1" ht="21.95" customHeight="1" x14ac:dyDescent="0.2">
      <c r="A234" s="237">
        <f t="shared" si="150"/>
        <v>0</v>
      </c>
      <c r="B234" s="237">
        <f t="shared" si="151"/>
        <v>0</v>
      </c>
      <c r="C234" s="393">
        <f t="shared" si="136"/>
        <v>0</v>
      </c>
      <c r="D234" s="393" t="str">
        <f t="shared" si="137"/>
        <v xml:space="preserve">12 </v>
      </c>
      <c r="E234" s="967" t="s">
        <v>658</v>
      </c>
      <c r="F234" s="967" t="s">
        <v>786</v>
      </c>
      <c r="G234" s="967"/>
      <c r="H234" s="968"/>
      <c r="I234" s="968"/>
      <c r="J234" s="971">
        <v>177194.21</v>
      </c>
      <c r="K234" s="367">
        <v>0</v>
      </c>
      <c r="L234" s="367">
        <f>IF($H234="",0,VLOOKUP($E234,Plan3!$A$16:$CT$384,$E$7,0)%)</f>
        <v>0</v>
      </c>
      <c r="M234" s="368">
        <f t="shared" si="155"/>
        <v>0</v>
      </c>
      <c r="N234" s="368">
        <f t="shared" si="156"/>
        <v>0</v>
      </c>
      <c r="O234" s="367">
        <v>0</v>
      </c>
      <c r="P234" s="367">
        <f>VLOOKUP($E234,Plan3!$A$492:$P$858,13,0)%</f>
        <v>0</v>
      </c>
      <c r="Q234" s="368">
        <f t="shared" si="157"/>
        <v>0</v>
      </c>
      <c r="R234" s="368">
        <f t="shared" si="158"/>
        <v>0</v>
      </c>
      <c r="S234" s="880">
        <v>0</v>
      </c>
      <c r="T234" s="880">
        <f t="shared" si="159"/>
        <v>0</v>
      </c>
      <c r="U234" s="880">
        <f>IF($I234="",0,($S234-$T234)*(1+('Econômico Macro'!$R$12/100)))</f>
        <v>0</v>
      </c>
      <c r="V234" s="880">
        <f t="shared" si="160"/>
        <v>0</v>
      </c>
      <c r="W234" s="880">
        <f t="shared" si="161"/>
        <v>0</v>
      </c>
      <c r="X234" s="367">
        <f t="shared" si="138"/>
        <v>0</v>
      </c>
      <c r="Y234" s="367">
        <f t="shared" si="139"/>
        <v>0</v>
      </c>
      <c r="Z234" s="367">
        <f t="shared" si="140"/>
        <v>0</v>
      </c>
      <c r="AA234" s="367">
        <f t="shared" si="141"/>
        <v>0</v>
      </c>
      <c r="AB234" s="369" t="str">
        <f t="shared" si="142"/>
        <v>Não Iniciada</v>
      </c>
      <c r="AC234" s="365"/>
      <c r="AD234" s="368">
        <v>1</v>
      </c>
      <c r="AE234" s="368">
        <f t="shared" si="162"/>
        <v>-1</v>
      </c>
      <c r="AF234" s="365"/>
      <c r="AG234" s="863">
        <f t="shared" si="152"/>
        <v>0</v>
      </c>
      <c r="AH234" s="864">
        <f t="shared" si="163"/>
        <v>0</v>
      </c>
      <c r="AI234" s="863">
        <f t="shared" si="153"/>
        <v>0</v>
      </c>
      <c r="AJ234" s="864">
        <f t="shared" si="164"/>
        <v>0</v>
      </c>
      <c r="AK234" s="365"/>
      <c r="AL234" s="865">
        <f t="shared" si="154"/>
        <v>0</v>
      </c>
      <c r="AM234" s="866">
        <f t="shared" si="165"/>
        <v>0</v>
      </c>
      <c r="AN234" s="866">
        <f t="shared" si="166"/>
        <v>0</v>
      </c>
      <c r="AO234" s="866">
        <f t="shared" si="167"/>
        <v>0</v>
      </c>
      <c r="AP234" s="867">
        <f t="shared" si="168"/>
        <v>0</v>
      </c>
      <c r="AQ234" s="591"/>
      <c r="AR234" s="868"/>
      <c r="AS234" s="868"/>
      <c r="AT234" s="868"/>
      <c r="AU234" s="868"/>
      <c r="AV234" s="841"/>
      <c r="AW234" s="869"/>
      <c r="AX234" s="870"/>
      <c r="AY234" s="871"/>
      <c r="AZ234" s="237" t="str">
        <f t="shared" si="143"/>
        <v xml:space="preserve">12.003 </v>
      </c>
      <c r="BA234" s="365"/>
      <c r="BB234" s="365"/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872">
        <f t="shared" si="144"/>
        <v>0</v>
      </c>
      <c r="BM234" s="873">
        <f t="shared" si="145"/>
        <v>0</v>
      </c>
      <c r="BN234" s="874">
        <f t="shared" si="173"/>
        <v>0</v>
      </c>
      <c r="BO234" s="875">
        <f t="shared" si="146"/>
        <v>0</v>
      </c>
      <c r="BP234" s="875">
        <f t="shared" si="147"/>
        <v>0</v>
      </c>
      <c r="BQ234" s="876">
        <f t="shared" si="174"/>
        <v>0</v>
      </c>
      <c r="BR234" s="877">
        <f t="shared" si="175"/>
        <v>0</v>
      </c>
      <c r="BS234" s="875">
        <f t="shared" si="148"/>
        <v>0</v>
      </c>
      <c r="BT234" s="875">
        <f t="shared" si="149"/>
        <v>0</v>
      </c>
      <c r="BU234" s="878">
        <f t="shared" si="176"/>
        <v>0</v>
      </c>
      <c r="CE234" s="486">
        <v>222</v>
      </c>
    </row>
    <row r="235" spans="1:83" s="177" customFormat="1" ht="21.95" customHeight="1" x14ac:dyDescent="0.2">
      <c r="A235" s="237">
        <f t="shared" si="150"/>
        <v>0</v>
      </c>
      <c r="B235" s="237">
        <f t="shared" si="151"/>
        <v>0</v>
      </c>
      <c r="C235" s="393">
        <f t="shared" si="136"/>
        <v>0</v>
      </c>
      <c r="D235" s="393" t="str">
        <f t="shared" si="137"/>
        <v xml:space="preserve">12 </v>
      </c>
      <c r="E235" s="959" t="s">
        <v>659</v>
      </c>
      <c r="F235" s="959" t="s">
        <v>2351</v>
      </c>
      <c r="G235" s="959" t="s">
        <v>90</v>
      </c>
      <c r="H235" s="965">
        <v>693.34</v>
      </c>
      <c r="I235" s="970">
        <v>69.157200000000003</v>
      </c>
      <c r="J235" s="962">
        <v>47949.45</v>
      </c>
      <c r="K235" s="367">
        <v>0</v>
      </c>
      <c r="L235" s="367">
        <f>IF($H235="",0,VLOOKUP($E235,Plan3!$A$16:$CT$384,$E$7,0)%)</f>
        <v>0</v>
      </c>
      <c r="M235" s="368">
        <f t="shared" si="155"/>
        <v>0</v>
      </c>
      <c r="N235" s="368">
        <f t="shared" si="156"/>
        <v>0</v>
      </c>
      <c r="O235" s="367">
        <v>0</v>
      </c>
      <c r="P235" s="367">
        <f>VLOOKUP($E235,Plan3!$A$492:$P$858,13,0)%</f>
        <v>0</v>
      </c>
      <c r="Q235" s="368">
        <f t="shared" si="157"/>
        <v>0</v>
      </c>
      <c r="R235" s="368">
        <f t="shared" si="158"/>
        <v>0</v>
      </c>
      <c r="S235" s="880">
        <v>48505.663619999999</v>
      </c>
      <c r="T235" s="880">
        <f t="shared" si="159"/>
        <v>0</v>
      </c>
      <c r="U235" s="880">
        <f>IF($I235="",0,($S235-$T235)*(1+('Econômico Macro'!$R$12/100)))</f>
        <v>49344.811600626002</v>
      </c>
      <c r="V235" s="880">
        <f t="shared" si="160"/>
        <v>49344.811600626002</v>
      </c>
      <c r="W235" s="880">
        <f t="shared" si="161"/>
        <v>0</v>
      </c>
      <c r="X235" s="367">
        <f t="shared" si="138"/>
        <v>0</v>
      </c>
      <c r="Y235" s="367">
        <f t="shared" si="139"/>
        <v>0</v>
      </c>
      <c r="Z235" s="367">
        <f t="shared" si="140"/>
        <v>0</v>
      </c>
      <c r="AA235" s="367">
        <f t="shared" si="141"/>
        <v>0</v>
      </c>
      <c r="AB235" s="369" t="str">
        <f t="shared" si="142"/>
        <v>Não Iniciada</v>
      </c>
      <c r="AC235" s="365"/>
      <c r="AD235" s="368">
        <v>1</v>
      </c>
      <c r="AE235" s="368">
        <f t="shared" si="162"/>
        <v>-1</v>
      </c>
      <c r="AF235" s="365"/>
      <c r="AG235" s="863">
        <f t="shared" si="152"/>
        <v>0</v>
      </c>
      <c r="AH235" s="864">
        <f t="shared" si="163"/>
        <v>0</v>
      </c>
      <c r="AI235" s="863">
        <f t="shared" si="153"/>
        <v>0</v>
      </c>
      <c r="AJ235" s="864">
        <f t="shared" si="164"/>
        <v>0</v>
      </c>
      <c r="AK235" s="365"/>
      <c r="AL235" s="865">
        <f t="shared" si="154"/>
        <v>0</v>
      </c>
      <c r="AM235" s="866">
        <f t="shared" si="165"/>
        <v>0</v>
      </c>
      <c r="AN235" s="866">
        <f t="shared" si="166"/>
        <v>0</v>
      </c>
      <c r="AO235" s="866">
        <f t="shared" si="167"/>
        <v>0</v>
      </c>
      <c r="AP235" s="867">
        <f t="shared" si="168"/>
        <v>0</v>
      </c>
      <c r="AQ235" s="591">
        <f t="shared" si="169"/>
        <v>0</v>
      </c>
      <c r="AR235" s="868">
        <f>IF(AND($L235=0,$P235=0)=TRUE,VLOOKUP($E235,Plan3!$A$16:$CT$487,$E$7+3,0)/100,0)</f>
        <v>0</v>
      </c>
      <c r="AS235" s="868">
        <f>IF(AND($L235=0,$P235=0)=TRUE,VLOOKUP($E235,Plan3!$A$16:$CT$487,$E$7+6,0)/100,0)</f>
        <v>0</v>
      </c>
      <c r="AT235" s="868">
        <f>IF(AND($L235=0,$P235=0)=TRUE,VLOOKUP($E235,Plan3!$A$16:$CT$487,$E$7+9,0)/100,0)</f>
        <v>0</v>
      </c>
      <c r="AU235" s="868">
        <f>IF(AND($L235=0,$P235=0)=TRUE,VLOOKUP($E235,Plan3!$A$16:$CT$487,$E$7+12,0)/100,0)</f>
        <v>0</v>
      </c>
      <c r="AV235" s="841"/>
      <c r="AW235" s="869">
        <f t="shared" si="170"/>
        <v>0</v>
      </c>
      <c r="AX235" s="870">
        <f t="shared" si="171"/>
        <v>0</v>
      </c>
      <c r="AY235" s="871">
        <f t="shared" si="172"/>
        <v>0</v>
      </c>
      <c r="AZ235" s="237" t="str">
        <f t="shared" si="143"/>
        <v xml:space="preserve">12.003.000.001 </v>
      </c>
      <c r="BA235" s="365"/>
      <c r="BB235" s="365"/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872">
        <f t="shared" si="144"/>
        <v>0</v>
      </c>
      <c r="BM235" s="873">
        <f t="shared" si="145"/>
        <v>0</v>
      </c>
      <c r="BN235" s="874">
        <f t="shared" si="173"/>
        <v>0</v>
      </c>
      <c r="BO235" s="875">
        <f t="shared" si="146"/>
        <v>0</v>
      </c>
      <c r="BP235" s="875">
        <f t="shared" si="147"/>
        <v>0</v>
      </c>
      <c r="BQ235" s="876">
        <f t="shared" si="174"/>
        <v>0</v>
      </c>
      <c r="BR235" s="877">
        <f t="shared" si="175"/>
        <v>0</v>
      </c>
      <c r="BS235" s="875">
        <f t="shared" si="148"/>
        <v>0</v>
      </c>
      <c r="BT235" s="875">
        <f t="shared" si="149"/>
        <v>0</v>
      </c>
      <c r="BU235" s="878">
        <f t="shared" si="176"/>
        <v>0</v>
      </c>
      <c r="CE235" s="486">
        <v>223</v>
      </c>
    </row>
    <row r="236" spans="1:83" s="177" customFormat="1" ht="21.95" customHeight="1" x14ac:dyDescent="0.2">
      <c r="A236" s="237">
        <f t="shared" si="150"/>
        <v>0</v>
      </c>
      <c r="B236" s="237">
        <f t="shared" si="151"/>
        <v>0</v>
      </c>
      <c r="C236" s="393">
        <f t="shared" si="136"/>
        <v>0</v>
      </c>
      <c r="D236" s="393" t="str">
        <f t="shared" si="137"/>
        <v xml:space="preserve">12 </v>
      </c>
      <c r="E236" s="959" t="s">
        <v>660</v>
      </c>
      <c r="F236" s="959" t="s">
        <v>2352</v>
      </c>
      <c r="G236" s="959" t="s">
        <v>15</v>
      </c>
      <c r="H236" s="965">
        <v>952.43</v>
      </c>
      <c r="I236" s="970">
        <v>31.322600000000001</v>
      </c>
      <c r="J236" s="962">
        <v>29832.58</v>
      </c>
      <c r="K236" s="367">
        <v>0</v>
      </c>
      <c r="L236" s="367">
        <f>IF($H236="",0,VLOOKUP($E236,Plan3!$A$16:$CT$384,$E$7,0)%)</f>
        <v>0</v>
      </c>
      <c r="M236" s="368">
        <f t="shared" si="155"/>
        <v>0</v>
      </c>
      <c r="N236" s="368">
        <f t="shared" si="156"/>
        <v>0</v>
      </c>
      <c r="O236" s="367">
        <v>0</v>
      </c>
      <c r="P236" s="367">
        <f>VLOOKUP($E236,Plan3!$A$492:$P$858,13,0)%</f>
        <v>0</v>
      </c>
      <c r="Q236" s="368">
        <f t="shared" si="157"/>
        <v>0</v>
      </c>
      <c r="R236" s="368">
        <f t="shared" si="158"/>
        <v>0</v>
      </c>
      <c r="S236" s="880">
        <v>30178.637928000004</v>
      </c>
      <c r="T236" s="880">
        <f t="shared" si="159"/>
        <v>0</v>
      </c>
      <c r="U236" s="880">
        <f>IF($I236="",0,($S236-$T236)*(1+('Econômico Macro'!$R$12/100)))</f>
        <v>30700.728364154405</v>
      </c>
      <c r="V236" s="880">
        <f t="shared" si="160"/>
        <v>30700.728364154405</v>
      </c>
      <c r="W236" s="880">
        <f t="shared" si="161"/>
        <v>0</v>
      </c>
      <c r="X236" s="367">
        <f t="shared" si="138"/>
        <v>0</v>
      </c>
      <c r="Y236" s="367">
        <f t="shared" si="139"/>
        <v>0</v>
      </c>
      <c r="Z236" s="367">
        <f t="shared" si="140"/>
        <v>0</v>
      </c>
      <c r="AA236" s="367">
        <f t="shared" si="141"/>
        <v>0</v>
      </c>
      <c r="AB236" s="369" t="str">
        <f t="shared" si="142"/>
        <v>Não Iniciada</v>
      </c>
      <c r="AC236" s="365"/>
      <c r="AD236" s="368">
        <v>1</v>
      </c>
      <c r="AE236" s="368">
        <f t="shared" si="162"/>
        <v>-1</v>
      </c>
      <c r="AF236" s="365"/>
      <c r="AG236" s="863">
        <f t="shared" si="152"/>
        <v>0</v>
      </c>
      <c r="AH236" s="864">
        <f t="shared" si="163"/>
        <v>0</v>
      </c>
      <c r="AI236" s="863">
        <f t="shared" si="153"/>
        <v>0</v>
      </c>
      <c r="AJ236" s="864">
        <f t="shared" si="164"/>
        <v>0</v>
      </c>
      <c r="AK236" s="365"/>
      <c r="AL236" s="865">
        <f t="shared" si="154"/>
        <v>0</v>
      </c>
      <c r="AM236" s="866">
        <f t="shared" si="165"/>
        <v>0</v>
      </c>
      <c r="AN236" s="866">
        <f t="shared" si="166"/>
        <v>0</v>
      </c>
      <c r="AO236" s="866">
        <f t="shared" si="167"/>
        <v>0</v>
      </c>
      <c r="AP236" s="867">
        <f t="shared" si="168"/>
        <v>0</v>
      </c>
      <c r="AQ236" s="591">
        <f t="shared" si="169"/>
        <v>0</v>
      </c>
      <c r="AR236" s="868">
        <f>IF(AND($L236=0,$P236=0)=TRUE,VLOOKUP($E236,Plan3!$A$16:$CT$487,$E$7+3,0)/100,0)</f>
        <v>0</v>
      </c>
      <c r="AS236" s="868">
        <f>IF(AND($L236=0,$P236=0)=TRUE,VLOOKUP($E236,Plan3!$A$16:$CT$487,$E$7+6,0)/100,0)</f>
        <v>0</v>
      </c>
      <c r="AT236" s="868">
        <f>IF(AND($L236=0,$P236=0)=TRUE,VLOOKUP($E236,Plan3!$A$16:$CT$487,$E$7+9,0)/100,0)</f>
        <v>0</v>
      </c>
      <c r="AU236" s="868">
        <f>IF(AND($L236=0,$P236=0)=TRUE,VLOOKUP($E236,Plan3!$A$16:$CT$487,$E$7+12,0)/100,0)</f>
        <v>0</v>
      </c>
      <c r="AV236" s="841"/>
      <c r="AW236" s="869">
        <f t="shared" si="170"/>
        <v>0</v>
      </c>
      <c r="AX236" s="870">
        <f t="shared" si="171"/>
        <v>0</v>
      </c>
      <c r="AY236" s="871">
        <f t="shared" si="172"/>
        <v>0</v>
      </c>
      <c r="AZ236" s="237" t="str">
        <f t="shared" si="143"/>
        <v xml:space="preserve">12.003.000.002 </v>
      </c>
      <c r="BA236" s="365"/>
      <c r="BB236" s="365"/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872">
        <f t="shared" si="144"/>
        <v>0</v>
      </c>
      <c r="BM236" s="873">
        <f t="shared" si="145"/>
        <v>0</v>
      </c>
      <c r="BN236" s="874">
        <f t="shared" si="173"/>
        <v>0</v>
      </c>
      <c r="BO236" s="875">
        <f t="shared" si="146"/>
        <v>0</v>
      </c>
      <c r="BP236" s="875">
        <f t="shared" si="147"/>
        <v>0</v>
      </c>
      <c r="BQ236" s="876">
        <f t="shared" si="174"/>
        <v>0</v>
      </c>
      <c r="BR236" s="877">
        <f t="shared" si="175"/>
        <v>0</v>
      </c>
      <c r="BS236" s="875">
        <f t="shared" si="148"/>
        <v>0</v>
      </c>
      <c r="BT236" s="875">
        <f t="shared" si="149"/>
        <v>0</v>
      </c>
      <c r="BU236" s="878">
        <f t="shared" si="176"/>
        <v>0</v>
      </c>
      <c r="CE236" s="486">
        <v>224</v>
      </c>
    </row>
    <row r="237" spans="1:83" s="177" customFormat="1" ht="21.95" customHeight="1" x14ac:dyDescent="0.2">
      <c r="A237" s="237">
        <f t="shared" si="150"/>
        <v>0</v>
      </c>
      <c r="B237" s="237">
        <f t="shared" si="151"/>
        <v>0</v>
      </c>
      <c r="C237" s="393">
        <f t="shared" si="136"/>
        <v>0</v>
      </c>
      <c r="D237" s="393" t="str">
        <f t="shared" si="137"/>
        <v xml:space="preserve">12 </v>
      </c>
      <c r="E237" s="959" t="s">
        <v>2283</v>
      </c>
      <c r="F237" s="959" t="s">
        <v>2285</v>
      </c>
      <c r="G237" s="959" t="s">
        <v>90</v>
      </c>
      <c r="H237" s="965">
        <v>693.34</v>
      </c>
      <c r="I237" s="970">
        <v>85</v>
      </c>
      <c r="J237" s="962">
        <v>58933.9</v>
      </c>
      <c r="K237" s="367">
        <v>0</v>
      </c>
      <c r="L237" s="367">
        <f>IF($H237="",0,VLOOKUP($E237,Plan3!$A$16:$CT$384,$E$7,0)%)</f>
        <v>0</v>
      </c>
      <c r="M237" s="368">
        <f t="shared" si="155"/>
        <v>0</v>
      </c>
      <c r="N237" s="368">
        <f t="shared" si="156"/>
        <v>0</v>
      </c>
      <c r="O237" s="367">
        <v>0</v>
      </c>
      <c r="P237" s="367">
        <f>VLOOKUP($E237,Plan3!$A$492:$P$858,13,0)%</f>
        <v>0</v>
      </c>
      <c r="Q237" s="368">
        <f t="shared" si="157"/>
        <v>0</v>
      </c>
      <c r="R237" s="368">
        <f t="shared" si="158"/>
        <v>0</v>
      </c>
      <c r="S237" s="880">
        <v>59617.533240000004</v>
      </c>
      <c r="T237" s="880">
        <f t="shared" si="159"/>
        <v>0</v>
      </c>
      <c r="U237" s="880">
        <f>IF($I237="",0,($S237-$T237)*(1+('Econômico Macro'!$R$12/100)))</f>
        <v>60648.916565052008</v>
      </c>
      <c r="V237" s="880">
        <f t="shared" si="160"/>
        <v>60648.916565052008</v>
      </c>
      <c r="W237" s="880">
        <f t="shared" si="161"/>
        <v>0</v>
      </c>
      <c r="X237" s="367">
        <f t="shared" si="138"/>
        <v>0</v>
      </c>
      <c r="Y237" s="367">
        <f t="shared" si="139"/>
        <v>0</v>
      </c>
      <c r="Z237" s="367">
        <f t="shared" si="140"/>
        <v>0</v>
      </c>
      <c r="AA237" s="367">
        <f t="shared" si="141"/>
        <v>0</v>
      </c>
      <c r="AB237" s="369" t="str">
        <f t="shared" si="142"/>
        <v>Não Iniciada</v>
      </c>
      <c r="AC237" s="365"/>
      <c r="AD237" s="368">
        <v>1</v>
      </c>
      <c r="AE237" s="368">
        <f t="shared" si="162"/>
        <v>-1</v>
      </c>
      <c r="AF237" s="365"/>
      <c r="AG237" s="863">
        <f t="shared" si="152"/>
        <v>0</v>
      </c>
      <c r="AH237" s="864">
        <f t="shared" si="163"/>
        <v>0</v>
      </c>
      <c r="AI237" s="863">
        <f t="shared" si="153"/>
        <v>0</v>
      </c>
      <c r="AJ237" s="864">
        <f t="shared" si="164"/>
        <v>0</v>
      </c>
      <c r="AK237" s="365"/>
      <c r="AL237" s="865">
        <f t="shared" si="154"/>
        <v>0</v>
      </c>
      <c r="AM237" s="866">
        <f t="shared" si="165"/>
        <v>0</v>
      </c>
      <c r="AN237" s="866">
        <f t="shared" si="166"/>
        <v>0</v>
      </c>
      <c r="AO237" s="866">
        <f t="shared" si="167"/>
        <v>0</v>
      </c>
      <c r="AP237" s="867">
        <f t="shared" si="168"/>
        <v>0</v>
      </c>
      <c r="AQ237" s="591">
        <f t="shared" si="169"/>
        <v>0</v>
      </c>
      <c r="AR237" s="868">
        <f>IF(AND($L237=0,$P237=0)=TRUE,VLOOKUP($E237,Plan3!$A$16:$CT$487,$E$7+3,0)/100,0)</f>
        <v>0</v>
      </c>
      <c r="AS237" s="868">
        <f>IF(AND($L237=0,$P237=0)=TRUE,VLOOKUP($E237,Plan3!$A$16:$CT$487,$E$7+6,0)/100,0)</f>
        <v>0</v>
      </c>
      <c r="AT237" s="868">
        <f>IF(AND($L237=0,$P237=0)=TRUE,VLOOKUP($E237,Plan3!$A$16:$CT$487,$E$7+9,0)/100,0)</f>
        <v>0</v>
      </c>
      <c r="AU237" s="868">
        <f>IF(AND($L237=0,$P237=0)=TRUE,VLOOKUP($E237,Plan3!$A$16:$CT$487,$E$7+12,0)/100,0)</f>
        <v>0</v>
      </c>
      <c r="AV237" s="841"/>
      <c r="AW237" s="869">
        <f t="shared" si="170"/>
        <v>0</v>
      </c>
      <c r="AX237" s="870">
        <f t="shared" si="171"/>
        <v>0</v>
      </c>
      <c r="AY237" s="871">
        <f t="shared" si="172"/>
        <v>0</v>
      </c>
      <c r="AZ237" s="237" t="str">
        <f t="shared" si="143"/>
        <v xml:space="preserve">12.003.000.003 </v>
      </c>
      <c r="BA237" s="365"/>
      <c r="BB237" s="365"/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872">
        <f t="shared" si="144"/>
        <v>0</v>
      </c>
      <c r="BM237" s="873">
        <f t="shared" si="145"/>
        <v>0</v>
      </c>
      <c r="BN237" s="874">
        <f t="shared" si="173"/>
        <v>0</v>
      </c>
      <c r="BO237" s="875">
        <f t="shared" si="146"/>
        <v>0</v>
      </c>
      <c r="BP237" s="875">
        <f t="shared" si="147"/>
        <v>0</v>
      </c>
      <c r="BQ237" s="876">
        <f t="shared" si="174"/>
        <v>0</v>
      </c>
      <c r="BR237" s="877">
        <f t="shared" si="175"/>
        <v>0</v>
      </c>
      <c r="BS237" s="875">
        <f t="shared" si="148"/>
        <v>0</v>
      </c>
      <c r="BT237" s="875">
        <f t="shared" si="149"/>
        <v>0</v>
      </c>
      <c r="BU237" s="878">
        <f t="shared" si="176"/>
        <v>0</v>
      </c>
      <c r="CE237" s="486">
        <v>225</v>
      </c>
    </row>
    <row r="238" spans="1:83" s="177" customFormat="1" ht="21.95" customHeight="1" x14ac:dyDescent="0.2">
      <c r="A238" s="237">
        <f t="shared" si="150"/>
        <v>0</v>
      </c>
      <c r="B238" s="237">
        <f t="shared" si="151"/>
        <v>0</v>
      </c>
      <c r="C238" s="393">
        <f t="shared" si="136"/>
        <v>0</v>
      </c>
      <c r="D238" s="393" t="str">
        <f t="shared" si="137"/>
        <v xml:space="preserve">12 </v>
      </c>
      <c r="E238" s="959" t="s">
        <v>2284</v>
      </c>
      <c r="F238" s="959" t="s">
        <v>1487</v>
      </c>
      <c r="G238" s="959" t="s">
        <v>15</v>
      </c>
      <c r="H238" s="965">
        <v>952.43</v>
      </c>
      <c r="I238" s="970">
        <v>42.5</v>
      </c>
      <c r="J238" s="962">
        <v>40478.28</v>
      </c>
      <c r="K238" s="367">
        <v>0</v>
      </c>
      <c r="L238" s="367">
        <f>IF($H238="",0,VLOOKUP($E238,Plan3!$A$16:$CT$384,$E$7,0)%)</f>
        <v>0</v>
      </c>
      <c r="M238" s="368">
        <f t="shared" si="155"/>
        <v>0</v>
      </c>
      <c r="N238" s="368">
        <f t="shared" si="156"/>
        <v>0</v>
      </c>
      <c r="O238" s="367">
        <v>0</v>
      </c>
      <c r="P238" s="367">
        <f>VLOOKUP($E238,Plan3!$A$492:$P$858,13,0)%</f>
        <v>0</v>
      </c>
      <c r="Q238" s="368">
        <f t="shared" si="157"/>
        <v>0</v>
      </c>
      <c r="R238" s="368">
        <f t="shared" si="158"/>
        <v>0</v>
      </c>
      <c r="S238" s="880">
        <v>40947.828048000003</v>
      </c>
      <c r="T238" s="880">
        <f t="shared" si="159"/>
        <v>0</v>
      </c>
      <c r="U238" s="880">
        <f>IF($I238="",0,($S238-$T238)*(1+('Econômico Macro'!$R$12/100)))</f>
        <v>41656.225473230406</v>
      </c>
      <c r="V238" s="880">
        <f t="shared" si="160"/>
        <v>41656.225473230406</v>
      </c>
      <c r="W238" s="880">
        <f t="shared" si="161"/>
        <v>0</v>
      </c>
      <c r="X238" s="367">
        <f t="shared" si="138"/>
        <v>0</v>
      </c>
      <c r="Y238" s="367">
        <f t="shared" si="139"/>
        <v>0</v>
      </c>
      <c r="Z238" s="367">
        <f t="shared" si="140"/>
        <v>0</v>
      </c>
      <c r="AA238" s="367">
        <f t="shared" si="141"/>
        <v>0</v>
      </c>
      <c r="AB238" s="369" t="str">
        <f t="shared" si="142"/>
        <v>Não Iniciada</v>
      </c>
      <c r="AC238" s="365"/>
      <c r="AD238" s="368">
        <v>1</v>
      </c>
      <c r="AE238" s="368">
        <f t="shared" si="162"/>
        <v>-1</v>
      </c>
      <c r="AF238" s="365"/>
      <c r="AG238" s="863">
        <f t="shared" si="152"/>
        <v>0</v>
      </c>
      <c r="AH238" s="864">
        <f t="shared" si="163"/>
        <v>0</v>
      </c>
      <c r="AI238" s="863">
        <f t="shared" si="153"/>
        <v>0</v>
      </c>
      <c r="AJ238" s="864">
        <f t="shared" si="164"/>
        <v>0</v>
      </c>
      <c r="AK238" s="365"/>
      <c r="AL238" s="865">
        <f t="shared" si="154"/>
        <v>0</v>
      </c>
      <c r="AM238" s="866">
        <f t="shared" si="165"/>
        <v>0</v>
      </c>
      <c r="AN238" s="866">
        <f t="shared" si="166"/>
        <v>0</v>
      </c>
      <c r="AO238" s="866">
        <f t="shared" si="167"/>
        <v>0</v>
      </c>
      <c r="AP238" s="867">
        <f t="shared" si="168"/>
        <v>0</v>
      </c>
      <c r="AQ238" s="591">
        <f t="shared" si="169"/>
        <v>0</v>
      </c>
      <c r="AR238" s="868">
        <f>IF(AND($L238=0,$P238=0)=TRUE,VLOOKUP($E238,Plan3!$A$16:$CT$487,$E$7+3,0)/100,0)</f>
        <v>0</v>
      </c>
      <c r="AS238" s="868">
        <f>IF(AND($L238=0,$P238=0)=TRUE,VLOOKUP($E238,Plan3!$A$16:$CT$487,$E$7+6,0)/100,0)</f>
        <v>0</v>
      </c>
      <c r="AT238" s="868">
        <f>IF(AND($L238=0,$P238=0)=TRUE,VLOOKUP($E238,Plan3!$A$16:$CT$487,$E$7+9,0)/100,0)</f>
        <v>0</v>
      </c>
      <c r="AU238" s="868">
        <f>IF(AND($L238=0,$P238=0)=TRUE,VLOOKUP($E238,Plan3!$A$16:$CT$487,$E$7+12,0)/100,0)</f>
        <v>0</v>
      </c>
      <c r="AV238" s="841"/>
      <c r="AW238" s="869">
        <f t="shared" si="170"/>
        <v>0</v>
      </c>
      <c r="AX238" s="870">
        <f t="shared" si="171"/>
        <v>0</v>
      </c>
      <c r="AY238" s="871">
        <f t="shared" si="172"/>
        <v>0</v>
      </c>
      <c r="AZ238" s="237" t="str">
        <f t="shared" si="143"/>
        <v xml:space="preserve">12.003.000.004 </v>
      </c>
      <c r="BA238" s="365"/>
      <c r="BB238" s="365"/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872">
        <f t="shared" si="144"/>
        <v>0</v>
      </c>
      <c r="BM238" s="873">
        <f t="shared" si="145"/>
        <v>0</v>
      </c>
      <c r="BN238" s="874">
        <f t="shared" si="173"/>
        <v>0</v>
      </c>
      <c r="BO238" s="875">
        <f t="shared" si="146"/>
        <v>0</v>
      </c>
      <c r="BP238" s="875">
        <f t="shared" si="147"/>
        <v>0</v>
      </c>
      <c r="BQ238" s="876">
        <f t="shared" si="174"/>
        <v>0</v>
      </c>
      <c r="BR238" s="877">
        <f t="shared" si="175"/>
        <v>0</v>
      </c>
      <c r="BS238" s="875">
        <f t="shared" si="148"/>
        <v>0</v>
      </c>
      <c r="BT238" s="875">
        <f t="shared" si="149"/>
        <v>0</v>
      </c>
      <c r="BU238" s="878">
        <f t="shared" si="176"/>
        <v>0</v>
      </c>
      <c r="CE238" s="486">
        <v>226</v>
      </c>
    </row>
    <row r="239" spans="1:83" s="177" customFormat="1" ht="21.95" customHeight="1" x14ac:dyDescent="0.2">
      <c r="A239" s="237">
        <f t="shared" si="150"/>
        <v>0</v>
      </c>
      <c r="B239" s="237">
        <f t="shared" si="151"/>
        <v>0</v>
      </c>
      <c r="C239" s="393">
        <f t="shared" si="136"/>
        <v>0</v>
      </c>
      <c r="D239" s="393" t="str">
        <f t="shared" si="137"/>
        <v xml:space="preserve">12 </v>
      </c>
      <c r="E239" s="967" t="s">
        <v>661</v>
      </c>
      <c r="F239" s="967" t="s">
        <v>2286</v>
      </c>
      <c r="G239" s="967"/>
      <c r="H239" s="968"/>
      <c r="I239" s="968"/>
      <c r="J239" s="971">
        <v>131276.23000000001</v>
      </c>
      <c r="K239" s="367">
        <v>0</v>
      </c>
      <c r="L239" s="367">
        <f>IF($H239="",0,VLOOKUP($E239,Plan3!$A$16:$CT$384,$E$7,0)%)</f>
        <v>0</v>
      </c>
      <c r="M239" s="368">
        <f t="shared" si="155"/>
        <v>0</v>
      </c>
      <c r="N239" s="368">
        <f t="shared" si="156"/>
        <v>0</v>
      </c>
      <c r="O239" s="367">
        <v>0</v>
      </c>
      <c r="P239" s="367">
        <f>VLOOKUP($E239,Plan3!$A$492:$P$858,13,0)%</f>
        <v>0</v>
      </c>
      <c r="Q239" s="368">
        <f t="shared" si="157"/>
        <v>0</v>
      </c>
      <c r="R239" s="368">
        <f t="shared" si="158"/>
        <v>0</v>
      </c>
      <c r="S239" s="880">
        <v>0</v>
      </c>
      <c r="T239" s="880">
        <f t="shared" si="159"/>
        <v>0</v>
      </c>
      <c r="U239" s="880">
        <f>IF($I239="",0,($S239-$T239)*(1+('Econômico Macro'!$R$12/100)))</f>
        <v>0</v>
      </c>
      <c r="V239" s="880">
        <f t="shared" si="160"/>
        <v>0</v>
      </c>
      <c r="W239" s="880">
        <f t="shared" si="161"/>
        <v>0</v>
      </c>
      <c r="X239" s="367">
        <f t="shared" si="138"/>
        <v>0</v>
      </c>
      <c r="Y239" s="367">
        <f t="shared" si="139"/>
        <v>0</v>
      </c>
      <c r="Z239" s="367">
        <f t="shared" si="140"/>
        <v>0</v>
      </c>
      <c r="AA239" s="367">
        <f t="shared" si="141"/>
        <v>0</v>
      </c>
      <c r="AB239" s="369" t="str">
        <f t="shared" si="142"/>
        <v>Não Iniciada</v>
      </c>
      <c r="AC239" s="365"/>
      <c r="AD239" s="368">
        <v>1</v>
      </c>
      <c r="AE239" s="368">
        <f t="shared" si="162"/>
        <v>-1</v>
      </c>
      <c r="AF239" s="365"/>
      <c r="AG239" s="863">
        <f t="shared" si="152"/>
        <v>0</v>
      </c>
      <c r="AH239" s="864">
        <f t="shared" si="163"/>
        <v>0</v>
      </c>
      <c r="AI239" s="863">
        <f t="shared" si="153"/>
        <v>0</v>
      </c>
      <c r="AJ239" s="864">
        <f t="shared" si="164"/>
        <v>0</v>
      </c>
      <c r="AK239" s="365"/>
      <c r="AL239" s="865">
        <f t="shared" si="154"/>
        <v>0</v>
      </c>
      <c r="AM239" s="866">
        <f t="shared" si="165"/>
        <v>0</v>
      </c>
      <c r="AN239" s="866">
        <f t="shared" si="166"/>
        <v>0</v>
      </c>
      <c r="AO239" s="866">
        <f t="shared" si="167"/>
        <v>0</v>
      </c>
      <c r="AP239" s="867">
        <f t="shared" si="168"/>
        <v>0</v>
      </c>
      <c r="AQ239" s="591"/>
      <c r="AR239" s="868"/>
      <c r="AS239" s="868"/>
      <c r="AT239" s="868"/>
      <c r="AU239" s="868"/>
      <c r="AV239" s="841"/>
      <c r="AW239" s="869"/>
      <c r="AX239" s="870"/>
      <c r="AY239" s="871"/>
      <c r="AZ239" s="237" t="str">
        <f t="shared" si="143"/>
        <v xml:space="preserve">12.004 </v>
      </c>
      <c r="BA239" s="365"/>
      <c r="BB239" s="365"/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872">
        <f t="shared" si="144"/>
        <v>0</v>
      </c>
      <c r="BM239" s="873">
        <f t="shared" si="145"/>
        <v>0</v>
      </c>
      <c r="BN239" s="874">
        <f t="shared" si="173"/>
        <v>0</v>
      </c>
      <c r="BO239" s="875">
        <f t="shared" si="146"/>
        <v>0</v>
      </c>
      <c r="BP239" s="875">
        <f t="shared" si="147"/>
        <v>0</v>
      </c>
      <c r="BQ239" s="876">
        <f t="shared" si="174"/>
        <v>0</v>
      </c>
      <c r="BR239" s="877">
        <f t="shared" si="175"/>
        <v>0</v>
      </c>
      <c r="BS239" s="875">
        <f t="shared" si="148"/>
        <v>0</v>
      </c>
      <c r="BT239" s="875">
        <f t="shared" si="149"/>
        <v>0</v>
      </c>
      <c r="BU239" s="878">
        <f t="shared" si="176"/>
        <v>0</v>
      </c>
      <c r="CE239" s="486">
        <v>227</v>
      </c>
    </row>
    <row r="240" spans="1:83" s="177" customFormat="1" ht="21.95" customHeight="1" x14ac:dyDescent="0.2">
      <c r="A240" s="237">
        <f t="shared" si="150"/>
        <v>0</v>
      </c>
      <c r="B240" s="237">
        <f t="shared" si="151"/>
        <v>0</v>
      </c>
      <c r="C240" s="393">
        <f t="shared" si="136"/>
        <v>0</v>
      </c>
      <c r="D240" s="393" t="str">
        <f t="shared" si="137"/>
        <v xml:space="preserve">12 </v>
      </c>
      <c r="E240" s="959" t="s">
        <v>662</v>
      </c>
      <c r="F240" s="959" t="s">
        <v>2353</v>
      </c>
      <c r="G240" s="959" t="s">
        <v>90</v>
      </c>
      <c r="H240" s="965">
        <v>123.74</v>
      </c>
      <c r="I240" s="970">
        <v>33.627000000000002</v>
      </c>
      <c r="J240" s="964">
        <v>4161</v>
      </c>
      <c r="K240" s="367">
        <v>0</v>
      </c>
      <c r="L240" s="367">
        <f>IF($H240="",0,VLOOKUP($E240,Plan3!$A$16:$CT$384,$E$7,0)%)</f>
        <v>0</v>
      </c>
      <c r="M240" s="368">
        <f t="shared" si="155"/>
        <v>0</v>
      </c>
      <c r="N240" s="368">
        <f t="shared" si="156"/>
        <v>0</v>
      </c>
      <c r="O240" s="367">
        <v>0</v>
      </c>
      <c r="P240" s="367">
        <f>VLOOKUP($E240,Plan3!$A$492:$P$858,13,0)%</f>
        <v>0</v>
      </c>
      <c r="Q240" s="368">
        <f t="shared" si="157"/>
        <v>0</v>
      </c>
      <c r="R240" s="368">
        <f t="shared" si="158"/>
        <v>0</v>
      </c>
      <c r="S240" s="880">
        <v>4209.2676000000001</v>
      </c>
      <c r="T240" s="880">
        <f t="shared" si="159"/>
        <v>0</v>
      </c>
      <c r="U240" s="880">
        <f>IF($I240="",0,($S240-$T240)*(1+('Econômico Macro'!$R$12/100)))</f>
        <v>4282.0879294800006</v>
      </c>
      <c r="V240" s="880">
        <f t="shared" si="160"/>
        <v>4282.0879294800006</v>
      </c>
      <c r="W240" s="880">
        <f t="shared" si="161"/>
        <v>0</v>
      </c>
      <c r="X240" s="367">
        <f t="shared" si="138"/>
        <v>0</v>
      </c>
      <c r="Y240" s="367">
        <f t="shared" si="139"/>
        <v>0</v>
      </c>
      <c r="Z240" s="367">
        <f t="shared" si="140"/>
        <v>0</v>
      </c>
      <c r="AA240" s="367">
        <f t="shared" si="141"/>
        <v>0</v>
      </c>
      <c r="AB240" s="369" t="str">
        <f t="shared" si="142"/>
        <v>Não Iniciada</v>
      </c>
      <c r="AC240" s="365"/>
      <c r="AD240" s="368">
        <v>1</v>
      </c>
      <c r="AE240" s="368">
        <f t="shared" si="162"/>
        <v>-1</v>
      </c>
      <c r="AF240" s="365"/>
      <c r="AG240" s="863">
        <f t="shared" si="152"/>
        <v>0</v>
      </c>
      <c r="AH240" s="864">
        <f t="shared" si="163"/>
        <v>0</v>
      </c>
      <c r="AI240" s="863">
        <f t="shared" si="153"/>
        <v>0</v>
      </c>
      <c r="AJ240" s="864">
        <f t="shared" si="164"/>
        <v>0</v>
      </c>
      <c r="AK240" s="365"/>
      <c r="AL240" s="865">
        <f t="shared" si="154"/>
        <v>0</v>
      </c>
      <c r="AM240" s="866">
        <f t="shared" si="165"/>
        <v>0</v>
      </c>
      <c r="AN240" s="866">
        <f t="shared" si="166"/>
        <v>0</v>
      </c>
      <c r="AO240" s="866">
        <f t="shared" si="167"/>
        <v>0</v>
      </c>
      <c r="AP240" s="867">
        <f t="shared" si="168"/>
        <v>0</v>
      </c>
      <c r="AQ240" s="591">
        <f t="shared" si="169"/>
        <v>0</v>
      </c>
      <c r="AR240" s="868">
        <f>IF(AND($L240=0,$P240=0)=TRUE,VLOOKUP($E240,Plan3!$A$16:$CT$487,$E$7+3,0)/100,0)</f>
        <v>0</v>
      </c>
      <c r="AS240" s="868">
        <f>IF(AND($L240=0,$P240=0)=TRUE,VLOOKUP($E240,Plan3!$A$16:$CT$487,$E$7+6,0)/100,0)</f>
        <v>0</v>
      </c>
      <c r="AT240" s="868">
        <f>IF(AND($L240=0,$P240=0)=TRUE,VLOOKUP($E240,Plan3!$A$16:$CT$487,$E$7+9,0)/100,0)</f>
        <v>0</v>
      </c>
      <c r="AU240" s="868">
        <f>IF(AND($L240=0,$P240=0)=TRUE,VLOOKUP($E240,Plan3!$A$16:$CT$487,$E$7+12,0)/100,0)</f>
        <v>0</v>
      </c>
      <c r="AV240" s="841"/>
      <c r="AW240" s="869">
        <f t="shared" si="170"/>
        <v>0</v>
      </c>
      <c r="AX240" s="870">
        <f t="shared" si="171"/>
        <v>0</v>
      </c>
      <c r="AY240" s="871">
        <f t="shared" si="172"/>
        <v>0</v>
      </c>
      <c r="AZ240" s="237" t="str">
        <f t="shared" si="143"/>
        <v xml:space="preserve">12.004.000.001 </v>
      </c>
      <c r="BA240" s="365"/>
      <c r="BB240" s="365"/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872">
        <f t="shared" si="144"/>
        <v>0</v>
      </c>
      <c r="BM240" s="873">
        <f t="shared" si="145"/>
        <v>0</v>
      </c>
      <c r="BN240" s="874">
        <f t="shared" si="173"/>
        <v>0</v>
      </c>
      <c r="BO240" s="875">
        <f t="shared" si="146"/>
        <v>0</v>
      </c>
      <c r="BP240" s="875">
        <f t="shared" si="147"/>
        <v>0</v>
      </c>
      <c r="BQ240" s="876">
        <f t="shared" si="174"/>
        <v>0</v>
      </c>
      <c r="BR240" s="877">
        <f t="shared" si="175"/>
        <v>0</v>
      </c>
      <c r="BS240" s="875">
        <f t="shared" si="148"/>
        <v>0</v>
      </c>
      <c r="BT240" s="875">
        <f t="shared" si="149"/>
        <v>0</v>
      </c>
      <c r="BU240" s="878">
        <f t="shared" si="176"/>
        <v>0</v>
      </c>
      <c r="CE240" s="486">
        <v>228</v>
      </c>
    </row>
    <row r="241" spans="1:83" s="177" customFormat="1" ht="21.95" customHeight="1" x14ac:dyDescent="0.2">
      <c r="A241" s="237">
        <f t="shared" si="150"/>
        <v>0</v>
      </c>
      <c r="B241" s="237">
        <f t="shared" si="151"/>
        <v>0</v>
      </c>
      <c r="C241" s="393">
        <f t="shared" si="136"/>
        <v>0</v>
      </c>
      <c r="D241" s="393" t="str">
        <f t="shared" si="137"/>
        <v xml:space="preserve">12 </v>
      </c>
      <c r="E241" s="959" t="s">
        <v>663</v>
      </c>
      <c r="F241" s="959" t="s">
        <v>2354</v>
      </c>
      <c r="G241" s="959" t="s">
        <v>15</v>
      </c>
      <c r="H241" s="970">
        <v>77.099999999999994</v>
      </c>
      <c r="I241" s="970">
        <v>29.966000000000001</v>
      </c>
      <c r="J241" s="964">
        <v>2310.38</v>
      </c>
      <c r="K241" s="367">
        <v>0</v>
      </c>
      <c r="L241" s="367">
        <f>IF($H241="",0,VLOOKUP($E241,Plan3!$A$16:$CT$384,$E$7,0)%)</f>
        <v>0</v>
      </c>
      <c r="M241" s="368">
        <f t="shared" si="155"/>
        <v>0</v>
      </c>
      <c r="N241" s="368">
        <f t="shared" si="156"/>
        <v>0</v>
      </c>
      <c r="O241" s="367">
        <v>0</v>
      </c>
      <c r="P241" s="367">
        <f>VLOOKUP($E241,Plan3!$A$492:$P$858,13,0)%</f>
        <v>0</v>
      </c>
      <c r="Q241" s="368">
        <f t="shared" si="157"/>
        <v>0</v>
      </c>
      <c r="R241" s="368">
        <f t="shared" si="158"/>
        <v>0</v>
      </c>
      <c r="S241" s="880">
        <v>2337.1804080000002</v>
      </c>
      <c r="T241" s="880">
        <f t="shared" si="159"/>
        <v>0</v>
      </c>
      <c r="U241" s="880">
        <f>IF($I241="",0,($S241-$T241)*(1+('Econômico Macro'!$R$12/100)))</f>
        <v>2377.6136290584004</v>
      </c>
      <c r="V241" s="880">
        <f t="shared" si="160"/>
        <v>2377.6136290584004</v>
      </c>
      <c r="W241" s="880">
        <f t="shared" si="161"/>
        <v>0</v>
      </c>
      <c r="X241" s="367">
        <f t="shared" si="138"/>
        <v>0</v>
      </c>
      <c r="Y241" s="367">
        <f t="shared" si="139"/>
        <v>0</v>
      </c>
      <c r="Z241" s="367">
        <f t="shared" si="140"/>
        <v>0</v>
      </c>
      <c r="AA241" s="367">
        <f t="shared" si="141"/>
        <v>0</v>
      </c>
      <c r="AB241" s="369" t="str">
        <f t="shared" si="142"/>
        <v>Não Iniciada</v>
      </c>
      <c r="AC241" s="365"/>
      <c r="AD241" s="368">
        <v>1</v>
      </c>
      <c r="AE241" s="368">
        <f t="shared" si="162"/>
        <v>-1</v>
      </c>
      <c r="AF241" s="365"/>
      <c r="AG241" s="863">
        <f t="shared" si="152"/>
        <v>0</v>
      </c>
      <c r="AH241" s="864">
        <f t="shared" si="163"/>
        <v>0</v>
      </c>
      <c r="AI241" s="863">
        <f t="shared" si="153"/>
        <v>0</v>
      </c>
      <c r="AJ241" s="864">
        <f t="shared" si="164"/>
        <v>0</v>
      </c>
      <c r="AK241" s="365"/>
      <c r="AL241" s="865">
        <f t="shared" si="154"/>
        <v>0</v>
      </c>
      <c r="AM241" s="866">
        <f t="shared" si="165"/>
        <v>0</v>
      </c>
      <c r="AN241" s="866">
        <f t="shared" si="166"/>
        <v>0</v>
      </c>
      <c r="AO241" s="866">
        <f t="shared" si="167"/>
        <v>0</v>
      </c>
      <c r="AP241" s="867">
        <f t="shared" si="168"/>
        <v>0</v>
      </c>
      <c r="AQ241" s="591">
        <f t="shared" si="169"/>
        <v>0</v>
      </c>
      <c r="AR241" s="868">
        <f>IF(AND($L241=0,$P241=0)=TRUE,VLOOKUP($E241,Plan3!$A$16:$CT$487,$E$7+3,0)/100,0)</f>
        <v>0</v>
      </c>
      <c r="AS241" s="868">
        <f>IF(AND($L241=0,$P241=0)=TRUE,VLOOKUP($E241,Plan3!$A$16:$CT$487,$E$7+6,0)/100,0)</f>
        <v>0</v>
      </c>
      <c r="AT241" s="868">
        <f>IF(AND($L241=0,$P241=0)=TRUE,VLOOKUP($E241,Plan3!$A$16:$CT$487,$E$7+9,0)/100,0)</f>
        <v>0</v>
      </c>
      <c r="AU241" s="868">
        <f>IF(AND($L241=0,$P241=0)=TRUE,VLOOKUP($E241,Plan3!$A$16:$CT$487,$E$7+12,0)/100,0)</f>
        <v>0</v>
      </c>
      <c r="AV241" s="841"/>
      <c r="AW241" s="869">
        <f t="shared" si="170"/>
        <v>0</v>
      </c>
      <c r="AX241" s="870">
        <f t="shared" si="171"/>
        <v>0</v>
      </c>
      <c r="AY241" s="871">
        <f t="shared" si="172"/>
        <v>0</v>
      </c>
      <c r="AZ241" s="237" t="str">
        <f t="shared" si="143"/>
        <v xml:space="preserve">12.004.000.002 </v>
      </c>
      <c r="BA241" s="365"/>
      <c r="BB241" s="365"/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872">
        <f t="shared" si="144"/>
        <v>0</v>
      </c>
      <c r="BM241" s="873">
        <f t="shared" si="145"/>
        <v>0</v>
      </c>
      <c r="BN241" s="874">
        <f t="shared" si="173"/>
        <v>0</v>
      </c>
      <c r="BO241" s="875">
        <f t="shared" si="146"/>
        <v>0</v>
      </c>
      <c r="BP241" s="875">
        <f t="shared" si="147"/>
        <v>0</v>
      </c>
      <c r="BQ241" s="876">
        <f t="shared" si="174"/>
        <v>0</v>
      </c>
      <c r="BR241" s="877">
        <f t="shared" si="175"/>
        <v>0</v>
      </c>
      <c r="BS241" s="875">
        <f t="shared" si="148"/>
        <v>0</v>
      </c>
      <c r="BT241" s="875">
        <f t="shared" si="149"/>
        <v>0</v>
      </c>
      <c r="BU241" s="878">
        <f t="shared" si="176"/>
        <v>0</v>
      </c>
      <c r="CE241" s="486">
        <v>229</v>
      </c>
    </row>
    <row r="242" spans="1:83" s="177" customFormat="1" ht="21.95" customHeight="1" x14ac:dyDescent="0.2">
      <c r="A242" s="237">
        <f t="shared" si="150"/>
        <v>0</v>
      </c>
      <c r="B242" s="237">
        <f t="shared" si="151"/>
        <v>0</v>
      </c>
      <c r="C242" s="393">
        <f t="shared" si="136"/>
        <v>0</v>
      </c>
      <c r="D242" s="393" t="str">
        <f t="shared" si="137"/>
        <v xml:space="preserve">12 </v>
      </c>
      <c r="E242" s="959" t="s">
        <v>1482</v>
      </c>
      <c r="F242" s="959" t="s">
        <v>2355</v>
      </c>
      <c r="G242" s="959" t="s">
        <v>90</v>
      </c>
      <c r="H242" s="965">
        <v>584.87</v>
      </c>
      <c r="I242" s="965">
        <v>114.983</v>
      </c>
      <c r="J242" s="962">
        <v>67250.11</v>
      </c>
      <c r="K242" s="367">
        <v>0</v>
      </c>
      <c r="L242" s="367">
        <f>IF($H242="",0,VLOOKUP($E242,Plan3!$A$16:$CT$384,$E$7,0)%)</f>
        <v>0</v>
      </c>
      <c r="M242" s="368">
        <f t="shared" si="155"/>
        <v>0</v>
      </c>
      <c r="N242" s="368">
        <f t="shared" si="156"/>
        <v>0</v>
      </c>
      <c r="O242" s="367">
        <v>0</v>
      </c>
      <c r="P242" s="367">
        <f>VLOOKUP($E242,Plan3!$A$492:$P$858,13,0)%</f>
        <v>0</v>
      </c>
      <c r="Q242" s="368">
        <f t="shared" si="157"/>
        <v>0</v>
      </c>
      <c r="R242" s="368">
        <f t="shared" si="158"/>
        <v>0</v>
      </c>
      <c r="S242" s="880">
        <v>68030.211276000002</v>
      </c>
      <c r="T242" s="880">
        <f t="shared" si="159"/>
        <v>0</v>
      </c>
      <c r="U242" s="880">
        <f>IF($I242="",0,($S242-$T242)*(1+('Econômico Macro'!$R$12/100)))</f>
        <v>69207.133931074815</v>
      </c>
      <c r="V242" s="880">
        <f t="shared" si="160"/>
        <v>69207.133931074815</v>
      </c>
      <c r="W242" s="880">
        <f t="shared" si="161"/>
        <v>0</v>
      </c>
      <c r="X242" s="367">
        <f t="shared" si="138"/>
        <v>0</v>
      </c>
      <c r="Y242" s="367">
        <f t="shared" si="139"/>
        <v>0</v>
      </c>
      <c r="Z242" s="367">
        <f t="shared" si="140"/>
        <v>0</v>
      </c>
      <c r="AA242" s="367">
        <f t="shared" si="141"/>
        <v>0</v>
      </c>
      <c r="AB242" s="369" t="str">
        <f t="shared" si="142"/>
        <v>Não Iniciada</v>
      </c>
      <c r="AC242" s="365"/>
      <c r="AD242" s="368">
        <v>1</v>
      </c>
      <c r="AE242" s="368">
        <f t="shared" si="162"/>
        <v>-1</v>
      </c>
      <c r="AF242" s="365"/>
      <c r="AG242" s="863">
        <f t="shared" si="152"/>
        <v>0</v>
      </c>
      <c r="AH242" s="864">
        <f t="shared" si="163"/>
        <v>0</v>
      </c>
      <c r="AI242" s="863">
        <f t="shared" si="153"/>
        <v>0</v>
      </c>
      <c r="AJ242" s="864">
        <f t="shared" si="164"/>
        <v>0</v>
      </c>
      <c r="AK242" s="365"/>
      <c r="AL242" s="865">
        <f t="shared" si="154"/>
        <v>0</v>
      </c>
      <c r="AM242" s="866">
        <f t="shared" si="165"/>
        <v>0</v>
      </c>
      <c r="AN242" s="866">
        <f t="shared" si="166"/>
        <v>0</v>
      </c>
      <c r="AO242" s="866">
        <f t="shared" si="167"/>
        <v>0</v>
      </c>
      <c r="AP242" s="867">
        <f t="shared" si="168"/>
        <v>0</v>
      </c>
      <c r="AQ242" s="591">
        <f t="shared" si="169"/>
        <v>0</v>
      </c>
      <c r="AR242" s="868">
        <f>IF(AND($L242=0,$P242=0)=TRUE,VLOOKUP($E242,Plan3!$A$16:$CT$487,$E$7+3,0)/100,0)</f>
        <v>0</v>
      </c>
      <c r="AS242" s="868">
        <f>IF(AND($L242=0,$P242=0)=TRUE,VLOOKUP($E242,Plan3!$A$16:$CT$487,$E$7+6,0)/100,0)</f>
        <v>0</v>
      </c>
      <c r="AT242" s="868">
        <f>IF(AND($L242=0,$P242=0)=TRUE,VLOOKUP($E242,Plan3!$A$16:$CT$487,$E$7+9,0)/100,0)</f>
        <v>0</v>
      </c>
      <c r="AU242" s="868">
        <f>IF(AND($L242=0,$P242=0)=TRUE,VLOOKUP($E242,Plan3!$A$16:$CT$487,$E$7+12,0)/100,0)</f>
        <v>0</v>
      </c>
      <c r="AV242" s="841"/>
      <c r="AW242" s="869">
        <f t="shared" si="170"/>
        <v>0</v>
      </c>
      <c r="AX242" s="870">
        <f t="shared" si="171"/>
        <v>0</v>
      </c>
      <c r="AY242" s="871">
        <f t="shared" si="172"/>
        <v>0</v>
      </c>
      <c r="AZ242" s="237" t="str">
        <f t="shared" si="143"/>
        <v xml:space="preserve">12.004.000.003 </v>
      </c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872">
        <f t="shared" si="144"/>
        <v>0</v>
      </c>
      <c r="BM242" s="873">
        <f t="shared" si="145"/>
        <v>0</v>
      </c>
      <c r="BN242" s="874">
        <f t="shared" si="173"/>
        <v>0</v>
      </c>
      <c r="BO242" s="875">
        <f t="shared" si="146"/>
        <v>0</v>
      </c>
      <c r="BP242" s="875">
        <f t="shared" si="147"/>
        <v>0</v>
      </c>
      <c r="BQ242" s="876">
        <f t="shared" si="174"/>
        <v>0</v>
      </c>
      <c r="BR242" s="877">
        <f t="shared" si="175"/>
        <v>0</v>
      </c>
      <c r="BS242" s="875">
        <f t="shared" si="148"/>
        <v>0</v>
      </c>
      <c r="BT242" s="875">
        <f t="shared" si="149"/>
        <v>0</v>
      </c>
      <c r="BU242" s="878">
        <f t="shared" si="176"/>
        <v>0</v>
      </c>
      <c r="CE242" s="486">
        <v>230</v>
      </c>
    </row>
    <row r="243" spans="1:83" s="177" customFormat="1" ht="21.95" customHeight="1" x14ac:dyDescent="0.2">
      <c r="A243" s="237">
        <f t="shared" si="150"/>
        <v>0</v>
      </c>
      <c r="B243" s="237">
        <f t="shared" si="151"/>
        <v>0</v>
      </c>
      <c r="C243" s="393">
        <f t="shared" si="136"/>
        <v>0</v>
      </c>
      <c r="D243" s="393" t="str">
        <f t="shared" si="137"/>
        <v xml:space="preserve">12 </v>
      </c>
      <c r="E243" s="959" t="s">
        <v>1484</v>
      </c>
      <c r="F243" s="959" t="s">
        <v>2356</v>
      </c>
      <c r="G243" s="959" t="s">
        <v>15</v>
      </c>
      <c r="H243" s="965">
        <v>434.18</v>
      </c>
      <c r="I243" s="970">
        <v>44.002000000000002</v>
      </c>
      <c r="J243" s="962">
        <v>19104.79</v>
      </c>
      <c r="K243" s="367">
        <v>0</v>
      </c>
      <c r="L243" s="367">
        <f>IF($H243="",0,VLOOKUP($E243,Plan3!$A$16:$CT$384,$E$7,0)%)</f>
        <v>0</v>
      </c>
      <c r="M243" s="368">
        <f t="shared" si="155"/>
        <v>0</v>
      </c>
      <c r="N243" s="368">
        <f t="shared" si="156"/>
        <v>0</v>
      </c>
      <c r="O243" s="367">
        <v>0</v>
      </c>
      <c r="P243" s="367">
        <f>VLOOKUP($E243,Plan3!$A$492:$P$858,13,0)%</f>
        <v>0</v>
      </c>
      <c r="Q243" s="368">
        <f t="shared" si="157"/>
        <v>0</v>
      </c>
      <c r="R243" s="368">
        <f t="shared" si="158"/>
        <v>0</v>
      </c>
      <c r="S243" s="880">
        <v>19326.405564000001</v>
      </c>
      <c r="T243" s="880">
        <f t="shared" si="159"/>
        <v>0</v>
      </c>
      <c r="U243" s="880">
        <f>IF($I243="",0,($S243-$T243)*(1+('Econômico Macro'!$R$12/100)))</f>
        <v>19660.752380257203</v>
      </c>
      <c r="V243" s="880">
        <f t="shared" si="160"/>
        <v>19660.752380257203</v>
      </c>
      <c r="W243" s="880">
        <f t="shared" si="161"/>
        <v>0</v>
      </c>
      <c r="X243" s="367">
        <f t="shared" si="138"/>
        <v>0</v>
      </c>
      <c r="Y243" s="367">
        <f t="shared" si="139"/>
        <v>0</v>
      </c>
      <c r="Z243" s="367">
        <f t="shared" si="140"/>
        <v>0</v>
      </c>
      <c r="AA243" s="367">
        <f t="shared" si="141"/>
        <v>0</v>
      </c>
      <c r="AB243" s="369" t="str">
        <f t="shared" si="142"/>
        <v>Não Iniciada</v>
      </c>
      <c r="AC243" s="365"/>
      <c r="AD243" s="368">
        <v>1</v>
      </c>
      <c r="AE243" s="368">
        <f t="shared" si="162"/>
        <v>-1</v>
      </c>
      <c r="AF243" s="365"/>
      <c r="AG243" s="863">
        <f t="shared" si="152"/>
        <v>0</v>
      </c>
      <c r="AH243" s="864">
        <f t="shared" si="163"/>
        <v>0</v>
      </c>
      <c r="AI243" s="863">
        <f t="shared" si="153"/>
        <v>0</v>
      </c>
      <c r="AJ243" s="864">
        <f t="shared" si="164"/>
        <v>0</v>
      </c>
      <c r="AK243" s="365"/>
      <c r="AL243" s="865">
        <f t="shared" si="154"/>
        <v>0</v>
      </c>
      <c r="AM243" s="866">
        <f t="shared" si="165"/>
        <v>0</v>
      </c>
      <c r="AN243" s="866">
        <f t="shared" si="166"/>
        <v>0</v>
      </c>
      <c r="AO243" s="866">
        <f t="shared" si="167"/>
        <v>0</v>
      </c>
      <c r="AP243" s="867">
        <f t="shared" si="168"/>
        <v>0</v>
      </c>
      <c r="AQ243" s="591">
        <f t="shared" si="169"/>
        <v>0</v>
      </c>
      <c r="AR243" s="868">
        <f>IF(AND($L243=0,$P243=0)=TRUE,VLOOKUP($E243,Plan3!$A$16:$CT$487,$E$7+3,0)/100,0)</f>
        <v>0</v>
      </c>
      <c r="AS243" s="868">
        <f>IF(AND($L243=0,$P243=0)=TRUE,VLOOKUP($E243,Plan3!$A$16:$CT$487,$E$7+6,0)/100,0)</f>
        <v>0</v>
      </c>
      <c r="AT243" s="868">
        <f>IF(AND($L243=0,$P243=0)=TRUE,VLOOKUP($E243,Plan3!$A$16:$CT$487,$E$7+9,0)/100,0)</f>
        <v>0</v>
      </c>
      <c r="AU243" s="868">
        <f>IF(AND($L243=0,$P243=0)=TRUE,VLOOKUP($E243,Plan3!$A$16:$CT$487,$E$7+12,0)/100,0)</f>
        <v>0</v>
      </c>
      <c r="AV243" s="841"/>
      <c r="AW243" s="869">
        <f t="shared" si="170"/>
        <v>0</v>
      </c>
      <c r="AX243" s="870">
        <f t="shared" si="171"/>
        <v>0</v>
      </c>
      <c r="AY243" s="871">
        <f t="shared" si="172"/>
        <v>0</v>
      </c>
      <c r="AZ243" s="237" t="str">
        <f t="shared" si="143"/>
        <v xml:space="preserve">12.004.000.004 </v>
      </c>
      <c r="BA243" s="365"/>
      <c r="BB243" s="365"/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872">
        <f t="shared" si="144"/>
        <v>0</v>
      </c>
      <c r="BM243" s="873">
        <f t="shared" si="145"/>
        <v>0</v>
      </c>
      <c r="BN243" s="874">
        <f t="shared" si="173"/>
        <v>0</v>
      </c>
      <c r="BO243" s="875">
        <f t="shared" si="146"/>
        <v>0</v>
      </c>
      <c r="BP243" s="875">
        <f t="shared" si="147"/>
        <v>0</v>
      </c>
      <c r="BQ243" s="876">
        <f t="shared" si="174"/>
        <v>0</v>
      </c>
      <c r="BR243" s="877">
        <f t="shared" si="175"/>
        <v>0</v>
      </c>
      <c r="BS243" s="875">
        <f t="shared" si="148"/>
        <v>0</v>
      </c>
      <c r="BT243" s="875">
        <f t="shared" si="149"/>
        <v>0</v>
      </c>
      <c r="BU243" s="878">
        <f t="shared" si="176"/>
        <v>0</v>
      </c>
      <c r="CE243" s="486">
        <v>231</v>
      </c>
    </row>
    <row r="244" spans="1:83" s="177" customFormat="1" ht="21.95" customHeight="1" x14ac:dyDescent="0.2">
      <c r="A244" s="237">
        <f t="shared" si="150"/>
        <v>0</v>
      </c>
      <c r="B244" s="237">
        <f t="shared" si="151"/>
        <v>0</v>
      </c>
      <c r="C244" s="393">
        <f t="shared" si="136"/>
        <v>0</v>
      </c>
      <c r="D244" s="393" t="str">
        <f t="shared" si="137"/>
        <v xml:space="preserve">12 </v>
      </c>
      <c r="E244" s="959" t="s">
        <v>1485</v>
      </c>
      <c r="F244" s="959" t="s">
        <v>2287</v>
      </c>
      <c r="G244" s="959" t="s">
        <v>90</v>
      </c>
      <c r="H244" s="965">
        <v>123.74</v>
      </c>
      <c r="I244" s="960">
        <v>0.188</v>
      </c>
      <c r="J244" s="976">
        <v>23.26</v>
      </c>
      <c r="K244" s="367">
        <v>0</v>
      </c>
      <c r="L244" s="367">
        <f>IF($H244="",0,VLOOKUP($E244,Plan3!$A$16:$CT$384,$E$7,0)%)</f>
        <v>0</v>
      </c>
      <c r="M244" s="368">
        <f t="shared" si="155"/>
        <v>0</v>
      </c>
      <c r="N244" s="368">
        <f t="shared" si="156"/>
        <v>0</v>
      </c>
      <c r="O244" s="367">
        <v>0</v>
      </c>
      <c r="P244" s="367">
        <f>VLOOKUP($E244,Plan3!$A$492:$P$858,13,0)%</f>
        <v>0</v>
      </c>
      <c r="Q244" s="368">
        <f t="shared" si="157"/>
        <v>0</v>
      </c>
      <c r="R244" s="368">
        <f t="shared" si="158"/>
        <v>0</v>
      </c>
      <c r="S244" s="880">
        <v>23.529816000000004</v>
      </c>
      <c r="T244" s="880">
        <f t="shared" si="159"/>
        <v>0</v>
      </c>
      <c r="U244" s="880">
        <f>IF($I244="",0,($S244-$T244)*(1+('Econômico Macro'!$R$12/100)))</f>
        <v>23.936881816800007</v>
      </c>
      <c r="V244" s="880">
        <f t="shared" si="160"/>
        <v>23.936881816800007</v>
      </c>
      <c r="W244" s="880">
        <f t="shared" si="161"/>
        <v>0</v>
      </c>
      <c r="X244" s="367">
        <f t="shared" si="138"/>
        <v>0</v>
      </c>
      <c r="Y244" s="367">
        <f t="shared" si="139"/>
        <v>0</v>
      </c>
      <c r="Z244" s="367">
        <f t="shared" si="140"/>
        <v>0</v>
      </c>
      <c r="AA244" s="367">
        <f t="shared" si="141"/>
        <v>0</v>
      </c>
      <c r="AB244" s="369" t="str">
        <f t="shared" si="142"/>
        <v>Não Iniciada</v>
      </c>
      <c r="AC244" s="365"/>
      <c r="AD244" s="368">
        <v>1</v>
      </c>
      <c r="AE244" s="368">
        <f t="shared" si="162"/>
        <v>-1</v>
      </c>
      <c r="AF244" s="365"/>
      <c r="AG244" s="863">
        <f t="shared" si="152"/>
        <v>0</v>
      </c>
      <c r="AH244" s="864">
        <f t="shared" si="163"/>
        <v>0</v>
      </c>
      <c r="AI244" s="863">
        <f t="shared" si="153"/>
        <v>0</v>
      </c>
      <c r="AJ244" s="864">
        <f t="shared" si="164"/>
        <v>0</v>
      </c>
      <c r="AK244" s="365"/>
      <c r="AL244" s="865">
        <f t="shared" si="154"/>
        <v>0</v>
      </c>
      <c r="AM244" s="866">
        <f t="shared" si="165"/>
        <v>0</v>
      </c>
      <c r="AN244" s="866">
        <f t="shared" si="166"/>
        <v>0</v>
      </c>
      <c r="AO244" s="866">
        <f t="shared" si="167"/>
        <v>0</v>
      </c>
      <c r="AP244" s="867">
        <f t="shared" si="168"/>
        <v>0</v>
      </c>
      <c r="AQ244" s="591">
        <f t="shared" si="169"/>
        <v>0</v>
      </c>
      <c r="AR244" s="868">
        <f>IF(AND($L244=0,$P244=0)=TRUE,VLOOKUP($E244,Plan3!$A$16:$CT$487,$E$7+3,0)/100,0)</f>
        <v>0</v>
      </c>
      <c r="AS244" s="868">
        <f>IF(AND($L244=0,$P244=0)=TRUE,VLOOKUP($E244,Plan3!$A$16:$CT$487,$E$7+6,0)/100,0)</f>
        <v>0</v>
      </c>
      <c r="AT244" s="868">
        <f>IF(AND($L244=0,$P244=0)=TRUE,VLOOKUP($E244,Plan3!$A$16:$CT$487,$E$7+9,0)/100,0)</f>
        <v>0</v>
      </c>
      <c r="AU244" s="868">
        <f>IF(AND($L244=0,$P244=0)=TRUE,VLOOKUP($E244,Plan3!$A$16:$CT$487,$E$7+12,0)/100,0)</f>
        <v>0</v>
      </c>
      <c r="AV244" s="841"/>
      <c r="AW244" s="869">
        <f t="shared" si="170"/>
        <v>0</v>
      </c>
      <c r="AX244" s="870">
        <f t="shared" si="171"/>
        <v>0</v>
      </c>
      <c r="AY244" s="871">
        <f t="shared" si="172"/>
        <v>0</v>
      </c>
      <c r="AZ244" s="237" t="str">
        <f t="shared" si="143"/>
        <v xml:space="preserve">12.004.000.005 </v>
      </c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872">
        <f t="shared" si="144"/>
        <v>0</v>
      </c>
      <c r="BM244" s="873">
        <f t="shared" si="145"/>
        <v>0</v>
      </c>
      <c r="BN244" s="874">
        <f t="shared" si="173"/>
        <v>0</v>
      </c>
      <c r="BO244" s="875">
        <f t="shared" si="146"/>
        <v>0</v>
      </c>
      <c r="BP244" s="875">
        <f t="shared" si="147"/>
        <v>0</v>
      </c>
      <c r="BQ244" s="876">
        <f t="shared" si="174"/>
        <v>0</v>
      </c>
      <c r="BR244" s="877">
        <f t="shared" si="175"/>
        <v>0</v>
      </c>
      <c r="BS244" s="875">
        <f t="shared" si="148"/>
        <v>0</v>
      </c>
      <c r="BT244" s="875">
        <f t="shared" si="149"/>
        <v>0</v>
      </c>
      <c r="BU244" s="878">
        <f t="shared" si="176"/>
        <v>0</v>
      </c>
      <c r="CE244" s="486">
        <v>232</v>
      </c>
    </row>
    <row r="245" spans="1:83" s="177" customFormat="1" ht="21.95" customHeight="1" x14ac:dyDescent="0.2">
      <c r="A245" s="237">
        <f t="shared" si="150"/>
        <v>0</v>
      </c>
      <c r="B245" s="237">
        <f t="shared" si="151"/>
        <v>0</v>
      </c>
      <c r="C245" s="393">
        <f t="shared" si="136"/>
        <v>0</v>
      </c>
      <c r="D245" s="393" t="str">
        <f t="shared" si="137"/>
        <v xml:space="preserve">12 </v>
      </c>
      <c r="E245" s="959" t="s">
        <v>1486</v>
      </c>
      <c r="F245" s="959" t="s">
        <v>2288</v>
      </c>
      <c r="G245" s="959" t="s">
        <v>90</v>
      </c>
      <c r="H245" s="965">
        <v>123.74</v>
      </c>
      <c r="I245" s="960">
        <v>5.2</v>
      </c>
      <c r="J245" s="966">
        <v>643.45000000000005</v>
      </c>
      <c r="K245" s="367">
        <v>0</v>
      </c>
      <c r="L245" s="367">
        <f>IF($H245="",0,VLOOKUP($E245,Plan3!$A$16:$CT$384,$E$7,0)%)</f>
        <v>0</v>
      </c>
      <c r="M245" s="368">
        <f t="shared" si="155"/>
        <v>0</v>
      </c>
      <c r="N245" s="368">
        <f t="shared" si="156"/>
        <v>0</v>
      </c>
      <c r="O245" s="367">
        <v>0</v>
      </c>
      <c r="P245" s="367">
        <f>VLOOKUP($E245,Plan3!$A$492:$P$858,13,0)%</f>
        <v>0</v>
      </c>
      <c r="Q245" s="368">
        <f t="shared" si="157"/>
        <v>0</v>
      </c>
      <c r="R245" s="368">
        <f t="shared" si="158"/>
        <v>0</v>
      </c>
      <c r="S245" s="880">
        <v>650.91402000000005</v>
      </c>
      <c r="T245" s="880">
        <f t="shared" si="159"/>
        <v>0</v>
      </c>
      <c r="U245" s="880">
        <f>IF($I245="",0,($S245-$T245)*(1+('Econômico Macro'!$R$12/100)))</f>
        <v>662.17483254600006</v>
      </c>
      <c r="V245" s="880">
        <f t="shared" si="160"/>
        <v>662.17483254600006</v>
      </c>
      <c r="W245" s="880">
        <f t="shared" si="161"/>
        <v>0</v>
      </c>
      <c r="X245" s="367">
        <f t="shared" si="138"/>
        <v>0</v>
      </c>
      <c r="Y245" s="367">
        <f t="shared" si="139"/>
        <v>0</v>
      </c>
      <c r="Z245" s="367">
        <f t="shared" si="140"/>
        <v>0</v>
      </c>
      <c r="AA245" s="367">
        <f t="shared" si="141"/>
        <v>0</v>
      </c>
      <c r="AB245" s="369" t="str">
        <f t="shared" si="142"/>
        <v>Não Iniciada</v>
      </c>
      <c r="AC245" s="365"/>
      <c r="AD245" s="368">
        <v>1</v>
      </c>
      <c r="AE245" s="368">
        <f t="shared" si="162"/>
        <v>-1</v>
      </c>
      <c r="AF245" s="365"/>
      <c r="AG245" s="863">
        <f t="shared" si="152"/>
        <v>0</v>
      </c>
      <c r="AH245" s="864">
        <f t="shared" si="163"/>
        <v>0</v>
      </c>
      <c r="AI245" s="863">
        <f t="shared" si="153"/>
        <v>0</v>
      </c>
      <c r="AJ245" s="864">
        <f t="shared" si="164"/>
        <v>0</v>
      </c>
      <c r="AK245" s="365"/>
      <c r="AL245" s="865">
        <f t="shared" si="154"/>
        <v>0</v>
      </c>
      <c r="AM245" s="866">
        <f t="shared" si="165"/>
        <v>0</v>
      </c>
      <c r="AN245" s="866">
        <f t="shared" si="166"/>
        <v>0</v>
      </c>
      <c r="AO245" s="866">
        <f t="shared" si="167"/>
        <v>0</v>
      </c>
      <c r="AP245" s="867">
        <f t="shared" si="168"/>
        <v>0</v>
      </c>
      <c r="AQ245" s="591">
        <f t="shared" si="169"/>
        <v>0</v>
      </c>
      <c r="AR245" s="868">
        <f>IF(AND($L245=0,$P245=0)=TRUE,VLOOKUP($E245,Plan3!$A$16:$CT$487,$E$7+3,0)/100,0)</f>
        <v>0</v>
      </c>
      <c r="AS245" s="868">
        <f>IF(AND($L245=0,$P245=0)=TRUE,VLOOKUP($E245,Plan3!$A$16:$CT$487,$E$7+6,0)/100,0)</f>
        <v>0</v>
      </c>
      <c r="AT245" s="868">
        <f>IF(AND($L245=0,$P245=0)=TRUE,VLOOKUP($E245,Plan3!$A$16:$CT$487,$E$7+9,0)/100,0)</f>
        <v>0</v>
      </c>
      <c r="AU245" s="868">
        <f>IF(AND($L245=0,$P245=0)=TRUE,VLOOKUP($E245,Plan3!$A$16:$CT$487,$E$7+12,0)/100,0)</f>
        <v>0</v>
      </c>
      <c r="AV245" s="841"/>
      <c r="AW245" s="869">
        <f t="shared" si="170"/>
        <v>0</v>
      </c>
      <c r="AX245" s="870">
        <f t="shared" si="171"/>
        <v>0</v>
      </c>
      <c r="AY245" s="871">
        <f t="shared" si="172"/>
        <v>0</v>
      </c>
      <c r="AZ245" s="237" t="str">
        <f t="shared" si="143"/>
        <v xml:space="preserve">12.004.000.006 </v>
      </c>
      <c r="BA245" s="365"/>
      <c r="BB245" s="365"/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872">
        <f t="shared" si="144"/>
        <v>0</v>
      </c>
      <c r="BM245" s="873">
        <f t="shared" si="145"/>
        <v>0</v>
      </c>
      <c r="BN245" s="874">
        <f t="shared" si="173"/>
        <v>0</v>
      </c>
      <c r="BO245" s="875">
        <f t="shared" si="146"/>
        <v>0</v>
      </c>
      <c r="BP245" s="875">
        <f t="shared" si="147"/>
        <v>0</v>
      </c>
      <c r="BQ245" s="876">
        <f t="shared" si="174"/>
        <v>0</v>
      </c>
      <c r="BR245" s="877">
        <f t="shared" si="175"/>
        <v>0</v>
      </c>
      <c r="BS245" s="875">
        <f t="shared" si="148"/>
        <v>0</v>
      </c>
      <c r="BT245" s="875">
        <f t="shared" si="149"/>
        <v>0</v>
      </c>
      <c r="BU245" s="878">
        <f t="shared" si="176"/>
        <v>0</v>
      </c>
      <c r="CE245" s="486">
        <v>233</v>
      </c>
    </row>
    <row r="246" spans="1:83" s="177" customFormat="1" ht="21.95" customHeight="1" x14ac:dyDescent="0.2">
      <c r="A246" s="237">
        <f t="shared" si="150"/>
        <v>0</v>
      </c>
      <c r="B246" s="237">
        <f t="shared" si="151"/>
        <v>0</v>
      </c>
      <c r="C246" s="393">
        <f t="shared" si="136"/>
        <v>0</v>
      </c>
      <c r="D246" s="393" t="str">
        <f t="shared" si="137"/>
        <v xml:space="preserve">12 </v>
      </c>
      <c r="E246" s="959" t="s">
        <v>2113</v>
      </c>
      <c r="F246" s="959" t="s">
        <v>2357</v>
      </c>
      <c r="G246" s="959" t="s">
        <v>90</v>
      </c>
      <c r="H246" s="965">
        <v>584.87</v>
      </c>
      <c r="I246" s="960">
        <v>0.188</v>
      </c>
      <c r="J246" s="966">
        <v>109.96</v>
      </c>
      <c r="K246" s="367">
        <v>0</v>
      </c>
      <c r="L246" s="367">
        <f>IF($H246="",0,VLOOKUP($E246,Plan3!$A$16:$CT$384,$E$7,0)%)</f>
        <v>0</v>
      </c>
      <c r="M246" s="368">
        <f t="shared" si="155"/>
        <v>0</v>
      </c>
      <c r="N246" s="368">
        <f t="shared" si="156"/>
        <v>0</v>
      </c>
      <c r="O246" s="367">
        <v>0</v>
      </c>
      <c r="P246" s="367">
        <f>VLOOKUP($E246,Plan3!$A$492:$P$858,13,0)%</f>
        <v>0</v>
      </c>
      <c r="Q246" s="368">
        <f t="shared" si="157"/>
        <v>0</v>
      </c>
      <c r="R246" s="368">
        <f t="shared" si="158"/>
        <v>0</v>
      </c>
      <c r="S246" s="880">
        <v>111.235536</v>
      </c>
      <c r="T246" s="880">
        <f t="shared" si="159"/>
        <v>0</v>
      </c>
      <c r="U246" s="880">
        <f>IF($I246="",0,($S246-$T246)*(1+('Econômico Macro'!$R$12/100)))</f>
        <v>113.1599107728</v>
      </c>
      <c r="V246" s="880">
        <f t="shared" si="160"/>
        <v>113.1599107728</v>
      </c>
      <c r="W246" s="880">
        <f t="shared" si="161"/>
        <v>0</v>
      </c>
      <c r="X246" s="367">
        <f t="shared" si="138"/>
        <v>0</v>
      </c>
      <c r="Y246" s="367">
        <f t="shared" si="139"/>
        <v>0</v>
      </c>
      <c r="Z246" s="367">
        <f t="shared" si="140"/>
        <v>0</v>
      </c>
      <c r="AA246" s="367">
        <f t="shared" si="141"/>
        <v>0</v>
      </c>
      <c r="AB246" s="369" t="str">
        <f t="shared" si="142"/>
        <v>Não Iniciada</v>
      </c>
      <c r="AC246" s="365"/>
      <c r="AD246" s="368">
        <v>1</v>
      </c>
      <c r="AE246" s="368">
        <f t="shared" si="162"/>
        <v>-1</v>
      </c>
      <c r="AF246" s="365"/>
      <c r="AG246" s="863">
        <f t="shared" si="152"/>
        <v>0</v>
      </c>
      <c r="AH246" s="864">
        <f t="shared" si="163"/>
        <v>0</v>
      </c>
      <c r="AI246" s="863">
        <f t="shared" si="153"/>
        <v>0</v>
      </c>
      <c r="AJ246" s="864">
        <f t="shared" si="164"/>
        <v>0</v>
      </c>
      <c r="AK246" s="365"/>
      <c r="AL246" s="865">
        <f t="shared" si="154"/>
        <v>0</v>
      </c>
      <c r="AM246" s="866">
        <f t="shared" si="165"/>
        <v>0</v>
      </c>
      <c r="AN246" s="866">
        <f t="shared" si="166"/>
        <v>0</v>
      </c>
      <c r="AO246" s="866">
        <f t="shared" si="167"/>
        <v>0</v>
      </c>
      <c r="AP246" s="867">
        <f t="shared" si="168"/>
        <v>0</v>
      </c>
      <c r="AQ246" s="591">
        <f t="shared" si="169"/>
        <v>0</v>
      </c>
      <c r="AR246" s="868">
        <f>IF(AND($L246=0,$P246=0)=TRUE,VLOOKUP($E246,Plan3!$A$16:$CT$487,$E$7+3,0)/100,0)</f>
        <v>0</v>
      </c>
      <c r="AS246" s="868">
        <f>IF(AND($L246=0,$P246=0)=TRUE,VLOOKUP($E246,Plan3!$A$16:$CT$487,$E$7+6,0)/100,0)</f>
        <v>0</v>
      </c>
      <c r="AT246" s="868">
        <f>IF(AND($L246=0,$P246=0)=TRUE,VLOOKUP($E246,Plan3!$A$16:$CT$487,$E$7+9,0)/100,0)</f>
        <v>0</v>
      </c>
      <c r="AU246" s="868">
        <f>IF(AND($L246=0,$P246=0)=TRUE,VLOOKUP($E246,Plan3!$A$16:$CT$487,$E$7+12,0)/100,0)</f>
        <v>0</v>
      </c>
      <c r="AV246" s="841"/>
      <c r="AW246" s="869">
        <f t="shared" si="170"/>
        <v>0</v>
      </c>
      <c r="AX246" s="870">
        <f t="shared" si="171"/>
        <v>0</v>
      </c>
      <c r="AY246" s="871">
        <f t="shared" si="172"/>
        <v>0</v>
      </c>
      <c r="AZ246" s="237" t="str">
        <f t="shared" si="143"/>
        <v xml:space="preserve">12.004.000.007 </v>
      </c>
      <c r="BA246" s="365"/>
      <c r="BB246" s="365"/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872">
        <f t="shared" si="144"/>
        <v>0</v>
      </c>
      <c r="BM246" s="873">
        <f t="shared" si="145"/>
        <v>0</v>
      </c>
      <c r="BN246" s="874">
        <f t="shared" si="173"/>
        <v>0</v>
      </c>
      <c r="BO246" s="875">
        <f t="shared" si="146"/>
        <v>0</v>
      </c>
      <c r="BP246" s="875">
        <f t="shared" si="147"/>
        <v>0</v>
      </c>
      <c r="BQ246" s="876">
        <f t="shared" si="174"/>
        <v>0</v>
      </c>
      <c r="BR246" s="877">
        <f t="shared" si="175"/>
        <v>0</v>
      </c>
      <c r="BS246" s="875">
        <f t="shared" si="148"/>
        <v>0</v>
      </c>
      <c r="BT246" s="875">
        <f t="shared" si="149"/>
        <v>0</v>
      </c>
      <c r="BU246" s="878">
        <f t="shared" si="176"/>
        <v>0</v>
      </c>
      <c r="CE246" s="486">
        <v>234</v>
      </c>
    </row>
    <row r="247" spans="1:83" s="177" customFormat="1" ht="21.95" customHeight="1" x14ac:dyDescent="0.2">
      <c r="A247" s="237">
        <f t="shared" si="150"/>
        <v>0</v>
      </c>
      <c r="B247" s="237">
        <f t="shared" si="151"/>
        <v>0</v>
      </c>
      <c r="C247" s="393">
        <f t="shared" si="136"/>
        <v>0</v>
      </c>
      <c r="D247" s="393" t="str">
        <f t="shared" si="137"/>
        <v xml:space="preserve">12 </v>
      </c>
      <c r="E247" s="959" t="s">
        <v>2114</v>
      </c>
      <c r="F247" s="959" t="s">
        <v>2358</v>
      </c>
      <c r="G247" s="959" t="s">
        <v>90</v>
      </c>
      <c r="H247" s="965">
        <v>584.87</v>
      </c>
      <c r="I247" s="960">
        <v>5.2</v>
      </c>
      <c r="J247" s="964">
        <v>3041.32</v>
      </c>
      <c r="K247" s="367">
        <v>0</v>
      </c>
      <c r="L247" s="367">
        <f>IF($H247="",0,VLOOKUP($E247,Plan3!$A$16:$CT$384,$E$7,0)%)</f>
        <v>0</v>
      </c>
      <c r="M247" s="368">
        <f t="shared" si="155"/>
        <v>0</v>
      </c>
      <c r="N247" s="368">
        <f t="shared" si="156"/>
        <v>0</v>
      </c>
      <c r="O247" s="367">
        <v>0</v>
      </c>
      <c r="P247" s="367">
        <f>VLOOKUP($E247,Plan3!$A$492:$P$858,13,0)%</f>
        <v>0</v>
      </c>
      <c r="Q247" s="368">
        <f t="shared" si="157"/>
        <v>0</v>
      </c>
      <c r="R247" s="368">
        <f t="shared" si="158"/>
        <v>0</v>
      </c>
      <c r="S247" s="880">
        <v>3076.5993120000003</v>
      </c>
      <c r="T247" s="880">
        <f t="shared" si="159"/>
        <v>0</v>
      </c>
      <c r="U247" s="880">
        <f>IF($I247="",0,($S247-$T247)*(1+('Econômico Macro'!$R$12/100)))</f>
        <v>3129.8244800976004</v>
      </c>
      <c r="V247" s="880">
        <f t="shared" si="160"/>
        <v>3129.8244800976004</v>
      </c>
      <c r="W247" s="880">
        <f t="shared" si="161"/>
        <v>0</v>
      </c>
      <c r="X247" s="367">
        <f t="shared" si="138"/>
        <v>0</v>
      </c>
      <c r="Y247" s="367">
        <f t="shared" si="139"/>
        <v>0</v>
      </c>
      <c r="Z247" s="367">
        <f t="shared" si="140"/>
        <v>0</v>
      </c>
      <c r="AA247" s="367">
        <f t="shared" si="141"/>
        <v>0</v>
      </c>
      <c r="AB247" s="369" t="str">
        <f t="shared" si="142"/>
        <v>Não Iniciada</v>
      </c>
      <c r="AC247" s="365"/>
      <c r="AD247" s="368">
        <v>1</v>
      </c>
      <c r="AE247" s="368">
        <f t="shared" si="162"/>
        <v>-1</v>
      </c>
      <c r="AF247" s="365"/>
      <c r="AG247" s="863">
        <f t="shared" si="152"/>
        <v>0</v>
      </c>
      <c r="AH247" s="864">
        <f t="shared" si="163"/>
        <v>0</v>
      </c>
      <c r="AI247" s="863">
        <f t="shared" si="153"/>
        <v>0</v>
      </c>
      <c r="AJ247" s="864">
        <f t="shared" si="164"/>
        <v>0</v>
      </c>
      <c r="AK247" s="365"/>
      <c r="AL247" s="865">
        <f t="shared" si="154"/>
        <v>0</v>
      </c>
      <c r="AM247" s="866">
        <f t="shared" si="165"/>
        <v>0</v>
      </c>
      <c r="AN247" s="866">
        <f t="shared" si="166"/>
        <v>0</v>
      </c>
      <c r="AO247" s="866">
        <f t="shared" si="167"/>
        <v>0</v>
      </c>
      <c r="AP247" s="867">
        <f t="shared" si="168"/>
        <v>0</v>
      </c>
      <c r="AQ247" s="591">
        <f t="shared" si="169"/>
        <v>0</v>
      </c>
      <c r="AR247" s="868">
        <f>IF(AND($L247=0,$P247=0)=TRUE,VLOOKUP($E247,Plan3!$A$16:$CT$487,$E$7+3,0)/100,0)</f>
        <v>0</v>
      </c>
      <c r="AS247" s="868">
        <f>IF(AND($L247=0,$P247=0)=TRUE,VLOOKUP($E247,Plan3!$A$16:$CT$487,$E$7+6,0)/100,0)</f>
        <v>0</v>
      </c>
      <c r="AT247" s="868">
        <f>IF(AND($L247=0,$P247=0)=TRUE,VLOOKUP($E247,Plan3!$A$16:$CT$487,$E$7+9,0)/100,0)</f>
        <v>0</v>
      </c>
      <c r="AU247" s="868">
        <f>IF(AND($L247=0,$P247=0)=TRUE,VLOOKUP($E247,Plan3!$A$16:$CT$487,$E$7+12,0)/100,0)</f>
        <v>0</v>
      </c>
      <c r="AV247" s="841"/>
      <c r="AW247" s="869">
        <f t="shared" si="170"/>
        <v>0</v>
      </c>
      <c r="AX247" s="870">
        <f t="shared" si="171"/>
        <v>0</v>
      </c>
      <c r="AY247" s="871">
        <f t="shared" si="172"/>
        <v>0</v>
      </c>
      <c r="AZ247" s="237" t="str">
        <f t="shared" si="143"/>
        <v xml:space="preserve">12.004.000.008 </v>
      </c>
      <c r="BA247" s="365"/>
      <c r="BB247" s="365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872">
        <f t="shared" si="144"/>
        <v>0</v>
      </c>
      <c r="BM247" s="873">
        <f t="shared" si="145"/>
        <v>0</v>
      </c>
      <c r="BN247" s="874">
        <f t="shared" si="173"/>
        <v>0</v>
      </c>
      <c r="BO247" s="875">
        <f t="shared" si="146"/>
        <v>0</v>
      </c>
      <c r="BP247" s="875">
        <f t="shared" si="147"/>
        <v>0</v>
      </c>
      <c r="BQ247" s="876">
        <f t="shared" si="174"/>
        <v>0</v>
      </c>
      <c r="BR247" s="877">
        <f t="shared" si="175"/>
        <v>0</v>
      </c>
      <c r="BS247" s="875">
        <f t="shared" si="148"/>
        <v>0</v>
      </c>
      <c r="BT247" s="875">
        <f t="shared" si="149"/>
        <v>0</v>
      </c>
      <c r="BU247" s="878">
        <f t="shared" si="176"/>
        <v>0</v>
      </c>
      <c r="CE247" s="486">
        <v>235</v>
      </c>
    </row>
    <row r="248" spans="1:83" s="177" customFormat="1" ht="21.95" customHeight="1" x14ac:dyDescent="0.2">
      <c r="A248" s="237">
        <f t="shared" si="150"/>
        <v>0</v>
      </c>
      <c r="B248" s="237">
        <f t="shared" si="151"/>
        <v>0</v>
      </c>
      <c r="C248" s="393">
        <f t="shared" si="136"/>
        <v>0</v>
      </c>
      <c r="D248" s="393" t="str">
        <f t="shared" si="137"/>
        <v xml:space="preserve">12 </v>
      </c>
      <c r="E248" s="959" t="s">
        <v>2115</v>
      </c>
      <c r="F248" s="959" t="s">
        <v>1488</v>
      </c>
      <c r="G248" s="959" t="s">
        <v>90</v>
      </c>
      <c r="H248" s="965">
        <v>708.6</v>
      </c>
      <c r="I248" s="970">
        <v>33</v>
      </c>
      <c r="J248" s="962">
        <v>23383.8</v>
      </c>
      <c r="K248" s="367">
        <v>0</v>
      </c>
      <c r="L248" s="367">
        <f>IF($H248="",0,VLOOKUP($E248,Plan3!$A$16:$CT$384,$E$7,0)%)</f>
        <v>0</v>
      </c>
      <c r="M248" s="368">
        <f t="shared" si="155"/>
        <v>0</v>
      </c>
      <c r="N248" s="368">
        <f t="shared" si="156"/>
        <v>0</v>
      </c>
      <c r="O248" s="367">
        <v>0</v>
      </c>
      <c r="P248" s="367">
        <f>VLOOKUP($E248,Plan3!$A$492:$P$858,13,0)%</f>
        <v>0</v>
      </c>
      <c r="Q248" s="368">
        <f t="shared" si="157"/>
        <v>0</v>
      </c>
      <c r="R248" s="368">
        <f t="shared" si="158"/>
        <v>0</v>
      </c>
      <c r="S248" s="880">
        <v>23655.052080000001</v>
      </c>
      <c r="T248" s="880">
        <f t="shared" si="159"/>
        <v>0</v>
      </c>
      <c r="U248" s="880">
        <f>IF($I248="",0,($S248-$T248)*(1+('Econômico Macro'!$R$12/100)))</f>
        <v>24064.284480984003</v>
      </c>
      <c r="V248" s="880">
        <f t="shared" si="160"/>
        <v>24064.284480984003</v>
      </c>
      <c r="W248" s="880">
        <f t="shared" si="161"/>
        <v>0</v>
      </c>
      <c r="X248" s="367">
        <f t="shared" si="138"/>
        <v>0</v>
      </c>
      <c r="Y248" s="367">
        <f t="shared" si="139"/>
        <v>0</v>
      </c>
      <c r="Z248" s="367">
        <f t="shared" si="140"/>
        <v>0</v>
      </c>
      <c r="AA248" s="367">
        <f t="shared" si="141"/>
        <v>0</v>
      </c>
      <c r="AB248" s="369" t="str">
        <f t="shared" si="142"/>
        <v>Não Iniciada</v>
      </c>
      <c r="AC248" s="365"/>
      <c r="AD248" s="368">
        <v>1</v>
      </c>
      <c r="AE248" s="368">
        <f t="shared" si="162"/>
        <v>-1</v>
      </c>
      <c r="AF248" s="365"/>
      <c r="AG248" s="863">
        <f t="shared" si="152"/>
        <v>0</v>
      </c>
      <c r="AH248" s="864">
        <f t="shared" si="163"/>
        <v>0</v>
      </c>
      <c r="AI248" s="863">
        <f t="shared" si="153"/>
        <v>0</v>
      </c>
      <c r="AJ248" s="864">
        <f t="shared" si="164"/>
        <v>0</v>
      </c>
      <c r="AK248" s="365"/>
      <c r="AL248" s="865">
        <f t="shared" si="154"/>
        <v>0</v>
      </c>
      <c r="AM248" s="866">
        <f t="shared" si="165"/>
        <v>0</v>
      </c>
      <c r="AN248" s="866">
        <f t="shared" si="166"/>
        <v>0</v>
      </c>
      <c r="AO248" s="866">
        <f t="shared" si="167"/>
        <v>0</v>
      </c>
      <c r="AP248" s="867">
        <f t="shared" si="168"/>
        <v>0</v>
      </c>
      <c r="AQ248" s="591">
        <f t="shared" si="169"/>
        <v>0</v>
      </c>
      <c r="AR248" s="868">
        <f>IF(AND($L248=0,$P248=0)=TRUE,VLOOKUP($E248,Plan3!$A$16:$CT$487,$E$7+3,0)/100,0)</f>
        <v>0</v>
      </c>
      <c r="AS248" s="868">
        <f>IF(AND($L248=0,$P248=0)=TRUE,VLOOKUP($E248,Plan3!$A$16:$CT$487,$E$7+6,0)/100,0)</f>
        <v>0</v>
      </c>
      <c r="AT248" s="868">
        <f>IF(AND($L248=0,$P248=0)=TRUE,VLOOKUP($E248,Plan3!$A$16:$CT$487,$E$7+9,0)/100,0)</f>
        <v>0</v>
      </c>
      <c r="AU248" s="868">
        <f>IF(AND($L248=0,$P248=0)=TRUE,VLOOKUP($E248,Plan3!$A$16:$CT$487,$E$7+12,0)/100,0)</f>
        <v>0</v>
      </c>
      <c r="AV248" s="841"/>
      <c r="AW248" s="869">
        <f t="shared" si="170"/>
        <v>0</v>
      </c>
      <c r="AX248" s="870">
        <f t="shared" si="171"/>
        <v>0</v>
      </c>
      <c r="AY248" s="871">
        <f t="shared" si="172"/>
        <v>0</v>
      </c>
      <c r="AZ248" s="237" t="str">
        <f t="shared" si="143"/>
        <v xml:space="preserve">12.004.000.009 </v>
      </c>
      <c r="BA248" s="365"/>
      <c r="BB248" s="365"/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872">
        <f t="shared" si="144"/>
        <v>0</v>
      </c>
      <c r="BM248" s="873">
        <f t="shared" si="145"/>
        <v>0</v>
      </c>
      <c r="BN248" s="874">
        <f t="shared" si="173"/>
        <v>0</v>
      </c>
      <c r="BO248" s="875">
        <f t="shared" si="146"/>
        <v>0</v>
      </c>
      <c r="BP248" s="875">
        <f t="shared" si="147"/>
        <v>0</v>
      </c>
      <c r="BQ248" s="876">
        <f t="shared" si="174"/>
        <v>0</v>
      </c>
      <c r="BR248" s="877">
        <f t="shared" si="175"/>
        <v>0</v>
      </c>
      <c r="BS248" s="875">
        <f t="shared" si="148"/>
        <v>0</v>
      </c>
      <c r="BT248" s="875">
        <f t="shared" si="149"/>
        <v>0</v>
      </c>
      <c r="BU248" s="878">
        <f t="shared" si="176"/>
        <v>0</v>
      </c>
      <c r="CE248" s="486">
        <v>236</v>
      </c>
    </row>
    <row r="249" spans="1:83" s="177" customFormat="1" ht="21.95" customHeight="1" x14ac:dyDescent="0.2">
      <c r="A249" s="237">
        <f t="shared" si="150"/>
        <v>0</v>
      </c>
      <c r="B249" s="237">
        <f t="shared" si="151"/>
        <v>0</v>
      </c>
      <c r="C249" s="393">
        <f t="shared" si="136"/>
        <v>0</v>
      </c>
      <c r="D249" s="393" t="str">
        <f t="shared" si="137"/>
        <v xml:space="preserve">12 </v>
      </c>
      <c r="E249" s="959" t="s">
        <v>2116</v>
      </c>
      <c r="F249" s="959" t="s">
        <v>1489</v>
      </c>
      <c r="G249" s="959" t="s">
        <v>15</v>
      </c>
      <c r="H249" s="965">
        <v>511.28</v>
      </c>
      <c r="I249" s="970">
        <v>22</v>
      </c>
      <c r="J249" s="962">
        <v>11248.16</v>
      </c>
      <c r="K249" s="367">
        <v>0</v>
      </c>
      <c r="L249" s="367">
        <f>IF($H249="",0,VLOOKUP($E249,Plan3!$A$16:$CT$384,$E$7,0)%)</f>
        <v>0</v>
      </c>
      <c r="M249" s="368">
        <f t="shared" si="155"/>
        <v>0</v>
      </c>
      <c r="N249" s="368">
        <f t="shared" si="156"/>
        <v>0</v>
      </c>
      <c r="O249" s="367">
        <v>0</v>
      </c>
      <c r="P249" s="367">
        <f>VLOOKUP($E249,Plan3!$A$492:$P$858,13,0)%</f>
        <v>0</v>
      </c>
      <c r="Q249" s="368">
        <f t="shared" si="157"/>
        <v>0</v>
      </c>
      <c r="R249" s="368">
        <f t="shared" si="158"/>
        <v>0</v>
      </c>
      <c r="S249" s="880">
        <v>11378.638656000001</v>
      </c>
      <c r="T249" s="880">
        <f t="shared" si="159"/>
        <v>0</v>
      </c>
      <c r="U249" s="880">
        <f>IF($I249="",0,($S249-$T249)*(1+('Econômico Macro'!$R$12/100)))</f>
        <v>11575.489104748802</v>
      </c>
      <c r="V249" s="880">
        <f t="shared" si="160"/>
        <v>11575.489104748802</v>
      </c>
      <c r="W249" s="880">
        <f t="shared" si="161"/>
        <v>0</v>
      </c>
      <c r="X249" s="367">
        <f t="shared" si="138"/>
        <v>0</v>
      </c>
      <c r="Y249" s="367">
        <f t="shared" si="139"/>
        <v>0</v>
      </c>
      <c r="Z249" s="367">
        <f t="shared" si="140"/>
        <v>0</v>
      </c>
      <c r="AA249" s="367">
        <f t="shared" si="141"/>
        <v>0</v>
      </c>
      <c r="AB249" s="369" t="str">
        <f t="shared" si="142"/>
        <v>Não Iniciada</v>
      </c>
      <c r="AC249" s="365"/>
      <c r="AD249" s="368">
        <v>1</v>
      </c>
      <c r="AE249" s="368">
        <f t="shared" si="162"/>
        <v>-1</v>
      </c>
      <c r="AF249" s="365"/>
      <c r="AG249" s="863">
        <f t="shared" si="152"/>
        <v>0</v>
      </c>
      <c r="AH249" s="864">
        <f t="shared" si="163"/>
        <v>0</v>
      </c>
      <c r="AI249" s="863">
        <f t="shared" si="153"/>
        <v>0</v>
      </c>
      <c r="AJ249" s="864">
        <f t="shared" si="164"/>
        <v>0</v>
      </c>
      <c r="AK249" s="365"/>
      <c r="AL249" s="865">
        <f t="shared" si="154"/>
        <v>0</v>
      </c>
      <c r="AM249" s="866">
        <f t="shared" si="165"/>
        <v>0</v>
      </c>
      <c r="AN249" s="866">
        <f t="shared" si="166"/>
        <v>0</v>
      </c>
      <c r="AO249" s="866">
        <f t="shared" si="167"/>
        <v>0</v>
      </c>
      <c r="AP249" s="867">
        <f t="shared" si="168"/>
        <v>0</v>
      </c>
      <c r="AQ249" s="591">
        <f t="shared" si="169"/>
        <v>0</v>
      </c>
      <c r="AR249" s="868">
        <f>IF(AND($L249=0,$P249=0)=TRUE,VLOOKUP($E249,Plan3!$A$16:$CT$487,$E$7+3,0)/100,0)</f>
        <v>0</v>
      </c>
      <c r="AS249" s="868">
        <f>IF(AND($L249=0,$P249=0)=TRUE,VLOOKUP($E249,Plan3!$A$16:$CT$487,$E$7+6,0)/100,0)</f>
        <v>0</v>
      </c>
      <c r="AT249" s="868">
        <f>IF(AND($L249=0,$P249=0)=TRUE,VLOOKUP($E249,Plan3!$A$16:$CT$487,$E$7+9,0)/100,0)</f>
        <v>0</v>
      </c>
      <c r="AU249" s="868">
        <f>IF(AND($L249=0,$P249=0)=TRUE,VLOOKUP($E249,Plan3!$A$16:$CT$487,$E$7+12,0)/100,0)</f>
        <v>0</v>
      </c>
      <c r="AV249" s="841"/>
      <c r="AW249" s="869">
        <f t="shared" si="170"/>
        <v>0</v>
      </c>
      <c r="AX249" s="870">
        <f t="shared" si="171"/>
        <v>0</v>
      </c>
      <c r="AY249" s="871">
        <f t="shared" si="172"/>
        <v>0</v>
      </c>
      <c r="AZ249" s="237" t="str">
        <f t="shared" si="143"/>
        <v xml:space="preserve">12.004.000.010 </v>
      </c>
      <c r="BA249" s="365"/>
      <c r="BB249" s="365"/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872">
        <f t="shared" si="144"/>
        <v>0</v>
      </c>
      <c r="BM249" s="873">
        <f t="shared" si="145"/>
        <v>0</v>
      </c>
      <c r="BN249" s="874">
        <f t="shared" si="173"/>
        <v>0</v>
      </c>
      <c r="BO249" s="875">
        <f t="shared" si="146"/>
        <v>0</v>
      </c>
      <c r="BP249" s="875">
        <f t="shared" si="147"/>
        <v>0</v>
      </c>
      <c r="BQ249" s="876">
        <f t="shared" si="174"/>
        <v>0</v>
      </c>
      <c r="BR249" s="877">
        <f t="shared" si="175"/>
        <v>0</v>
      </c>
      <c r="BS249" s="875">
        <f t="shared" si="148"/>
        <v>0</v>
      </c>
      <c r="BT249" s="875">
        <f t="shared" si="149"/>
        <v>0</v>
      </c>
      <c r="BU249" s="878">
        <f t="shared" si="176"/>
        <v>0</v>
      </c>
      <c r="CE249" s="486">
        <v>237</v>
      </c>
    </row>
    <row r="250" spans="1:83" s="177" customFormat="1" ht="21.95" customHeight="1" x14ac:dyDescent="0.2">
      <c r="A250" s="237">
        <f t="shared" si="150"/>
        <v>0</v>
      </c>
      <c r="B250" s="237">
        <f t="shared" si="151"/>
        <v>0</v>
      </c>
      <c r="C250" s="393" t="str">
        <f t="shared" si="136"/>
        <v xml:space="preserve">13 </v>
      </c>
      <c r="D250" s="393" t="str">
        <f t="shared" si="137"/>
        <v xml:space="preserve">13 </v>
      </c>
      <c r="E250" s="161" t="s">
        <v>140</v>
      </c>
      <c r="F250" s="161" t="s">
        <v>664</v>
      </c>
      <c r="G250" s="162"/>
      <c r="H250" s="162"/>
      <c r="I250" s="162"/>
      <c r="J250" s="163">
        <v>553372.31999999995</v>
      </c>
      <c r="K250" s="164">
        <v>0</v>
      </c>
      <c r="L250" s="164">
        <f t="array" ref="L250">SUM(IF($D251:$D$379=$E250,$L251:$L$379*$J251:$J$379))/$J250</f>
        <v>0</v>
      </c>
      <c r="M250" s="163"/>
      <c r="N250" s="163">
        <f>$L250*$J250</f>
        <v>0</v>
      </c>
      <c r="O250" s="164">
        <v>0</v>
      </c>
      <c r="P250" s="164">
        <f t="array" ref="P250">SUM(IF($D251:$D$379=$E250,$P251:$P$379*$J251:$J$379))/$J250</f>
        <v>0</v>
      </c>
      <c r="Q250" s="163">
        <f>$P250*$H250</f>
        <v>0</v>
      </c>
      <c r="R250" s="163">
        <f>$P250*$J250</f>
        <v>0</v>
      </c>
      <c r="S250" s="163">
        <v>559791.43891200004</v>
      </c>
      <c r="T250" s="163">
        <f>SUM(T251:T253)</f>
        <v>0</v>
      </c>
      <c r="U250" s="163"/>
      <c r="V250" s="163">
        <f t="shared" ref="V250:W250" si="179">SUM(V251:V253)</f>
        <v>569475.83080517768</v>
      </c>
      <c r="W250" s="163">
        <f t="shared" si="179"/>
        <v>0</v>
      </c>
      <c r="X250" s="164">
        <f t="shared" si="138"/>
        <v>0</v>
      </c>
      <c r="Y250" s="164">
        <f t="shared" si="139"/>
        <v>0</v>
      </c>
      <c r="Z250" s="164">
        <f t="shared" si="140"/>
        <v>0</v>
      </c>
      <c r="AA250" s="164">
        <f t="shared" si="141"/>
        <v>0</v>
      </c>
      <c r="AB250" s="201" t="str">
        <f t="shared" si="142"/>
        <v>Não Iniciada</v>
      </c>
      <c r="AC250" s="155" t="s">
        <v>763</v>
      </c>
      <c r="AD250" s="689">
        <v>0</v>
      </c>
      <c r="AE250" s="835">
        <f>Q250-AD250</f>
        <v>0</v>
      </c>
      <c r="AF250" s="155"/>
      <c r="AG250" s="207"/>
      <c r="AH250" s="208"/>
      <c r="AI250" s="207"/>
      <c r="AJ250" s="208"/>
      <c r="AK250" s="155"/>
      <c r="AL250" s="212"/>
      <c r="AM250" s="209"/>
      <c r="AN250" s="209"/>
      <c r="AO250" s="209"/>
      <c r="AP250" s="213"/>
      <c r="AQ250" s="401"/>
      <c r="AR250" s="247"/>
      <c r="AS250" s="247"/>
      <c r="AT250" s="247"/>
      <c r="AU250" s="247"/>
      <c r="AV250" s="155"/>
      <c r="AW250" s="250"/>
      <c r="AX250" s="248"/>
      <c r="AY250" s="402"/>
      <c r="AZ250" s="237" t="str">
        <f t="shared" si="143"/>
        <v xml:space="preserve">13 </v>
      </c>
      <c r="BA250" s="155"/>
      <c r="BB250" s="155"/>
      <c r="BC250" s="155"/>
      <c r="BD250" s="155"/>
      <c r="BE250" s="155"/>
      <c r="BF250" s="155"/>
      <c r="BG250" s="155"/>
      <c r="BH250" s="155"/>
      <c r="BI250" s="155"/>
      <c r="BJ250" s="155"/>
      <c r="BK250" s="155"/>
      <c r="BL250" s="666" t="str">
        <f t="shared" si="144"/>
        <v xml:space="preserve">13 </v>
      </c>
      <c r="BM250" s="667">
        <f t="shared" si="145"/>
        <v>0</v>
      </c>
      <c r="BN250" s="668">
        <f>IF($BQ250=0,0,RANK($BQ250,$BQ$12:$BQ$379))</f>
        <v>0</v>
      </c>
      <c r="BO250" s="669">
        <f t="shared" si="146"/>
        <v>0</v>
      </c>
      <c r="BP250" s="669">
        <f t="shared" si="147"/>
        <v>0</v>
      </c>
      <c r="BQ250" s="670">
        <f>IF($BP250=0,0,$BP250/$BP$380)</f>
        <v>0</v>
      </c>
      <c r="BR250" s="671">
        <f>IF($BU250=0,0,RANK($BU250,$BU$12:$BU$379))</f>
        <v>0</v>
      </c>
      <c r="BS250" s="669">
        <f t="shared" si="148"/>
        <v>0</v>
      </c>
      <c r="BT250" s="669">
        <f t="shared" si="149"/>
        <v>0</v>
      </c>
      <c r="BU250" s="672">
        <f>IF($BT250=0,0,$BT250/$BT$380)</f>
        <v>0</v>
      </c>
      <c r="CE250" s="486">
        <v>238</v>
      </c>
    </row>
    <row r="251" spans="1:83" s="177" customFormat="1" ht="21.95" customHeight="1" x14ac:dyDescent="0.2">
      <c r="A251" s="237">
        <f t="shared" si="150"/>
        <v>0</v>
      </c>
      <c r="B251" s="237">
        <f t="shared" si="151"/>
        <v>0</v>
      </c>
      <c r="C251" s="393">
        <f t="shared" si="136"/>
        <v>0</v>
      </c>
      <c r="D251" s="393" t="str">
        <f t="shared" si="137"/>
        <v xml:space="preserve">13 </v>
      </c>
      <c r="E251" s="967" t="s">
        <v>2117</v>
      </c>
      <c r="F251" s="967" t="s">
        <v>2119</v>
      </c>
      <c r="G251" s="967"/>
      <c r="H251" s="968"/>
      <c r="I251" s="968"/>
      <c r="J251" s="971">
        <v>553372.31999999995</v>
      </c>
      <c r="K251" s="367">
        <v>0</v>
      </c>
      <c r="L251" s="367">
        <f>IF($H251="",0,VLOOKUP($E251,Plan3!$A$16:$CT$384,$E$7,0)%)</f>
        <v>0</v>
      </c>
      <c r="M251" s="368">
        <f t="shared" si="155"/>
        <v>0</v>
      </c>
      <c r="N251" s="368">
        <f t="shared" si="156"/>
        <v>0</v>
      </c>
      <c r="O251" s="367">
        <v>0</v>
      </c>
      <c r="P251" s="367">
        <f>VLOOKUP($E251,Plan3!$A$492:$P$858,13,0)%</f>
        <v>0</v>
      </c>
      <c r="Q251" s="368">
        <f t="shared" si="157"/>
        <v>0</v>
      </c>
      <c r="R251" s="368">
        <f t="shared" si="158"/>
        <v>0</v>
      </c>
      <c r="S251" s="880">
        <v>0</v>
      </c>
      <c r="T251" s="880">
        <f t="shared" si="159"/>
        <v>0</v>
      </c>
      <c r="U251" s="880">
        <f>IF($I251="",0,($S251-$T251)*(1+('Econômico Macro'!$R$12/100)))</f>
        <v>0</v>
      </c>
      <c r="V251" s="880">
        <f t="shared" si="160"/>
        <v>0</v>
      </c>
      <c r="W251" s="880">
        <f t="shared" si="161"/>
        <v>0</v>
      </c>
      <c r="X251" s="367">
        <f t="shared" si="138"/>
        <v>0</v>
      </c>
      <c r="Y251" s="367">
        <f t="shared" si="139"/>
        <v>0</v>
      </c>
      <c r="Z251" s="367">
        <f t="shared" si="140"/>
        <v>0</v>
      </c>
      <c r="AA251" s="367">
        <f t="shared" si="141"/>
        <v>0</v>
      </c>
      <c r="AB251" s="369" t="str">
        <f t="shared" si="142"/>
        <v>Não Iniciada</v>
      </c>
      <c r="AC251" s="365"/>
      <c r="AD251" s="368">
        <v>1</v>
      </c>
      <c r="AE251" s="368">
        <f t="shared" si="162"/>
        <v>-1</v>
      </c>
      <c r="AF251" s="365"/>
      <c r="AG251" s="863">
        <f t="shared" si="152"/>
        <v>0</v>
      </c>
      <c r="AH251" s="864">
        <f t="shared" si="163"/>
        <v>0</v>
      </c>
      <c r="AI251" s="863">
        <f t="shared" si="153"/>
        <v>0</v>
      </c>
      <c r="AJ251" s="864">
        <f t="shared" si="164"/>
        <v>0</v>
      </c>
      <c r="AK251" s="365"/>
      <c r="AL251" s="865">
        <f t="shared" si="154"/>
        <v>0</v>
      </c>
      <c r="AM251" s="866">
        <f t="shared" si="165"/>
        <v>0</v>
      </c>
      <c r="AN251" s="866">
        <f t="shared" si="166"/>
        <v>0</v>
      </c>
      <c r="AO251" s="866">
        <f t="shared" si="167"/>
        <v>0</v>
      </c>
      <c r="AP251" s="867">
        <f t="shared" si="168"/>
        <v>0</v>
      </c>
      <c r="AQ251" s="591"/>
      <c r="AR251" s="868"/>
      <c r="AS251" s="868"/>
      <c r="AT251" s="868"/>
      <c r="AU251" s="868"/>
      <c r="AV251" s="841"/>
      <c r="AW251" s="869"/>
      <c r="AX251" s="870"/>
      <c r="AY251" s="871"/>
      <c r="AZ251" s="237" t="str">
        <f t="shared" si="143"/>
        <v xml:space="preserve">13.001 </v>
      </c>
      <c r="BA251" s="365"/>
      <c r="BB251" s="365"/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872">
        <f t="shared" si="144"/>
        <v>0</v>
      </c>
      <c r="BM251" s="873">
        <f t="shared" si="145"/>
        <v>0</v>
      </c>
      <c r="BN251" s="874">
        <f t="shared" si="173"/>
        <v>0</v>
      </c>
      <c r="BO251" s="875">
        <f t="shared" si="146"/>
        <v>0</v>
      </c>
      <c r="BP251" s="875">
        <f t="shared" si="147"/>
        <v>0</v>
      </c>
      <c r="BQ251" s="876">
        <f t="shared" si="174"/>
        <v>0</v>
      </c>
      <c r="BR251" s="877">
        <f t="shared" si="175"/>
        <v>0</v>
      </c>
      <c r="BS251" s="875">
        <f t="shared" si="148"/>
        <v>0</v>
      </c>
      <c r="BT251" s="875">
        <f t="shared" si="149"/>
        <v>0</v>
      </c>
      <c r="BU251" s="878">
        <f t="shared" si="176"/>
        <v>0</v>
      </c>
      <c r="CE251" s="486">
        <v>239</v>
      </c>
    </row>
    <row r="252" spans="1:83" s="177" customFormat="1" ht="21.95" customHeight="1" x14ac:dyDescent="0.2">
      <c r="A252" s="237">
        <f t="shared" si="150"/>
        <v>0</v>
      </c>
      <c r="B252" s="237">
        <f t="shared" si="151"/>
        <v>0</v>
      </c>
      <c r="C252" s="393">
        <f t="shared" si="136"/>
        <v>0</v>
      </c>
      <c r="D252" s="393" t="str">
        <f t="shared" si="137"/>
        <v xml:space="preserve">13 </v>
      </c>
      <c r="E252" s="959" t="s">
        <v>2118</v>
      </c>
      <c r="F252" s="959" t="s">
        <v>2289</v>
      </c>
      <c r="G252" s="959" t="s">
        <v>7</v>
      </c>
      <c r="H252" s="960">
        <v>1</v>
      </c>
      <c r="I252" s="978">
        <v>392109.61690000002</v>
      </c>
      <c r="J252" s="972">
        <v>392109.62</v>
      </c>
      <c r="K252" s="367">
        <v>0</v>
      </c>
      <c r="L252" s="367">
        <f>IF($H252="",0,VLOOKUP($E252,Plan3!$A$16:$CT$384,$E$7,0)%)</f>
        <v>0</v>
      </c>
      <c r="M252" s="368">
        <f t="shared" si="155"/>
        <v>0</v>
      </c>
      <c r="N252" s="368">
        <f t="shared" si="156"/>
        <v>0</v>
      </c>
      <c r="O252" s="367">
        <v>0</v>
      </c>
      <c r="P252" s="367">
        <f>VLOOKUP($E252,Plan3!$A$492:$P$858,13,0)%</f>
        <v>0</v>
      </c>
      <c r="Q252" s="368">
        <f t="shared" si="157"/>
        <v>0</v>
      </c>
      <c r="R252" s="368">
        <f t="shared" si="158"/>
        <v>0</v>
      </c>
      <c r="S252" s="880">
        <v>396658.09159200004</v>
      </c>
      <c r="T252" s="880">
        <f t="shared" si="159"/>
        <v>0</v>
      </c>
      <c r="U252" s="880">
        <f>IF($I252="",0,($S252-$T252)*(1+('Econômico Macro'!$R$12/100)))</f>
        <v>403520.27657654166</v>
      </c>
      <c r="V252" s="880">
        <f t="shared" si="160"/>
        <v>403520.27657654166</v>
      </c>
      <c r="W252" s="880">
        <f t="shared" si="161"/>
        <v>0</v>
      </c>
      <c r="X252" s="367">
        <f t="shared" si="138"/>
        <v>0</v>
      </c>
      <c r="Y252" s="367">
        <f t="shared" si="139"/>
        <v>0</v>
      </c>
      <c r="Z252" s="367">
        <f t="shared" si="140"/>
        <v>0</v>
      </c>
      <c r="AA252" s="367">
        <f t="shared" si="141"/>
        <v>0</v>
      </c>
      <c r="AB252" s="369" t="str">
        <f t="shared" si="142"/>
        <v>Não Iniciada</v>
      </c>
      <c r="AC252" s="365"/>
      <c r="AD252" s="368">
        <v>1</v>
      </c>
      <c r="AE252" s="368">
        <f t="shared" si="162"/>
        <v>-1</v>
      </c>
      <c r="AF252" s="365"/>
      <c r="AG252" s="863">
        <f t="shared" si="152"/>
        <v>0</v>
      </c>
      <c r="AH252" s="864">
        <f t="shared" si="163"/>
        <v>0</v>
      </c>
      <c r="AI252" s="863">
        <f t="shared" si="153"/>
        <v>0</v>
      </c>
      <c r="AJ252" s="864">
        <f t="shared" si="164"/>
        <v>0</v>
      </c>
      <c r="AK252" s="365"/>
      <c r="AL252" s="865">
        <f t="shared" si="154"/>
        <v>0</v>
      </c>
      <c r="AM252" s="866">
        <f t="shared" si="165"/>
        <v>0</v>
      </c>
      <c r="AN252" s="866">
        <f t="shared" si="166"/>
        <v>0</v>
      </c>
      <c r="AO252" s="866">
        <f t="shared" si="167"/>
        <v>0</v>
      </c>
      <c r="AP252" s="867">
        <f t="shared" si="168"/>
        <v>0</v>
      </c>
      <c r="AQ252" s="591">
        <f t="shared" si="169"/>
        <v>0</v>
      </c>
      <c r="AR252" s="868">
        <f>IF(AND($L252=0,$P252=0)=TRUE,VLOOKUP($E252,Plan3!$A$16:$CT$487,$E$7+3,0)/100,0)</f>
        <v>0</v>
      </c>
      <c r="AS252" s="868">
        <f>IF(AND($L252=0,$P252=0)=TRUE,VLOOKUP($E252,Plan3!$A$16:$CT$487,$E$7+6,0)/100,0)</f>
        <v>0</v>
      </c>
      <c r="AT252" s="868">
        <f>IF(AND($L252=0,$P252=0)=TRUE,VLOOKUP($E252,Plan3!$A$16:$CT$487,$E$7+9,0)/100,0)</f>
        <v>0</v>
      </c>
      <c r="AU252" s="868">
        <f>IF(AND($L252=0,$P252=0)=TRUE,VLOOKUP($E252,Plan3!$A$16:$CT$487,$E$7+12,0)/100,0)</f>
        <v>0</v>
      </c>
      <c r="AV252" s="841"/>
      <c r="AW252" s="869">
        <f t="shared" si="170"/>
        <v>0</v>
      </c>
      <c r="AX252" s="870">
        <f t="shared" si="171"/>
        <v>0</v>
      </c>
      <c r="AY252" s="871">
        <f t="shared" si="172"/>
        <v>0</v>
      </c>
      <c r="AZ252" s="237" t="str">
        <f t="shared" si="143"/>
        <v xml:space="preserve">13.001.000.001 </v>
      </c>
      <c r="BA252" s="365"/>
      <c r="BB252" s="365"/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872">
        <f t="shared" si="144"/>
        <v>0</v>
      </c>
      <c r="BM252" s="873">
        <f t="shared" si="145"/>
        <v>0</v>
      </c>
      <c r="BN252" s="874">
        <f t="shared" si="173"/>
        <v>0</v>
      </c>
      <c r="BO252" s="875">
        <f t="shared" si="146"/>
        <v>0</v>
      </c>
      <c r="BP252" s="875">
        <f t="shared" si="147"/>
        <v>0</v>
      </c>
      <c r="BQ252" s="876">
        <f t="shared" si="174"/>
        <v>0</v>
      </c>
      <c r="BR252" s="877">
        <f t="shared" si="175"/>
        <v>0</v>
      </c>
      <c r="BS252" s="875">
        <f t="shared" si="148"/>
        <v>0</v>
      </c>
      <c r="BT252" s="875">
        <f t="shared" si="149"/>
        <v>0</v>
      </c>
      <c r="BU252" s="878">
        <f t="shared" si="176"/>
        <v>0</v>
      </c>
      <c r="CE252" s="486">
        <v>240</v>
      </c>
    </row>
    <row r="253" spans="1:83" s="177" customFormat="1" ht="21.95" customHeight="1" x14ac:dyDescent="0.2">
      <c r="A253" s="237">
        <f t="shared" si="150"/>
        <v>0</v>
      </c>
      <c r="B253" s="237">
        <f t="shared" si="151"/>
        <v>0</v>
      </c>
      <c r="C253" s="393">
        <f t="shared" si="136"/>
        <v>0</v>
      </c>
      <c r="D253" s="393" t="str">
        <f t="shared" si="137"/>
        <v xml:space="preserve">13 </v>
      </c>
      <c r="E253" s="959" t="s">
        <v>2290</v>
      </c>
      <c r="F253" s="959" t="s">
        <v>2291</v>
      </c>
      <c r="G253" s="959" t="s">
        <v>7</v>
      </c>
      <c r="H253" s="960">
        <v>1</v>
      </c>
      <c r="I253" s="978">
        <v>161262.70189999999</v>
      </c>
      <c r="J253" s="972">
        <v>161262.70000000001</v>
      </c>
      <c r="K253" s="367">
        <v>0</v>
      </c>
      <c r="L253" s="367">
        <f>IF($H253="",0,VLOOKUP($E253,Plan3!$A$16:$CT$384,$E$7,0)%)</f>
        <v>0</v>
      </c>
      <c r="M253" s="368">
        <f t="shared" si="155"/>
        <v>0</v>
      </c>
      <c r="N253" s="368">
        <f t="shared" si="156"/>
        <v>0</v>
      </c>
      <c r="O253" s="367">
        <v>0</v>
      </c>
      <c r="P253" s="367">
        <f>VLOOKUP($E253,Plan3!$A$492:$P$858,13,0)%</f>
        <v>0</v>
      </c>
      <c r="Q253" s="368">
        <f t="shared" si="157"/>
        <v>0</v>
      </c>
      <c r="R253" s="368">
        <f t="shared" si="158"/>
        <v>0</v>
      </c>
      <c r="S253" s="880">
        <v>163133.34732000003</v>
      </c>
      <c r="T253" s="880">
        <f t="shared" si="159"/>
        <v>0</v>
      </c>
      <c r="U253" s="880">
        <f>IF($I253="",0,($S253-$T253)*(1+('Econômico Macro'!$R$12/100)))</f>
        <v>165955.55422863606</v>
      </c>
      <c r="V253" s="880">
        <f t="shared" si="160"/>
        <v>165955.55422863606</v>
      </c>
      <c r="W253" s="880">
        <f t="shared" si="161"/>
        <v>0</v>
      </c>
      <c r="X253" s="367">
        <f t="shared" si="138"/>
        <v>0</v>
      </c>
      <c r="Y253" s="367">
        <f t="shared" si="139"/>
        <v>0</v>
      </c>
      <c r="Z253" s="367">
        <f t="shared" si="140"/>
        <v>0</v>
      </c>
      <c r="AA253" s="367">
        <f t="shared" si="141"/>
        <v>0</v>
      </c>
      <c r="AB253" s="369" t="str">
        <f t="shared" si="142"/>
        <v>Não Iniciada</v>
      </c>
      <c r="AC253" s="365"/>
      <c r="AD253" s="368">
        <v>1</v>
      </c>
      <c r="AE253" s="368">
        <f t="shared" si="162"/>
        <v>-1</v>
      </c>
      <c r="AF253" s="365"/>
      <c r="AG253" s="863">
        <f t="shared" si="152"/>
        <v>0</v>
      </c>
      <c r="AH253" s="864">
        <f t="shared" si="163"/>
        <v>0</v>
      </c>
      <c r="AI253" s="863">
        <f t="shared" si="153"/>
        <v>0</v>
      </c>
      <c r="AJ253" s="864">
        <f t="shared" si="164"/>
        <v>0</v>
      </c>
      <c r="AK253" s="365"/>
      <c r="AL253" s="865">
        <f t="shared" si="154"/>
        <v>0</v>
      </c>
      <c r="AM253" s="866">
        <f t="shared" si="165"/>
        <v>0</v>
      </c>
      <c r="AN253" s="866">
        <f t="shared" si="166"/>
        <v>0</v>
      </c>
      <c r="AO253" s="866">
        <f t="shared" si="167"/>
        <v>0</v>
      </c>
      <c r="AP253" s="867">
        <f t="shared" si="168"/>
        <v>0</v>
      </c>
      <c r="AQ253" s="591">
        <f t="shared" si="169"/>
        <v>0</v>
      </c>
      <c r="AR253" s="868">
        <f>IF(AND($L253=0,$P253=0)=TRUE,VLOOKUP($E253,Plan3!$A$16:$CT$487,$E$7+3,0)/100,0)</f>
        <v>0</v>
      </c>
      <c r="AS253" s="868">
        <f>IF(AND($L253=0,$P253=0)=TRUE,VLOOKUP($E253,Plan3!$A$16:$CT$487,$E$7+6,0)/100,0)</f>
        <v>0</v>
      </c>
      <c r="AT253" s="868">
        <f>IF(AND($L253=0,$P253=0)=TRUE,VLOOKUP($E253,Plan3!$A$16:$CT$487,$E$7+9,0)/100,0)</f>
        <v>0</v>
      </c>
      <c r="AU253" s="868">
        <f>IF(AND($L253=0,$P253=0)=TRUE,VLOOKUP($E253,Plan3!$A$16:$CT$487,$E$7+12,0)/100,0)</f>
        <v>0</v>
      </c>
      <c r="AV253" s="841"/>
      <c r="AW253" s="869">
        <f t="shared" si="170"/>
        <v>0</v>
      </c>
      <c r="AX253" s="870">
        <f t="shared" si="171"/>
        <v>0</v>
      </c>
      <c r="AY253" s="871">
        <f t="shared" si="172"/>
        <v>0</v>
      </c>
      <c r="AZ253" s="237" t="str">
        <f t="shared" si="143"/>
        <v xml:space="preserve">13.001.000.002 </v>
      </c>
      <c r="BA253" s="365"/>
      <c r="BB253" s="365"/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872">
        <f t="shared" si="144"/>
        <v>0</v>
      </c>
      <c r="BM253" s="873">
        <f t="shared" si="145"/>
        <v>0</v>
      </c>
      <c r="BN253" s="874">
        <f t="shared" si="173"/>
        <v>0</v>
      </c>
      <c r="BO253" s="875">
        <f t="shared" si="146"/>
        <v>0</v>
      </c>
      <c r="BP253" s="875">
        <f t="shared" si="147"/>
        <v>0</v>
      </c>
      <c r="BQ253" s="876">
        <f t="shared" si="174"/>
        <v>0</v>
      </c>
      <c r="BR253" s="877">
        <f t="shared" si="175"/>
        <v>0</v>
      </c>
      <c r="BS253" s="875">
        <f t="shared" si="148"/>
        <v>0</v>
      </c>
      <c r="BT253" s="875">
        <f t="shared" si="149"/>
        <v>0</v>
      </c>
      <c r="BU253" s="878">
        <f t="shared" si="176"/>
        <v>0</v>
      </c>
      <c r="CE253" s="486">
        <v>241</v>
      </c>
    </row>
    <row r="254" spans="1:83" s="177" customFormat="1" ht="21.95" customHeight="1" x14ac:dyDescent="0.2">
      <c r="A254" s="237">
        <f t="shared" si="150"/>
        <v>0</v>
      </c>
      <c r="B254" s="237">
        <f t="shared" si="151"/>
        <v>0</v>
      </c>
      <c r="C254" s="393" t="str">
        <f t="shared" si="136"/>
        <v xml:space="preserve">14 </v>
      </c>
      <c r="D254" s="393" t="str">
        <f t="shared" si="137"/>
        <v xml:space="preserve">14 </v>
      </c>
      <c r="E254" s="161" t="s">
        <v>141</v>
      </c>
      <c r="F254" s="161" t="s">
        <v>665</v>
      </c>
      <c r="G254" s="162"/>
      <c r="H254" s="162"/>
      <c r="I254" s="162"/>
      <c r="J254" s="163">
        <v>57592.480000000003</v>
      </c>
      <c r="K254" s="164">
        <v>0</v>
      </c>
      <c r="L254" s="164">
        <f t="array" ref="L254">SUM(IF($D255:$D$379=$E254,$L255:$L$379*$J255:$J$379))/$J254</f>
        <v>0</v>
      </c>
      <c r="M254" s="163"/>
      <c r="N254" s="163">
        <f>$L254*$J254</f>
        <v>0</v>
      </c>
      <c r="O254" s="164">
        <v>0</v>
      </c>
      <c r="P254" s="164">
        <f t="array" ref="P254">SUM(IF($D255:$D$379=$E254,$P255:$P$379*$J255:$J$379))/$J254</f>
        <v>0</v>
      </c>
      <c r="Q254" s="163">
        <f>$P254*$H254</f>
        <v>0</v>
      </c>
      <c r="R254" s="163">
        <f>$P254*$J254</f>
        <v>0</v>
      </c>
      <c r="S254" s="163">
        <v>58260.552768000009</v>
      </c>
      <c r="T254" s="163">
        <f>SUM(T255:T263)</f>
        <v>0</v>
      </c>
      <c r="U254" s="163"/>
      <c r="V254" s="163">
        <f t="shared" ref="V254:W254" si="180">SUM(V255:V263)</f>
        <v>59268.460330886417</v>
      </c>
      <c r="W254" s="163">
        <f t="shared" si="180"/>
        <v>0</v>
      </c>
      <c r="X254" s="164">
        <f t="shared" si="138"/>
        <v>0</v>
      </c>
      <c r="Y254" s="164">
        <f t="shared" si="139"/>
        <v>0</v>
      </c>
      <c r="Z254" s="164">
        <f t="shared" si="140"/>
        <v>0</v>
      </c>
      <c r="AA254" s="164">
        <f t="shared" si="141"/>
        <v>0</v>
      </c>
      <c r="AB254" s="201" t="str">
        <f t="shared" si="142"/>
        <v>Não Iniciada</v>
      </c>
      <c r="AC254" s="155" t="s">
        <v>763</v>
      </c>
      <c r="AD254" s="689">
        <v>0</v>
      </c>
      <c r="AE254" s="835">
        <f>Q254-AD254</f>
        <v>0</v>
      </c>
      <c r="AF254" s="155"/>
      <c r="AG254" s="207"/>
      <c r="AH254" s="208"/>
      <c r="AI254" s="207"/>
      <c r="AJ254" s="208"/>
      <c r="AK254" s="155"/>
      <c r="AL254" s="212"/>
      <c r="AM254" s="209"/>
      <c r="AN254" s="209"/>
      <c r="AO254" s="209"/>
      <c r="AP254" s="213"/>
      <c r="AQ254" s="401"/>
      <c r="AR254" s="247"/>
      <c r="AS254" s="247"/>
      <c r="AT254" s="247"/>
      <c r="AU254" s="247"/>
      <c r="AV254" s="155"/>
      <c r="AW254" s="250"/>
      <c r="AX254" s="248"/>
      <c r="AY254" s="402"/>
      <c r="AZ254" s="237" t="str">
        <f t="shared" si="143"/>
        <v xml:space="preserve">14 </v>
      </c>
      <c r="BA254" s="155"/>
      <c r="BB254" s="155"/>
      <c r="BC254" s="155"/>
      <c r="BD254" s="155"/>
      <c r="BE254" s="155"/>
      <c r="BF254" s="155"/>
      <c r="BG254" s="155"/>
      <c r="BH254" s="155"/>
      <c r="BI254" s="155"/>
      <c r="BJ254" s="155"/>
      <c r="BK254" s="155"/>
      <c r="BL254" s="666" t="str">
        <f t="shared" si="144"/>
        <v xml:space="preserve">14 </v>
      </c>
      <c r="BM254" s="667">
        <f t="shared" si="145"/>
        <v>0</v>
      </c>
      <c r="BN254" s="668">
        <f>IF($BQ254=0,0,RANK($BQ254,$BQ$12:$BQ$379))</f>
        <v>0</v>
      </c>
      <c r="BO254" s="669">
        <f t="shared" si="146"/>
        <v>0</v>
      </c>
      <c r="BP254" s="669">
        <f t="shared" si="147"/>
        <v>0</v>
      </c>
      <c r="BQ254" s="670">
        <f>IF($BP254=0,0,$BP254/$BP$380)</f>
        <v>0</v>
      </c>
      <c r="BR254" s="671">
        <f>IF($BU254=0,0,RANK($BU254,$BU$12:$BU$379))</f>
        <v>0</v>
      </c>
      <c r="BS254" s="669">
        <f t="shared" si="148"/>
        <v>0</v>
      </c>
      <c r="BT254" s="669">
        <f t="shared" si="149"/>
        <v>0</v>
      </c>
      <c r="BU254" s="672">
        <f>IF($BT254=0,0,$BT254/$BT$380)</f>
        <v>0</v>
      </c>
      <c r="CE254" s="486">
        <v>242</v>
      </c>
    </row>
    <row r="255" spans="1:83" s="177" customFormat="1" ht="21.95" customHeight="1" x14ac:dyDescent="0.2">
      <c r="A255" s="237">
        <f t="shared" si="150"/>
        <v>0</v>
      </c>
      <c r="B255" s="237">
        <f t="shared" si="151"/>
        <v>0</v>
      </c>
      <c r="C255" s="393">
        <f t="shared" si="136"/>
        <v>0</v>
      </c>
      <c r="D255" s="393" t="str">
        <f t="shared" si="137"/>
        <v xml:space="preserve">14 </v>
      </c>
      <c r="E255" s="959" t="s">
        <v>142</v>
      </c>
      <c r="F255" s="959" t="s">
        <v>237</v>
      </c>
      <c r="G255" s="959" t="s">
        <v>15</v>
      </c>
      <c r="H255" s="970">
        <v>88.09</v>
      </c>
      <c r="I255" s="965">
        <v>101.42100000000001</v>
      </c>
      <c r="J255" s="964">
        <v>8934.17</v>
      </c>
      <c r="K255" s="367">
        <v>0</v>
      </c>
      <c r="L255" s="367">
        <f>IF($H255="",0,VLOOKUP($E255,Plan3!$A$16:$CT$384,$E$7,0)%)</f>
        <v>0</v>
      </c>
      <c r="M255" s="368">
        <f t="shared" si="155"/>
        <v>0</v>
      </c>
      <c r="N255" s="368">
        <f t="shared" si="156"/>
        <v>0</v>
      </c>
      <c r="O255" s="367">
        <v>0</v>
      </c>
      <c r="P255" s="367">
        <f>VLOOKUP($E255,Plan3!$A$492:$P$858,13,0)%</f>
        <v>0</v>
      </c>
      <c r="Q255" s="368">
        <f t="shared" si="157"/>
        <v>0</v>
      </c>
      <c r="R255" s="368">
        <f t="shared" si="158"/>
        <v>0</v>
      </c>
      <c r="S255" s="880">
        <v>9037.8063720000009</v>
      </c>
      <c r="T255" s="880">
        <f t="shared" si="159"/>
        <v>0</v>
      </c>
      <c r="U255" s="880">
        <f>IF($I255="",0,($S255-$T255)*(1+('Econômico Macro'!$R$12/100)))</f>
        <v>9194.1604222356018</v>
      </c>
      <c r="V255" s="880">
        <f t="shared" si="160"/>
        <v>9194.1604222356018</v>
      </c>
      <c r="W255" s="880">
        <f t="shared" si="161"/>
        <v>0</v>
      </c>
      <c r="X255" s="367">
        <f t="shared" si="138"/>
        <v>0</v>
      </c>
      <c r="Y255" s="367">
        <f t="shared" si="139"/>
        <v>0</v>
      </c>
      <c r="Z255" s="367">
        <f t="shared" si="140"/>
        <v>0</v>
      </c>
      <c r="AA255" s="367">
        <f t="shared" si="141"/>
        <v>0</v>
      </c>
      <c r="AB255" s="369" t="str">
        <f t="shared" si="142"/>
        <v>Não Iniciada</v>
      </c>
      <c r="AC255" s="365"/>
      <c r="AD255" s="368">
        <v>1</v>
      </c>
      <c r="AE255" s="368">
        <f t="shared" si="162"/>
        <v>-1</v>
      </c>
      <c r="AF255" s="365"/>
      <c r="AG255" s="863">
        <f t="shared" si="152"/>
        <v>0</v>
      </c>
      <c r="AH255" s="864">
        <f t="shared" si="163"/>
        <v>0</v>
      </c>
      <c r="AI255" s="863">
        <f t="shared" si="153"/>
        <v>0</v>
      </c>
      <c r="AJ255" s="864">
        <f t="shared" si="164"/>
        <v>0</v>
      </c>
      <c r="AK255" s="365"/>
      <c r="AL255" s="865">
        <f t="shared" si="154"/>
        <v>0</v>
      </c>
      <c r="AM255" s="866">
        <f t="shared" si="165"/>
        <v>0</v>
      </c>
      <c r="AN255" s="866">
        <f t="shared" si="166"/>
        <v>0</v>
      </c>
      <c r="AO255" s="866">
        <f t="shared" si="167"/>
        <v>0</v>
      </c>
      <c r="AP255" s="867">
        <f t="shared" si="168"/>
        <v>0</v>
      </c>
      <c r="AQ255" s="591">
        <f t="shared" si="169"/>
        <v>0</v>
      </c>
      <c r="AR255" s="868">
        <f>IF(AND($L255=0,$P255=0)=TRUE,VLOOKUP($E255,Plan3!$A$16:$CT$487,$E$7+3,0)/100,0)</f>
        <v>0</v>
      </c>
      <c r="AS255" s="868">
        <f>IF(AND($L255=0,$P255=0)=TRUE,VLOOKUP($E255,Plan3!$A$16:$CT$487,$E$7+6,0)/100,0)</f>
        <v>0</v>
      </c>
      <c r="AT255" s="868">
        <f>IF(AND($L255=0,$P255=0)=TRUE,VLOOKUP($E255,Plan3!$A$16:$CT$487,$E$7+9,0)/100,0)</f>
        <v>0</v>
      </c>
      <c r="AU255" s="868">
        <f>IF(AND($L255=0,$P255=0)=TRUE,VLOOKUP($E255,Plan3!$A$16:$CT$487,$E$7+12,0)/100,0)</f>
        <v>0</v>
      </c>
      <c r="AV255" s="841"/>
      <c r="AW255" s="869">
        <f t="shared" si="170"/>
        <v>0</v>
      </c>
      <c r="AX255" s="870">
        <f t="shared" si="171"/>
        <v>0</v>
      </c>
      <c r="AY255" s="871">
        <f t="shared" si="172"/>
        <v>0</v>
      </c>
      <c r="AZ255" s="237" t="str">
        <f t="shared" si="143"/>
        <v xml:space="preserve">14.000.000.001 </v>
      </c>
      <c r="BA255" s="365"/>
      <c r="BB255" s="365"/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872">
        <f t="shared" si="144"/>
        <v>0</v>
      </c>
      <c r="BM255" s="873">
        <f t="shared" si="145"/>
        <v>0</v>
      </c>
      <c r="BN255" s="874">
        <f t="shared" si="173"/>
        <v>0</v>
      </c>
      <c r="BO255" s="875">
        <f t="shared" si="146"/>
        <v>0</v>
      </c>
      <c r="BP255" s="875">
        <f t="shared" si="147"/>
        <v>0</v>
      </c>
      <c r="BQ255" s="876">
        <f t="shared" si="174"/>
        <v>0</v>
      </c>
      <c r="BR255" s="877">
        <f t="shared" si="175"/>
        <v>0</v>
      </c>
      <c r="BS255" s="875">
        <f t="shared" si="148"/>
        <v>0</v>
      </c>
      <c r="BT255" s="875">
        <f t="shared" si="149"/>
        <v>0</v>
      </c>
      <c r="BU255" s="878">
        <f t="shared" si="176"/>
        <v>0</v>
      </c>
      <c r="CE255" s="486">
        <v>243</v>
      </c>
    </row>
    <row r="256" spans="1:83" s="177" customFormat="1" ht="21.95" customHeight="1" x14ac:dyDescent="0.2">
      <c r="A256" s="237">
        <f t="shared" si="150"/>
        <v>0</v>
      </c>
      <c r="B256" s="237">
        <f t="shared" si="151"/>
        <v>0</v>
      </c>
      <c r="C256" s="393">
        <f t="shared" si="136"/>
        <v>0</v>
      </c>
      <c r="D256" s="393" t="str">
        <f t="shared" si="137"/>
        <v xml:space="preserve">14 </v>
      </c>
      <c r="E256" s="959" t="s">
        <v>143</v>
      </c>
      <c r="F256" s="959" t="s">
        <v>495</v>
      </c>
      <c r="G256" s="959" t="s">
        <v>15</v>
      </c>
      <c r="H256" s="970">
        <v>10</v>
      </c>
      <c r="I256" s="965">
        <v>179.0121</v>
      </c>
      <c r="J256" s="964">
        <v>1790.12</v>
      </c>
      <c r="K256" s="367">
        <v>0</v>
      </c>
      <c r="L256" s="367">
        <f>IF($H256="",0,VLOOKUP($E256,Plan3!$A$16:$CT$384,$E$7,0)%)</f>
        <v>0</v>
      </c>
      <c r="M256" s="368">
        <f t="shared" si="155"/>
        <v>0</v>
      </c>
      <c r="N256" s="368">
        <f t="shared" si="156"/>
        <v>0</v>
      </c>
      <c r="O256" s="367">
        <v>0</v>
      </c>
      <c r="P256" s="367">
        <f>VLOOKUP($E256,Plan3!$A$492:$P$858,13,0)%</f>
        <v>0</v>
      </c>
      <c r="Q256" s="368">
        <f t="shared" si="157"/>
        <v>0</v>
      </c>
      <c r="R256" s="368">
        <f t="shared" si="158"/>
        <v>0</v>
      </c>
      <c r="S256" s="880">
        <v>1810.8853919999999</v>
      </c>
      <c r="T256" s="880">
        <f t="shared" si="159"/>
        <v>0</v>
      </c>
      <c r="U256" s="880">
        <f>IF($I256="",0,($S256-$T256)*(1+('Econômico Macro'!$R$12/100)))</f>
        <v>1842.2137092816001</v>
      </c>
      <c r="V256" s="880">
        <f t="shared" si="160"/>
        <v>1842.2137092816001</v>
      </c>
      <c r="W256" s="880">
        <f t="shared" si="161"/>
        <v>0</v>
      </c>
      <c r="X256" s="367">
        <f t="shared" si="138"/>
        <v>0</v>
      </c>
      <c r="Y256" s="367">
        <f t="shared" si="139"/>
        <v>0</v>
      </c>
      <c r="Z256" s="367">
        <f t="shared" si="140"/>
        <v>0</v>
      </c>
      <c r="AA256" s="367">
        <f t="shared" si="141"/>
        <v>0</v>
      </c>
      <c r="AB256" s="369" t="str">
        <f t="shared" si="142"/>
        <v>Não Iniciada</v>
      </c>
      <c r="AC256" s="365"/>
      <c r="AD256" s="368">
        <v>1</v>
      </c>
      <c r="AE256" s="368">
        <f t="shared" si="162"/>
        <v>-1</v>
      </c>
      <c r="AF256" s="365"/>
      <c r="AG256" s="863">
        <f t="shared" si="152"/>
        <v>0</v>
      </c>
      <c r="AH256" s="864">
        <f t="shared" si="163"/>
        <v>0</v>
      </c>
      <c r="AI256" s="863">
        <f t="shared" si="153"/>
        <v>0</v>
      </c>
      <c r="AJ256" s="864">
        <f t="shared" si="164"/>
        <v>0</v>
      </c>
      <c r="AK256" s="365"/>
      <c r="AL256" s="865">
        <f t="shared" si="154"/>
        <v>0</v>
      </c>
      <c r="AM256" s="866">
        <f t="shared" si="165"/>
        <v>0</v>
      </c>
      <c r="AN256" s="866">
        <f t="shared" si="166"/>
        <v>0</v>
      </c>
      <c r="AO256" s="866">
        <f t="shared" si="167"/>
        <v>0</v>
      </c>
      <c r="AP256" s="867">
        <f t="shared" si="168"/>
        <v>0</v>
      </c>
      <c r="AQ256" s="591">
        <f t="shared" si="169"/>
        <v>11</v>
      </c>
      <c r="AR256" s="868">
        <f>IF(AND($L256=0,$P256=0)=TRUE,VLOOKUP($E256,Plan3!$A$16:$CT$487,$E$7+3,0)/100,0)</f>
        <v>0</v>
      </c>
      <c r="AS256" s="868">
        <f>IF(AND($L256=0,$P256=0)=TRUE,VLOOKUP($E256,Plan3!$A$16:$CT$487,$E$7+6,0)/100,0)</f>
        <v>0</v>
      </c>
      <c r="AT256" s="868">
        <f>IF(AND($L256=0,$P256=0)=TRUE,VLOOKUP($E256,Plan3!$A$16:$CT$487,$E$7+9,0)/100,0)</f>
        <v>1</v>
      </c>
      <c r="AU256" s="868">
        <f>IF(AND($L256=0,$P256=0)=TRUE,VLOOKUP($E256,Plan3!$A$16:$CT$487,$E$7+12,0)/100,0)</f>
        <v>1</v>
      </c>
      <c r="AV256" s="841"/>
      <c r="AW256" s="869">
        <f t="shared" si="170"/>
        <v>1790.12</v>
      </c>
      <c r="AX256" s="870">
        <f t="shared" si="171"/>
        <v>3.2650059633892209E-3</v>
      </c>
      <c r="AY256" s="871">
        <f t="shared" si="172"/>
        <v>11</v>
      </c>
      <c r="AZ256" s="237" t="str">
        <f t="shared" si="143"/>
        <v xml:space="preserve">14.000.000.002 </v>
      </c>
      <c r="BA256" s="365"/>
      <c r="BB256" s="365"/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872">
        <f t="shared" si="144"/>
        <v>0</v>
      </c>
      <c r="BM256" s="873">
        <f t="shared" si="145"/>
        <v>0</v>
      </c>
      <c r="BN256" s="874">
        <f t="shared" si="173"/>
        <v>0</v>
      </c>
      <c r="BO256" s="875">
        <f t="shared" si="146"/>
        <v>0</v>
      </c>
      <c r="BP256" s="875">
        <f t="shared" si="147"/>
        <v>0</v>
      </c>
      <c r="BQ256" s="876">
        <f t="shared" si="174"/>
        <v>0</v>
      </c>
      <c r="BR256" s="877">
        <f t="shared" si="175"/>
        <v>0</v>
      </c>
      <c r="BS256" s="875">
        <f t="shared" si="148"/>
        <v>0</v>
      </c>
      <c r="BT256" s="875">
        <f t="shared" si="149"/>
        <v>0</v>
      </c>
      <c r="BU256" s="878">
        <f t="shared" si="176"/>
        <v>0</v>
      </c>
      <c r="CE256" s="486">
        <v>244</v>
      </c>
    </row>
    <row r="257" spans="1:83" s="177" customFormat="1" ht="21.95" customHeight="1" x14ac:dyDescent="0.2">
      <c r="A257" s="237">
        <f t="shared" si="150"/>
        <v>0</v>
      </c>
      <c r="B257" s="237">
        <f t="shared" si="151"/>
        <v>0</v>
      </c>
      <c r="C257" s="393">
        <f t="shared" si="136"/>
        <v>0</v>
      </c>
      <c r="D257" s="393" t="str">
        <f t="shared" si="137"/>
        <v xml:space="preserve">14 </v>
      </c>
      <c r="E257" s="959" t="s">
        <v>144</v>
      </c>
      <c r="F257" s="959" t="s">
        <v>788</v>
      </c>
      <c r="G257" s="959" t="s">
        <v>8</v>
      </c>
      <c r="H257" s="960">
        <v>4</v>
      </c>
      <c r="I257" s="965">
        <v>258.02420000000001</v>
      </c>
      <c r="J257" s="964">
        <v>1032.0999999999999</v>
      </c>
      <c r="K257" s="367">
        <v>0</v>
      </c>
      <c r="L257" s="367">
        <f>IF($H257="",0,VLOOKUP($E257,Plan3!$A$16:$CT$384,$E$7,0)%)</f>
        <v>0</v>
      </c>
      <c r="M257" s="368">
        <f t="shared" si="155"/>
        <v>0</v>
      </c>
      <c r="N257" s="368">
        <f t="shared" si="156"/>
        <v>0</v>
      </c>
      <c r="O257" s="367">
        <v>0</v>
      </c>
      <c r="P257" s="367">
        <f>VLOOKUP($E257,Plan3!$A$492:$P$858,13,0)%</f>
        <v>0</v>
      </c>
      <c r="Q257" s="368">
        <f t="shared" si="157"/>
        <v>0</v>
      </c>
      <c r="R257" s="368">
        <f t="shared" si="158"/>
        <v>0</v>
      </c>
      <c r="S257" s="880">
        <v>1044.0723599999999</v>
      </c>
      <c r="T257" s="880">
        <f t="shared" si="159"/>
        <v>0</v>
      </c>
      <c r="U257" s="880">
        <f>IF($I257="",0,($S257-$T257)*(1+('Econômico Macro'!$R$12/100)))</f>
        <v>1062.134811828</v>
      </c>
      <c r="V257" s="880">
        <f t="shared" si="160"/>
        <v>1062.134811828</v>
      </c>
      <c r="W257" s="880">
        <f t="shared" si="161"/>
        <v>0</v>
      </c>
      <c r="X257" s="367">
        <f t="shared" si="138"/>
        <v>0</v>
      </c>
      <c r="Y257" s="367">
        <f t="shared" si="139"/>
        <v>0</v>
      </c>
      <c r="Z257" s="367">
        <f t="shared" si="140"/>
        <v>0</v>
      </c>
      <c r="AA257" s="367">
        <f t="shared" si="141"/>
        <v>0</v>
      </c>
      <c r="AB257" s="369" t="str">
        <f t="shared" si="142"/>
        <v>Não Iniciada</v>
      </c>
      <c r="AC257" s="365"/>
      <c r="AD257" s="368">
        <v>1</v>
      </c>
      <c r="AE257" s="368">
        <f t="shared" si="162"/>
        <v>-1</v>
      </c>
      <c r="AF257" s="365"/>
      <c r="AG257" s="863">
        <f t="shared" si="152"/>
        <v>0</v>
      </c>
      <c r="AH257" s="864">
        <f t="shared" si="163"/>
        <v>0</v>
      </c>
      <c r="AI257" s="863">
        <f t="shared" si="153"/>
        <v>0</v>
      </c>
      <c r="AJ257" s="864">
        <f t="shared" si="164"/>
        <v>0</v>
      </c>
      <c r="AK257" s="365"/>
      <c r="AL257" s="865">
        <f t="shared" si="154"/>
        <v>0</v>
      </c>
      <c r="AM257" s="866">
        <f t="shared" si="165"/>
        <v>0</v>
      </c>
      <c r="AN257" s="866">
        <f t="shared" si="166"/>
        <v>0</v>
      </c>
      <c r="AO257" s="866">
        <f t="shared" si="167"/>
        <v>0</v>
      </c>
      <c r="AP257" s="867">
        <f t="shared" si="168"/>
        <v>0</v>
      </c>
      <c r="AQ257" s="591">
        <f t="shared" si="169"/>
        <v>12</v>
      </c>
      <c r="AR257" s="868">
        <f>IF(AND($L257=0,$P257=0)=TRUE,VLOOKUP($E257,Plan3!$A$16:$CT$487,$E$7+3,0)/100,0)</f>
        <v>0</v>
      </c>
      <c r="AS257" s="868">
        <f>IF(AND($L257=0,$P257=0)=TRUE,VLOOKUP($E257,Plan3!$A$16:$CT$487,$E$7+6,0)/100,0)</f>
        <v>0</v>
      </c>
      <c r="AT257" s="868">
        <f>IF(AND($L257=0,$P257=0)=TRUE,VLOOKUP($E257,Plan3!$A$16:$CT$487,$E$7+9,0)/100,0)</f>
        <v>1</v>
      </c>
      <c r="AU257" s="868">
        <f>IF(AND($L257=0,$P257=0)=TRUE,VLOOKUP($E257,Plan3!$A$16:$CT$487,$E$7+12,0)/100,0)</f>
        <v>1</v>
      </c>
      <c r="AV257" s="841"/>
      <c r="AW257" s="869">
        <f t="shared" si="170"/>
        <v>1032.0999999999999</v>
      </c>
      <c r="AX257" s="870">
        <f t="shared" si="171"/>
        <v>1.8824507043181547E-3</v>
      </c>
      <c r="AY257" s="871">
        <f t="shared" si="172"/>
        <v>12</v>
      </c>
      <c r="AZ257" s="237" t="str">
        <f t="shared" si="143"/>
        <v xml:space="preserve">14.000.000.003 </v>
      </c>
      <c r="BA257" s="365"/>
      <c r="BB257" s="365"/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872">
        <f t="shared" si="144"/>
        <v>0</v>
      </c>
      <c r="BM257" s="873">
        <f t="shared" si="145"/>
        <v>0</v>
      </c>
      <c r="BN257" s="874">
        <f t="shared" si="173"/>
        <v>0</v>
      </c>
      <c r="BO257" s="875">
        <f t="shared" si="146"/>
        <v>0</v>
      </c>
      <c r="BP257" s="875">
        <f t="shared" si="147"/>
        <v>0</v>
      </c>
      <c r="BQ257" s="876">
        <f t="shared" si="174"/>
        <v>0</v>
      </c>
      <c r="BR257" s="877">
        <f t="shared" si="175"/>
        <v>0</v>
      </c>
      <c r="BS257" s="875">
        <f t="shared" si="148"/>
        <v>0</v>
      </c>
      <c r="BT257" s="875">
        <f t="shared" si="149"/>
        <v>0</v>
      </c>
      <c r="BU257" s="878">
        <f t="shared" si="176"/>
        <v>0</v>
      </c>
      <c r="CE257" s="486">
        <v>245</v>
      </c>
    </row>
    <row r="258" spans="1:83" s="177" customFormat="1" ht="21.95" customHeight="1" x14ac:dyDescent="0.2">
      <c r="A258" s="237">
        <f t="shared" si="150"/>
        <v>0</v>
      </c>
      <c r="B258" s="237">
        <f t="shared" si="151"/>
        <v>0</v>
      </c>
      <c r="C258" s="393">
        <f t="shared" si="136"/>
        <v>0</v>
      </c>
      <c r="D258" s="393" t="str">
        <f t="shared" si="137"/>
        <v xml:space="preserve">14 </v>
      </c>
      <c r="E258" s="959" t="s">
        <v>666</v>
      </c>
      <c r="F258" s="959" t="s">
        <v>1492</v>
      </c>
      <c r="G258" s="959" t="s">
        <v>8</v>
      </c>
      <c r="H258" s="970">
        <v>15</v>
      </c>
      <c r="I258" s="965">
        <v>740</v>
      </c>
      <c r="J258" s="962">
        <v>11100</v>
      </c>
      <c r="K258" s="367">
        <v>0</v>
      </c>
      <c r="L258" s="367">
        <f>IF($H258="",0,VLOOKUP($E258,Plan3!$A$16:$CT$384,$E$7,0)%)</f>
        <v>0</v>
      </c>
      <c r="M258" s="368">
        <f t="shared" si="155"/>
        <v>0</v>
      </c>
      <c r="N258" s="368">
        <f t="shared" si="156"/>
        <v>0</v>
      </c>
      <c r="O258" s="367">
        <v>0</v>
      </c>
      <c r="P258" s="367">
        <f>VLOOKUP($E258,Plan3!$A$492:$P$858,13,0)%</f>
        <v>0</v>
      </c>
      <c r="Q258" s="368">
        <f t="shared" si="157"/>
        <v>0</v>
      </c>
      <c r="R258" s="368">
        <f t="shared" si="158"/>
        <v>0</v>
      </c>
      <c r="S258" s="880">
        <v>11228.76</v>
      </c>
      <c r="T258" s="880">
        <f t="shared" si="159"/>
        <v>0</v>
      </c>
      <c r="U258" s="880">
        <f>IF($I258="",0,($S258-$T258)*(1+('Econômico Macro'!$R$12/100)))</f>
        <v>11423.017548000002</v>
      </c>
      <c r="V258" s="880">
        <f t="shared" si="160"/>
        <v>11423.017548000002</v>
      </c>
      <c r="W258" s="880">
        <f t="shared" si="161"/>
        <v>0</v>
      </c>
      <c r="X258" s="367">
        <f t="shared" si="138"/>
        <v>0</v>
      </c>
      <c r="Y258" s="367">
        <f t="shared" si="139"/>
        <v>0</v>
      </c>
      <c r="Z258" s="367">
        <f t="shared" si="140"/>
        <v>0</v>
      </c>
      <c r="AA258" s="367">
        <f t="shared" si="141"/>
        <v>0</v>
      </c>
      <c r="AB258" s="369" t="str">
        <f t="shared" si="142"/>
        <v>Não Iniciada</v>
      </c>
      <c r="AC258" s="365"/>
      <c r="AD258" s="368">
        <v>1</v>
      </c>
      <c r="AE258" s="368">
        <f t="shared" si="162"/>
        <v>-1</v>
      </c>
      <c r="AF258" s="365"/>
      <c r="AG258" s="863">
        <f t="shared" si="152"/>
        <v>0</v>
      </c>
      <c r="AH258" s="864">
        <f t="shared" si="163"/>
        <v>0</v>
      </c>
      <c r="AI258" s="863">
        <f t="shared" si="153"/>
        <v>0</v>
      </c>
      <c r="AJ258" s="864">
        <f t="shared" si="164"/>
        <v>0</v>
      </c>
      <c r="AK258" s="365"/>
      <c r="AL258" s="865">
        <f t="shared" si="154"/>
        <v>0</v>
      </c>
      <c r="AM258" s="866">
        <f t="shared" si="165"/>
        <v>0</v>
      </c>
      <c r="AN258" s="866">
        <f t="shared" si="166"/>
        <v>0</v>
      </c>
      <c r="AO258" s="866">
        <f t="shared" si="167"/>
        <v>0</v>
      </c>
      <c r="AP258" s="867">
        <f t="shared" si="168"/>
        <v>0</v>
      </c>
      <c r="AQ258" s="591">
        <f t="shared" si="169"/>
        <v>0</v>
      </c>
      <c r="AR258" s="868">
        <f>IF(AND($L258=0,$P258=0)=TRUE,VLOOKUP($E258,Plan3!$A$16:$CT$487,$E$7+3,0)/100,0)</f>
        <v>0</v>
      </c>
      <c r="AS258" s="868">
        <f>IF(AND($L258=0,$P258=0)=TRUE,VLOOKUP($E258,Plan3!$A$16:$CT$487,$E$7+6,0)/100,0)</f>
        <v>0</v>
      </c>
      <c r="AT258" s="868">
        <f>IF(AND($L258=0,$P258=0)=TRUE,VLOOKUP($E258,Plan3!$A$16:$CT$487,$E$7+9,0)/100,0)</f>
        <v>0</v>
      </c>
      <c r="AU258" s="868">
        <f>IF(AND($L258=0,$P258=0)=TRUE,VLOOKUP($E258,Plan3!$A$16:$CT$487,$E$7+12,0)/100,0)</f>
        <v>0</v>
      </c>
      <c r="AV258" s="841"/>
      <c r="AW258" s="869">
        <f t="shared" si="170"/>
        <v>0</v>
      </c>
      <c r="AX258" s="870">
        <f t="shared" si="171"/>
        <v>0</v>
      </c>
      <c r="AY258" s="871">
        <f t="shared" si="172"/>
        <v>0</v>
      </c>
      <c r="AZ258" s="237" t="str">
        <f t="shared" si="143"/>
        <v xml:space="preserve">14.000.000.004 </v>
      </c>
      <c r="BA258" s="365"/>
      <c r="BB258" s="365"/>
      <c r="BC258" s="365"/>
      <c r="BD258" s="365"/>
      <c r="BE258" s="365"/>
      <c r="BF258" s="365"/>
      <c r="BG258" s="365"/>
      <c r="BH258" s="365"/>
      <c r="BI258" s="365"/>
      <c r="BJ258" s="365"/>
      <c r="BK258" s="365"/>
      <c r="BL258" s="872">
        <f t="shared" si="144"/>
        <v>0</v>
      </c>
      <c r="BM258" s="873">
        <f t="shared" si="145"/>
        <v>0</v>
      </c>
      <c r="BN258" s="874">
        <f t="shared" si="173"/>
        <v>0</v>
      </c>
      <c r="BO258" s="875">
        <f t="shared" si="146"/>
        <v>0</v>
      </c>
      <c r="BP258" s="875">
        <f t="shared" si="147"/>
        <v>0</v>
      </c>
      <c r="BQ258" s="876">
        <f t="shared" si="174"/>
        <v>0</v>
      </c>
      <c r="BR258" s="877">
        <f t="shared" si="175"/>
        <v>0</v>
      </c>
      <c r="BS258" s="875">
        <f t="shared" si="148"/>
        <v>0</v>
      </c>
      <c r="BT258" s="875">
        <f t="shared" si="149"/>
        <v>0</v>
      </c>
      <c r="BU258" s="878">
        <f t="shared" si="176"/>
        <v>0</v>
      </c>
      <c r="CE258" s="486">
        <v>246</v>
      </c>
    </row>
    <row r="259" spans="1:83" s="177" customFormat="1" ht="21.95" customHeight="1" x14ac:dyDescent="0.2">
      <c r="A259" s="237">
        <f t="shared" si="150"/>
        <v>0</v>
      </c>
      <c r="B259" s="237">
        <f t="shared" si="151"/>
        <v>0</v>
      </c>
      <c r="C259" s="393">
        <f t="shared" si="136"/>
        <v>0</v>
      </c>
      <c r="D259" s="393" t="str">
        <f t="shared" si="137"/>
        <v xml:space="preserve">14 </v>
      </c>
      <c r="E259" s="959" t="s">
        <v>667</v>
      </c>
      <c r="F259" s="959" t="s">
        <v>2292</v>
      </c>
      <c r="G259" s="959" t="s">
        <v>90</v>
      </c>
      <c r="H259" s="970">
        <v>38.090000000000003</v>
      </c>
      <c r="I259" s="965">
        <v>325.12099999999998</v>
      </c>
      <c r="J259" s="962">
        <v>12383.85</v>
      </c>
      <c r="K259" s="367">
        <v>0</v>
      </c>
      <c r="L259" s="367">
        <f>IF($H259="",0,VLOOKUP($E259,Plan3!$A$16:$CT$384,$E$7,0)%)</f>
        <v>0</v>
      </c>
      <c r="M259" s="368">
        <f t="shared" si="155"/>
        <v>0</v>
      </c>
      <c r="N259" s="368">
        <f t="shared" si="156"/>
        <v>0</v>
      </c>
      <c r="O259" s="367">
        <v>0</v>
      </c>
      <c r="P259" s="367">
        <f>VLOOKUP($E259,Plan3!$A$492:$P$858,13,0)%</f>
        <v>0</v>
      </c>
      <c r="Q259" s="368">
        <f t="shared" si="157"/>
        <v>0</v>
      </c>
      <c r="R259" s="368">
        <f t="shared" si="158"/>
        <v>0</v>
      </c>
      <c r="S259" s="880">
        <v>12527.502660000002</v>
      </c>
      <c r="T259" s="880">
        <f t="shared" si="159"/>
        <v>0</v>
      </c>
      <c r="U259" s="880">
        <f>IF($I259="",0,($S259-$T259)*(1+('Econômico Macro'!$R$12/100)))</f>
        <v>12744.228456018003</v>
      </c>
      <c r="V259" s="880">
        <f t="shared" si="160"/>
        <v>12744.228456018003</v>
      </c>
      <c r="W259" s="880">
        <f t="shared" si="161"/>
        <v>0</v>
      </c>
      <c r="X259" s="367">
        <f t="shared" si="138"/>
        <v>0</v>
      </c>
      <c r="Y259" s="367">
        <f t="shared" si="139"/>
        <v>0</v>
      </c>
      <c r="Z259" s="367">
        <f t="shared" si="140"/>
        <v>0</v>
      </c>
      <c r="AA259" s="367">
        <f t="shared" si="141"/>
        <v>0</v>
      </c>
      <c r="AB259" s="369" t="str">
        <f t="shared" si="142"/>
        <v>Não Iniciada</v>
      </c>
      <c r="AC259" s="365"/>
      <c r="AD259" s="368">
        <v>1</v>
      </c>
      <c r="AE259" s="368">
        <f t="shared" si="162"/>
        <v>-1</v>
      </c>
      <c r="AF259" s="365"/>
      <c r="AG259" s="863">
        <f t="shared" si="152"/>
        <v>0</v>
      </c>
      <c r="AH259" s="864">
        <f t="shared" si="163"/>
        <v>0</v>
      </c>
      <c r="AI259" s="863">
        <f t="shared" si="153"/>
        <v>0</v>
      </c>
      <c r="AJ259" s="864">
        <f t="shared" si="164"/>
        <v>0</v>
      </c>
      <c r="AK259" s="365"/>
      <c r="AL259" s="865">
        <f t="shared" si="154"/>
        <v>0</v>
      </c>
      <c r="AM259" s="866">
        <f t="shared" si="165"/>
        <v>0</v>
      </c>
      <c r="AN259" s="866">
        <f t="shared" si="166"/>
        <v>0</v>
      </c>
      <c r="AO259" s="866">
        <f t="shared" si="167"/>
        <v>0</v>
      </c>
      <c r="AP259" s="867">
        <f t="shared" si="168"/>
        <v>0</v>
      </c>
      <c r="AQ259" s="591">
        <f t="shared" si="169"/>
        <v>0</v>
      </c>
      <c r="AR259" s="868">
        <f>IF(AND($L259=0,$P259=0)=TRUE,VLOOKUP($E259,Plan3!$A$16:$CT$487,$E$7+3,0)/100,0)</f>
        <v>0</v>
      </c>
      <c r="AS259" s="868">
        <f>IF(AND($L259=0,$P259=0)=TRUE,VLOOKUP($E259,Plan3!$A$16:$CT$487,$E$7+6,0)/100,0)</f>
        <v>0</v>
      </c>
      <c r="AT259" s="868">
        <f>IF(AND($L259=0,$P259=0)=TRUE,VLOOKUP($E259,Plan3!$A$16:$CT$487,$E$7+9,0)/100,0)</f>
        <v>0</v>
      </c>
      <c r="AU259" s="868">
        <f>IF(AND($L259=0,$P259=0)=TRUE,VLOOKUP($E259,Plan3!$A$16:$CT$487,$E$7+12,0)/100,0)</f>
        <v>0</v>
      </c>
      <c r="AV259" s="841"/>
      <c r="AW259" s="869">
        <f t="shared" si="170"/>
        <v>0</v>
      </c>
      <c r="AX259" s="870">
        <f t="shared" si="171"/>
        <v>0</v>
      </c>
      <c r="AY259" s="871">
        <f t="shared" si="172"/>
        <v>0</v>
      </c>
      <c r="AZ259" s="237" t="str">
        <f t="shared" si="143"/>
        <v xml:space="preserve">14.000.000.005 </v>
      </c>
      <c r="BA259" s="365"/>
      <c r="BB259" s="365"/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872">
        <f t="shared" si="144"/>
        <v>0</v>
      </c>
      <c r="BM259" s="873">
        <f t="shared" si="145"/>
        <v>0</v>
      </c>
      <c r="BN259" s="874">
        <f t="shared" si="173"/>
        <v>0</v>
      </c>
      <c r="BO259" s="875">
        <f t="shared" si="146"/>
        <v>0</v>
      </c>
      <c r="BP259" s="875">
        <f t="shared" si="147"/>
        <v>0</v>
      </c>
      <c r="BQ259" s="876">
        <f t="shared" si="174"/>
        <v>0</v>
      </c>
      <c r="BR259" s="877">
        <f t="shared" si="175"/>
        <v>0</v>
      </c>
      <c r="BS259" s="875">
        <f t="shared" si="148"/>
        <v>0</v>
      </c>
      <c r="BT259" s="875">
        <f t="shared" si="149"/>
        <v>0</v>
      </c>
      <c r="BU259" s="878">
        <f t="shared" si="176"/>
        <v>0</v>
      </c>
      <c r="CE259" s="486">
        <v>247</v>
      </c>
    </row>
    <row r="260" spans="1:83" s="177" customFormat="1" ht="21.95" customHeight="1" x14ac:dyDescent="0.2">
      <c r="A260" s="237">
        <f t="shared" si="150"/>
        <v>0</v>
      </c>
      <c r="B260" s="237">
        <f t="shared" si="151"/>
        <v>0</v>
      </c>
      <c r="C260" s="393">
        <f t="shared" si="136"/>
        <v>0</v>
      </c>
      <c r="D260" s="393" t="str">
        <f t="shared" si="137"/>
        <v xml:space="preserve">14 </v>
      </c>
      <c r="E260" s="959" t="s">
        <v>668</v>
      </c>
      <c r="F260" s="959" t="s">
        <v>2293</v>
      </c>
      <c r="G260" s="959" t="s">
        <v>15</v>
      </c>
      <c r="H260" s="960">
        <v>7.32</v>
      </c>
      <c r="I260" s="965">
        <v>450</v>
      </c>
      <c r="J260" s="964">
        <v>3294</v>
      </c>
      <c r="K260" s="367">
        <v>0</v>
      </c>
      <c r="L260" s="367">
        <f>IF($H260="",0,VLOOKUP($E260,Plan3!$A$16:$CT$384,$E$7,0)%)</f>
        <v>0</v>
      </c>
      <c r="M260" s="368">
        <f t="shared" si="155"/>
        <v>0</v>
      </c>
      <c r="N260" s="368">
        <f t="shared" si="156"/>
        <v>0</v>
      </c>
      <c r="O260" s="367">
        <v>0</v>
      </c>
      <c r="P260" s="367">
        <f>VLOOKUP($E260,Plan3!$A$492:$P$858,13,0)%</f>
        <v>0</v>
      </c>
      <c r="Q260" s="368">
        <f t="shared" si="157"/>
        <v>0</v>
      </c>
      <c r="R260" s="368">
        <f t="shared" si="158"/>
        <v>0</v>
      </c>
      <c r="S260" s="880">
        <v>3332.2104000000004</v>
      </c>
      <c r="T260" s="880">
        <f t="shared" si="159"/>
        <v>0</v>
      </c>
      <c r="U260" s="880">
        <f>IF($I260="",0,($S260-$T260)*(1+('Econômico Macro'!$R$12/100)))</f>
        <v>3389.8576399200006</v>
      </c>
      <c r="V260" s="880">
        <f t="shared" si="160"/>
        <v>3389.8576399200006</v>
      </c>
      <c r="W260" s="880">
        <f t="shared" si="161"/>
        <v>0</v>
      </c>
      <c r="X260" s="367">
        <f t="shared" si="138"/>
        <v>0</v>
      </c>
      <c r="Y260" s="367">
        <f t="shared" si="139"/>
        <v>0</v>
      </c>
      <c r="Z260" s="367">
        <f t="shared" si="140"/>
        <v>0</v>
      </c>
      <c r="AA260" s="367">
        <f t="shared" si="141"/>
        <v>0</v>
      </c>
      <c r="AB260" s="369" t="str">
        <f t="shared" si="142"/>
        <v>Não Iniciada</v>
      </c>
      <c r="AC260" s="365"/>
      <c r="AD260" s="368">
        <v>1</v>
      </c>
      <c r="AE260" s="368">
        <f t="shared" si="162"/>
        <v>-1</v>
      </c>
      <c r="AF260" s="365"/>
      <c r="AG260" s="863">
        <f t="shared" si="152"/>
        <v>0</v>
      </c>
      <c r="AH260" s="864">
        <f t="shared" si="163"/>
        <v>0</v>
      </c>
      <c r="AI260" s="863">
        <f t="shared" si="153"/>
        <v>0</v>
      </c>
      <c r="AJ260" s="864">
        <f t="shared" si="164"/>
        <v>0</v>
      </c>
      <c r="AK260" s="365"/>
      <c r="AL260" s="865">
        <f t="shared" si="154"/>
        <v>0</v>
      </c>
      <c r="AM260" s="866">
        <f t="shared" si="165"/>
        <v>0</v>
      </c>
      <c r="AN260" s="866">
        <f t="shared" si="166"/>
        <v>0</v>
      </c>
      <c r="AO260" s="866">
        <f t="shared" si="167"/>
        <v>0</v>
      </c>
      <c r="AP260" s="867">
        <f t="shared" si="168"/>
        <v>0</v>
      </c>
      <c r="AQ260" s="591">
        <f t="shared" si="169"/>
        <v>0</v>
      </c>
      <c r="AR260" s="868">
        <f>IF(AND($L260=0,$P260=0)=TRUE,VLOOKUP($E260,Plan3!$A$16:$CT$487,$E$7+3,0)/100,0)</f>
        <v>0</v>
      </c>
      <c r="AS260" s="868">
        <f>IF(AND($L260=0,$P260=0)=TRUE,VLOOKUP($E260,Plan3!$A$16:$CT$487,$E$7+6,0)/100,0)</f>
        <v>0</v>
      </c>
      <c r="AT260" s="868">
        <f>IF(AND($L260=0,$P260=0)=TRUE,VLOOKUP($E260,Plan3!$A$16:$CT$487,$E$7+9,0)/100,0)</f>
        <v>0</v>
      </c>
      <c r="AU260" s="868">
        <f>IF(AND($L260=0,$P260=0)=TRUE,VLOOKUP($E260,Plan3!$A$16:$CT$487,$E$7+12,0)/100,0)</f>
        <v>0</v>
      </c>
      <c r="AV260" s="841"/>
      <c r="AW260" s="869">
        <f t="shared" si="170"/>
        <v>0</v>
      </c>
      <c r="AX260" s="870">
        <f t="shared" si="171"/>
        <v>0</v>
      </c>
      <c r="AY260" s="871">
        <f t="shared" si="172"/>
        <v>0</v>
      </c>
      <c r="AZ260" s="237" t="str">
        <f t="shared" si="143"/>
        <v xml:space="preserve">14.000.000.006 </v>
      </c>
      <c r="BA260" s="365"/>
      <c r="BB260" s="365"/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872">
        <f t="shared" si="144"/>
        <v>0</v>
      </c>
      <c r="BM260" s="873">
        <f t="shared" si="145"/>
        <v>0</v>
      </c>
      <c r="BN260" s="874">
        <f t="shared" si="173"/>
        <v>0</v>
      </c>
      <c r="BO260" s="875">
        <f t="shared" si="146"/>
        <v>0</v>
      </c>
      <c r="BP260" s="875">
        <f t="shared" si="147"/>
        <v>0</v>
      </c>
      <c r="BQ260" s="876">
        <f t="shared" si="174"/>
        <v>0</v>
      </c>
      <c r="BR260" s="877">
        <f t="shared" si="175"/>
        <v>0</v>
      </c>
      <c r="BS260" s="875">
        <f t="shared" si="148"/>
        <v>0</v>
      </c>
      <c r="BT260" s="875">
        <f t="shared" si="149"/>
        <v>0</v>
      </c>
      <c r="BU260" s="878">
        <f t="shared" si="176"/>
        <v>0</v>
      </c>
      <c r="CE260" s="486"/>
    </row>
    <row r="261" spans="1:83" s="177" customFormat="1" ht="21.95" customHeight="1" x14ac:dyDescent="0.2">
      <c r="A261" s="237">
        <f t="shared" si="150"/>
        <v>0</v>
      </c>
      <c r="B261" s="237">
        <f t="shared" si="151"/>
        <v>0</v>
      </c>
      <c r="C261" s="393">
        <f t="shared" si="136"/>
        <v>0</v>
      </c>
      <c r="D261" s="393" t="str">
        <f t="shared" si="137"/>
        <v xml:space="preserve">14 </v>
      </c>
      <c r="E261" s="959" t="s">
        <v>669</v>
      </c>
      <c r="F261" s="959" t="s">
        <v>2294</v>
      </c>
      <c r="G261" s="959" t="s">
        <v>7</v>
      </c>
      <c r="H261" s="960">
        <v>1</v>
      </c>
      <c r="I261" s="963">
        <v>1000</v>
      </c>
      <c r="J261" s="964">
        <v>1000</v>
      </c>
      <c r="K261" s="367">
        <v>0</v>
      </c>
      <c r="L261" s="367">
        <f>IF($H261="",0,VLOOKUP($E261,Plan3!$A$16:$CT$384,$E$7,0)%)</f>
        <v>0</v>
      </c>
      <c r="M261" s="368">
        <f t="shared" si="155"/>
        <v>0</v>
      </c>
      <c r="N261" s="368">
        <f t="shared" si="156"/>
        <v>0</v>
      </c>
      <c r="O261" s="367">
        <v>0</v>
      </c>
      <c r="P261" s="367">
        <f>VLOOKUP($E261,Plan3!$A$492:$P$858,13,0)%</f>
        <v>0</v>
      </c>
      <c r="Q261" s="368">
        <f t="shared" si="157"/>
        <v>0</v>
      </c>
      <c r="R261" s="368">
        <f t="shared" si="158"/>
        <v>0</v>
      </c>
      <c r="S261" s="880">
        <v>1011.6</v>
      </c>
      <c r="T261" s="880">
        <f t="shared" si="159"/>
        <v>0</v>
      </c>
      <c r="U261" s="880">
        <f>IF($I261="",0,($S261-$T261)*(1+('Econômico Macro'!$R$12/100)))</f>
        <v>1029.10068</v>
      </c>
      <c r="V261" s="880">
        <f t="shared" si="160"/>
        <v>1029.10068</v>
      </c>
      <c r="W261" s="880">
        <f t="shared" si="161"/>
        <v>0</v>
      </c>
      <c r="X261" s="367">
        <f t="shared" si="138"/>
        <v>0</v>
      </c>
      <c r="Y261" s="367">
        <f t="shared" si="139"/>
        <v>0</v>
      </c>
      <c r="Z261" s="367">
        <f t="shared" si="140"/>
        <v>0</v>
      </c>
      <c r="AA261" s="367">
        <f t="shared" si="141"/>
        <v>0</v>
      </c>
      <c r="AB261" s="369" t="str">
        <f t="shared" si="142"/>
        <v>Não Iniciada</v>
      </c>
      <c r="AC261" s="365"/>
      <c r="AD261" s="368">
        <v>1</v>
      </c>
      <c r="AE261" s="368">
        <f t="shared" si="162"/>
        <v>-1</v>
      </c>
      <c r="AF261" s="365"/>
      <c r="AG261" s="863">
        <f t="shared" si="152"/>
        <v>0</v>
      </c>
      <c r="AH261" s="864">
        <f t="shared" si="163"/>
        <v>0</v>
      </c>
      <c r="AI261" s="863">
        <f t="shared" si="153"/>
        <v>0</v>
      </c>
      <c r="AJ261" s="864">
        <f t="shared" si="164"/>
        <v>0</v>
      </c>
      <c r="AK261" s="365"/>
      <c r="AL261" s="865">
        <f t="shared" si="154"/>
        <v>0</v>
      </c>
      <c r="AM261" s="866">
        <f t="shared" si="165"/>
        <v>0</v>
      </c>
      <c r="AN261" s="866">
        <f t="shared" si="166"/>
        <v>0</v>
      </c>
      <c r="AO261" s="866">
        <f t="shared" si="167"/>
        <v>0</v>
      </c>
      <c r="AP261" s="867">
        <f t="shared" si="168"/>
        <v>0</v>
      </c>
      <c r="AQ261" s="591">
        <f t="shared" si="169"/>
        <v>0</v>
      </c>
      <c r="AR261" s="868">
        <f>IF(AND($L261=0,$P261=0)=TRUE,VLOOKUP($E261,Plan3!$A$16:$CT$487,$E$7+3,0)/100,0)</f>
        <v>0</v>
      </c>
      <c r="AS261" s="868">
        <f>IF(AND($L261=0,$P261=0)=TRUE,VLOOKUP($E261,Plan3!$A$16:$CT$487,$E$7+6,0)/100,0)</f>
        <v>0</v>
      </c>
      <c r="AT261" s="868">
        <f>IF(AND($L261=0,$P261=0)=TRUE,VLOOKUP($E261,Plan3!$A$16:$CT$487,$E$7+9,0)/100,0)</f>
        <v>0</v>
      </c>
      <c r="AU261" s="868">
        <f>IF(AND($L261=0,$P261=0)=TRUE,VLOOKUP($E261,Plan3!$A$16:$CT$487,$E$7+12,0)/100,0)</f>
        <v>0</v>
      </c>
      <c r="AV261" s="841"/>
      <c r="AW261" s="869">
        <f t="shared" si="170"/>
        <v>0</v>
      </c>
      <c r="AX261" s="870">
        <f t="shared" si="171"/>
        <v>0</v>
      </c>
      <c r="AY261" s="871">
        <f t="shared" si="172"/>
        <v>0</v>
      </c>
      <c r="AZ261" s="237" t="str">
        <f t="shared" si="143"/>
        <v xml:space="preserve">14.000.000.007 </v>
      </c>
      <c r="BA261" s="365"/>
      <c r="BB261" s="365"/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872">
        <f t="shared" si="144"/>
        <v>0</v>
      </c>
      <c r="BM261" s="873">
        <f t="shared" si="145"/>
        <v>0</v>
      </c>
      <c r="BN261" s="874">
        <f t="shared" si="173"/>
        <v>0</v>
      </c>
      <c r="BO261" s="875">
        <f t="shared" si="146"/>
        <v>0</v>
      </c>
      <c r="BP261" s="875">
        <f t="shared" si="147"/>
        <v>0</v>
      </c>
      <c r="BQ261" s="876">
        <f t="shared" si="174"/>
        <v>0</v>
      </c>
      <c r="BR261" s="877">
        <f t="shared" si="175"/>
        <v>0</v>
      </c>
      <c r="BS261" s="875">
        <f t="shared" si="148"/>
        <v>0</v>
      </c>
      <c r="BT261" s="875">
        <f t="shared" si="149"/>
        <v>0</v>
      </c>
      <c r="BU261" s="878">
        <f t="shared" si="176"/>
        <v>0</v>
      </c>
      <c r="CE261" s="486">
        <v>248</v>
      </c>
    </row>
    <row r="262" spans="1:83" s="177" customFormat="1" ht="21.95" customHeight="1" x14ac:dyDescent="0.2">
      <c r="A262" s="237">
        <f t="shared" si="150"/>
        <v>0</v>
      </c>
      <c r="B262" s="237">
        <f t="shared" si="151"/>
        <v>0</v>
      </c>
      <c r="C262" s="393">
        <f t="shared" si="136"/>
        <v>0</v>
      </c>
      <c r="D262" s="393" t="str">
        <f t="shared" si="137"/>
        <v xml:space="preserve">14 </v>
      </c>
      <c r="E262" s="959" t="s">
        <v>2120</v>
      </c>
      <c r="F262" s="959" t="s">
        <v>2121</v>
      </c>
      <c r="G262" s="959" t="s">
        <v>7</v>
      </c>
      <c r="H262" s="960">
        <v>1</v>
      </c>
      <c r="I262" s="963">
        <v>8000</v>
      </c>
      <c r="J262" s="964">
        <v>8000</v>
      </c>
      <c r="K262" s="367">
        <v>0</v>
      </c>
      <c r="L262" s="367">
        <f>IF($H262="",0,VLOOKUP($E262,Plan3!$A$16:$CT$384,$E$7,0)%)</f>
        <v>0</v>
      </c>
      <c r="M262" s="368">
        <f t="shared" si="155"/>
        <v>0</v>
      </c>
      <c r="N262" s="368">
        <f t="shared" si="156"/>
        <v>0</v>
      </c>
      <c r="O262" s="367">
        <v>0</v>
      </c>
      <c r="P262" s="367">
        <f>VLOOKUP($E262,Plan3!$A$492:$P$858,13,0)%</f>
        <v>0</v>
      </c>
      <c r="Q262" s="368">
        <f t="shared" si="157"/>
        <v>0</v>
      </c>
      <c r="R262" s="368">
        <f t="shared" si="158"/>
        <v>0</v>
      </c>
      <c r="S262" s="880">
        <v>8092.8</v>
      </c>
      <c r="T262" s="880">
        <f t="shared" si="159"/>
        <v>0</v>
      </c>
      <c r="U262" s="880">
        <f>IF($I262="",0,($S262-$T262)*(1+('Econômico Macro'!$R$12/100)))</f>
        <v>8232.8054400000001</v>
      </c>
      <c r="V262" s="880">
        <f t="shared" si="160"/>
        <v>8232.8054400000001</v>
      </c>
      <c r="W262" s="880">
        <f t="shared" si="161"/>
        <v>0</v>
      </c>
      <c r="X262" s="367">
        <f t="shared" si="138"/>
        <v>0</v>
      </c>
      <c r="Y262" s="367">
        <f t="shared" si="139"/>
        <v>0</v>
      </c>
      <c r="Z262" s="367">
        <f t="shared" si="140"/>
        <v>0</v>
      </c>
      <c r="AA262" s="367">
        <f t="shared" si="141"/>
        <v>0</v>
      </c>
      <c r="AB262" s="369" t="str">
        <f t="shared" si="142"/>
        <v>Não Iniciada</v>
      </c>
      <c r="AC262" s="365"/>
      <c r="AD262" s="368">
        <v>1</v>
      </c>
      <c r="AE262" s="368">
        <f t="shared" si="162"/>
        <v>-1</v>
      </c>
      <c r="AF262" s="365"/>
      <c r="AG262" s="863">
        <f t="shared" si="152"/>
        <v>0</v>
      </c>
      <c r="AH262" s="864">
        <f t="shared" si="163"/>
        <v>0</v>
      </c>
      <c r="AI262" s="863">
        <f t="shared" si="153"/>
        <v>0</v>
      </c>
      <c r="AJ262" s="864">
        <f t="shared" si="164"/>
        <v>0</v>
      </c>
      <c r="AK262" s="365"/>
      <c r="AL262" s="865">
        <f t="shared" si="154"/>
        <v>0</v>
      </c>
      <c r="AM262" s="866">
        <f t="shared" si="165"/>
        <v>0</v>
      </c>
      <c r="AN262" s="866">
        <f t="shared" si="166"/>
        <v>0</v>
      </c>
      <c r="AO262" s="866">
        <f t="shared" si="167"/>
        <v>0</v>
      </c>
      <c r="AP262" s="867">
        <f t="shared" si="168"/>
        <v>0</v>
      </c>
      <c r="AQ262" s="591">
        <f t="shared" si="169"/>
        <v>0</v>
      </c>
      <c r="AR262" s="868">
        <f>IF(AND($L262=0,$P262=0)=TRUE,VLOOKUP($E262,Plan3!$A$16:$CT$487,$E$7+3,0)/100,0)</f>
        <v>0</v>
      </c>
      <c r="AS262" s="868">
        <f>IF(AND($L262=0,$P262=0)=TRUE,VLOOKUP($E262,Plan3!$A$16:$CT$487,$E$7+6,0)/100,0)</f>
        <v>0</v>
      </c>
      <c r="AT262" s="868">
        <f>IF(AND($L262=0,$P262=0)=TRUE,VLOOKUP($E262,Plan3!$A$16:$CT$487,$E$7+9,0)/100,0)</f>
        <v>0</v>
      </c>
      <c r="AU262" s="868">
        <f>IF(AND($L262=0,$P262=0)=TRUE,VLOOKUP($E262,Plan3!$A$16:$CT$487,$E$7+12,0)/100,0)</f>
        <v>0</v>
      </c>
      <c r="AV262" s="841"/>
      <c r="AW262" s="869">
        <f t="shared" si="170"/>
        <v>0</v>
      </c>
      <c r="AX262" s="870">
        <f t="shared" si="171"/>
        <v>0</v>
      </c>
      <c r="AY262" s="871">
        <f t="shared" si="172"/>
        <v>0</v>
      </c>
      <c r="AZ262" s="237" t="str">
        <f t="shared" si="143"/>
        <v xml:space="preserve">14.000.000.008 </v>
      </c>
      <c r="BA262" s="365"/>
      <c r="BB262" s="365"/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872">
        <f t="shared" si="144"/>
        <v>0</v>
      </c>
      <c r="BM262" s="873">
        <f t="shared" si="145"/>
        <v>0</v>
      </c>
      <c r="BN262" s="874">
        <f t="shared" si="173"/>
        <v>0</v>
      </c>
      <c r="BO262" s="875">
        <f t="shared" si="146"/>
        <v>0</v>
      </c>
      <c r="BP262" s="875">
        <f t="shared" si="147"/>
        <v>0</v>
      </c>
      <c r="BQ262" s="876">
        <f t="shared" si="174"/>
        <v>0</v>
      </c>
      <c r="BR262" s="877">
        <f t="shared" si="175"/>
        <v>0</v>
      </c>
      <c r="BS262" s="875">
        <f t="shared" si="148"/>
        <v>0</v>
      </c>
      <c r="BT262" s="875">
        <f t="shared" si="149"/>
        <v>0</v>
      </c>
      <c r="BU262" s="878">
        <f t="shared" si="176"/>
        <v>0</v>
      </c>
      <c r="CE262" s="486">
        <v>249</v>
      </c>
    </row>
    <row r="263" spans="1:83" s="177" customFormat="1" ht="21.95" customHeight="1" x14ac:dyDescent="0.2">
      <c r="A263" s="237">
        <f t="shared" si="150"/>
        <v>0</v>
      </c>
      <c r="B263" s="237">
        <f t="shared" si="151"/>
        <v>0</v>
      </c>
      <c r="C263" s="393">
        <f t="shared" si="136"/>
        <v>0</v>
      </c>
      <c r="D263" s="393" t="str">
        <f t="shared" si="137"/>
        <v xml:space="preserve">14 </v>
      </c>
      <c r="E263" s="959" t="s">
        <v>2295</v>
      </c>
      <c r="F263" s="959" t="s">
        <v>2296</v>
      </c>
      <c r="G263" s="959" t="s">
        <v>8</v>
      </c>
      <c r="H263" s="960">
        <v>2</v>
      </c>
      <c r="I263" s="963">
        <v>5029.1210000000001</v>
      </c>
      <c r="J263" s="962">
        <v>10058.24</v>
      </c>
      <c r="K263" s="367">
        <v>0</v>
      </c>
      <c r="L263" s="367">
        <f>IF($H263="",0,VLOOKUP($E263,Plan3!$A$16:$CT$384,$E$7,0)%)</f>
        <v>0</v>
      </c>
      <c r="M263" s="368">
        <f t="shared" si="155"/>
        <v>0</v>
      </c>
      <c r="N263" s="368">
        <f t="shared" si="156"/>
        <v>0</v>
      </c>
      <c r="O263" s="367">
        <v>0</v>
      </c>
      <c r="P263" s="367">
        <f>VLOOKUP($E263,Plan3!$A$492:$P$858,13,0)%</f>
        <v>0</v>
      </c>
      <c r="Q263" s="368">
        <f t="shared" si="157"/>
        <v>0</v>
      </c>
      <c r="R263" s="368">
        <f t="shared" si="158"/>
        <v>0</v>
      </c>
      <c r="S263" s="880">
        <v>10174.915584</v>
      </c>
      <c r="T263" s="880">
        <f t="shared" si="159"/>
        <v>0</v>
      </c>
      <c r="U263" s="880">
        <f>IF($I263="",0,($S263-$T263)*(1+('Econômico Macro'!$R$12/100)))</f>
        <v>10350.941623603201</v>
      </c>
      <c r="V263" s="880">
        <f t="shared" si="160"/>
        <v>10350.941623603201</v>
      </c>
      <c r="W263" s="880">
        <f t="shared" si="161"/>
        <v>0</v>
      </c>
      <c r="X263" s="367">
        <f t="shared" si="138"/>
        <v>0</v>
      </c>
      <c r="Y263" s="367">
        <f t="shared" si="139"/>
        <v>0</v>
      </c>
      <c r="Z263" s="367">
        <f t="shared" si="140"/>
        <v>0</v>
      </c>
      <c r="AA263" s="367">
        <f t="shared" si="141"/>
        <v>0</v>
      </c>
      <c r="AB263" s="369" t="str">
        <f t="shared" si="142"/>
        <v>Não Iniciada</v>
      </c>
      <c r="AC263" s="365"/>
      <c r="AD263" s="368">
        <v>1</v>
      </c>
      <c r="AE263" s="368">
        <f t="shared" si="162"/>
        <v>-1</v>
      </c>
      <c r="AF263" s="365"/>
      <c r="AG263" s="863">
        <f t="shared" si="152"/>
        <v>0</v>
      </c>
      <c r="AH263" s="864">
        <f t="shared" si="163"/>
        <v>0</v>
      </c>
      <c r="AI263" s="863">
        <f t="shared" si="153"/>
        <v>0</v>
      </c>
      <c r="AJ263" s="864">
        <f t="shared" si="164"/>
        <v>0</v>
      </c>
      <c r="AK263" s="365"/>
      <c r="AL263" s="865">
        <f t="shared" si="154"/>
        <v>0</v>
      </c>
      <c r="AM263" s="866">
        <f t="shared" si="165"/>
        <v>0</v>
      </c>
      <c r="AN263" s="866">
        <f t="shared" si="166"/>
        <v>0</v>
      </c>
      <c r="AO263" s="866">
        <f t="shared" si="167"/>
        <v>0</v>
      </c>
      <c r="AP263" s="867">
        <f t="shared" si="168"/>
        <v>0</v>
      </c>
      <c r="AQ263" s="591">
        <f t="shared" si="169"/>
        <v>0</v>
      </c>
      <c r="AR263" s="868">
        <f>IF(AND($L263=0,$P263=0)=TRUE,VLOOKUP($E263,Plan3!$A$16:$CT$487,$E$7+3,0)/100,0)</f>
        <v>0</v>
      </c>
      <c r="AS263" s="868">
        <f>IF(AND($L263=0,$P263=0)=TRUE,VLOOKUP($E263,Plan3!$A$16:$CT$487,$E$7+6,0)/100,0)</f>
        <v>0</v>
      </c>
      <c r="AT263" s="868">
        <f>IF(AND($L263=0,$P263=0)=TRUE,VLOOKUP($E263,Plan3!$A$16:$CT$487,$E$7+9,0)/100,0)</f>
        <v>0</v>
      </c>
      <c r="AU263" s="868">
        <f>IF(AND($L263=0,$P263=0)=TRUE,VLOOKUP($E263,Plan3!$A$16:$CT$487,$E$7+12,0)/100,0)</f>
        <v>0</v>
      </c>
      <c r="AV263" s="841"/>
      <c r="AW263" s="869">
        <f t="shared" si="170"/>
        <v>0</v>
      </c>
      <c r="AX263" s="870">
        <f t="shared" si="171"/>
        <v>0</v>
      </c>
      <c r="AY263" s="871">
        <f t="shared" si="172"/>
        <v>0</v>
      </c>
      <c r="AZ263" s="237" t="str">
        <f t="shared" si="143"/>
        <v xml:space="preserve">14.000.000.009 </v>
      </c>
      <c r="BA263" s="365"/>
      <c r="BB263" s="365"/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872">
        <f t="shared" si="144"/>
        <v>0</v>
      </c>
      <c r="BM263" s="873">
        <f t="shared" si="145"/>
        <v>0</v>
      </c>
      <c r="BN263" s="874">
        <f t="shared" si="173"/>
        <v>0</v>
      </c>
      <c r="BO263" s="875">
        <f t="shared" si="146"/>
        <v>0</v>
      </c>
      <c r="BP263" s="875">
        <f t="shared" si="147"/>
        <v>0</v>
      </c>
      <c r="BQ263" s="876">
        <f t="shared" si="174"/>
        <v>0</v>
      </c>
      <c r="BR263" s="877">
        <f t="shared" si="175"/>
        <v>0</v>
      </c>
      <c r="BS263" s="875">
        <f t="shared" si="148"/>
        <v>0</v>
      </c>
      <c r="BT263" s="875">
        <f t="shared" si="149"/>
        <v>0</v>
      </c>
      <c r="BU263" s="878">
        <f t="shared" si="176"/>
        <v>0</v>
      </c>
      <c r="CE263" s="486">
        <v>250</v>
      </c>
    </row>
    <row r="264" spans="1:83" s="177" customFormat="1" ht="21.95" customHeight="1" x14ac:dyDescent="0.2">
      <c r="A264" s="237">
        <f t="shared" si="150"/>
        <v>0</v>
      </c>
      <c r="B264" s="237">
        <f t="shared" si="151"/>
        <v>0</v>
      </c>
      <c r="C264" s="393" t="str">
        <f t="shared" si="136"/>
        <v xml:space="preserve">15 </v>
      </c>
      <c r="D264" s="393" t="str">
        <f t="shared" si="137"/>
        <v xml:space="preserve">15 </v>
      </c>
      <c r="E264" s="161" t="s">
        <v>145</v>
      </c>
      <c r="F264" s="161" t="s">
        <v>670</v>
      </c>
      <c r="G264" s="162"/>
      <c r="H264" s="162"/>
      <c r="I264" s="162"/>
      <c r="J264" s="163">
        <v>70971.149999999994</v>
      </c>
      <c r="K264" s="164">
        <v>0</v>
      </c>
      <c r="L264" s="164">
        <f t="array" ref="L264">SUM(IF($D265:$D$379=$E264,$L265:$L$379*$J265:$J$379))/$J264</f>
        <v>0</v>
      </c>
      <c r="M264" s="163"/>
      <c r="N264" s="163">
        <f>$L264*$J264</f>
        <v>0</v>
      </c>
      <c r="O264" s="164">
        <v>0</v>
      </c>
      <c r="P264" s="164">
        <f t="array" ref="P264">SUM(IF($D265:$D$379=$E264,$P265:$P$379*$J265:$J$379))/$J264</f>
        <v>0</v>
      </c>
      <c r="Q264" s="163">
        <f>$P264*$H264</f>
        <v>0</v>
      </c>
      <c r="R264" s="163">
        <f>$P264*$J264</f>
        <v>0</v>
      </c>
      <c r="S264" s="163">
        <v>71794.415340000007</v>
      </c>
      <c r="T264" s="163">
        <f>SUM(T265:T278)</f>
        <v>0</v>
      </c>
      <c r="U264" s="163"/>
      <c r="V264" s="163">
        <f t="shared" ref="V264:W264" si="181">SUM(V265:V278)</f>
        <v>73036.458725382006</v>
      </c>
      <c r="W264" s="163">
        <f t="shared" si="181"/>
        <v>0</v>
      </c>
      <c r="X264" s="164">
        <f t="shared" si="138"/>
        <v>0</v>
      </c>
      <c r="Y264" s="164">
        <f t="shared" si="139"/>
        <v>0</v>
      </c>
      <c r="Z264" s="164">
        <f t="shared" si="140"/>
        <v>0</v>
      </c>
      <c r="AA264" s="164">
        <f t="shared" si="141"/>
        <v>0</v>
      </c>
      <c r="AB264" s="201" t="str">
        <f t="shared" si="142"/>
        <v>Não Iniciada</v>
      </c>
      <c r="AC264" s="155" t="s">
        <v>763</v>
      </c>
      <c r="AD264" s="689">
        <v>0</v>
      </c>
      <c r="AE264" s="835">
        <f>Q264-AD264</f>
        <v>0</v>
      </c>
      <c r="AF264" s="155"/>
      <c r="AG264" s="207"/>
      <c r="AH264" s="208"/>
      <c r="AI264" s="207"/>
      <c r="AJ264" s="208"/>
      <c r="AK264" s="155"/>
      <c r="AL264" s="212"/>
      <c r="AM264" s="209"/>
      <c r="AN264" s="209"/>
      <c r="AO264" s="209"/>
      <c r="AP264" s="213"/>
      <c r="AQ264" s="401"/>
      <c r="AR264" s="247"/>
      <c r="AS264" s="247"/>
      <c r="AT264" s="247"/>
      <c r="AU264" s="247"/>
      <c r="AV264" s="155"/>
      <c r="AW264" s="250"/>
      <c r="AX264" s="248"/>
      <c r="AY264" s="402"/>
      <c r="AZ264" s="237" t="str">
        <f t="shared" si="143"/>
        <v xml:space="preserve">15 </v>
      </c>
      <c r="BA264" s="155"/>
      <c r="BB264" s="155"/>
      <c r="BC264" s="155"/>
      <c r="BD264" s="155"/>
      <c r="BE264" s="155"/>
      <c r="BF264" s="155"/>
      <c r="BG264" s="155"/>
      <c r="BH264" s="155"/>
      <c r="BI264" s="155"/>
      <c r="BJ264" s="155"/>
      <c r="BK264" s="155"/>
      <c r="BL264" s="666" t="str">
        <f t="shared" si="144"/>
        <v xml:space="preserve">15 </v>
      </c>
      <c r="BM264" s="667">
        <f t="shared" si="145"/>
        <v>0</v>
      </c>
      <c r="BN264" s="668">
        <f>IF($BQ264=0,0,RANK($BQ264,$BQ$12:$BQ$379))</f>
        <v>0</v>
      </c>
      <c r="BO264" s="669">
        <f t="shared" si="146"/>
        <v>0</v>
      </c>
      <c r="BP264" s="669">
        <f t="shared" si="147"/>
        <v>0</v>
      </c>
      <c r="BQ264" s="670">
        <f>IF($BP264=0,0,$BP264/$BP$380)</f>
        <v>0</v>
      </c>
      <c r="BR264" s="671">
        <f>IF($BU264=0,0,RANK($BU264,$BU$12:$BU$379))</f>
        <v>0</v>
      </c>
      <c r="BS264" s="669">
        <f t="shared" si="148"/>
        <v>0</v>
      </c>
      <c r="BT264" s="669">
        <f t="shared" si="149"/>
        <v>0</v>
      </c>
      <c r="BU264" s="672">
        <f>IF($BT264=0,0,$BT264/$BT$380)</f>
        <v>0</v>
      </c>
      <c r="CE264" s="486">
        <v>251</v>
      </c>
    </row>
    <row r="265" spans="1:83" s="177" customFormat="1" ht="21.95" customHeight="1" x14ac:dyDescent="0.2">
      <c r="A265" s="237">
        <f t="shared" si="150"/>
        <v>0</v>
      </c>
      <c r="B265" s="237">
        <f t="shared" si="151"/>
        <v>0</v>
      </c>
      <c r="C265" s="393">
        <f t="shared" si="136"/>
        <v>0</v>
      </c>
      <c r="D265" s="393" t="str">
        <f t="shared" si="137"/>
        <v xml:space="preserve">15 </v>
      </c>
      <c r="E265" s="967" t="s">
        <v>244</v>
      </c>
      <c r="F265" s="967" t="s">
        <v>236</v>
      </c>
      <c r="G265" s="967"/>
      <c r="H265" s="968"/>
      <c r="I265" s="968"/>
      <c r="J265" s="969">
        <v>60668.89</v>
      </c>
      <c r="K265" s="367">
        <v>0</v>
      </c>
      <c r="L265" s="367">
        <f>IF($H265="",0,VLOOKUP($E265,Plan3!$A$16:$CT$384,$E$7,0)%)</f>
        <v>0</v>
      </c>
      <c r="M265" s="368">
        <f t="shared" si="155"/>
        <v>0</v>
      </c>
      <c r="N265" s="368">
        <f t="shared" si="156"/>
        <v>0</v>
      </c>
      <c r="O265" s="367">
        <v>0</v>
      </c>
      <c r="P265" s="367">
        <f>VLOOKUP($E265,Plan3!$A$492:$P$858,13,0)%</f>
        <v>0</v>
      </c>
      <c r="Q265" s="368">
        <f t="shared" si="157"/>
        <v>0</v>
      </c>
      <c r="R265" s="368">
        <f t="shared" si="158"/>
        <v>0</v>
      </c>
      <c r="S265" s="880">
        <v>0</v>
      </c>
      <c r="T265" s="880">
        <f t="shared" si="159"/>
        <v>0</v>
      </c>
      <c r="U265" s="880">
        <f>IF($I265="",0,($S265-$T265)*(1+('Econômico Macro'!$R$12/100)))</f>
        <v>0</v>
      </c>
      <c r="V265" s="880">
        <f t="shared" si="160"/>
        <v>0</v>
      </c>
      <c r="W265" s="880">
        <f t="shared" si="161"/>
        <v>0</v>
      </c>
      <c r="X265" s="367">
        <f t="shared" si="138"/>
        <v>0</v>
      </c>
      <c r="Y265" s="367">
        <f t="shared" si="139"/>
        <v>0</v>
      </c>
      <c r="Z265" s="367">
        <f t="shared" si="140"/>
        <v>0</v>
      </c>
      <c r="AA265" s="367">
        <f t="shared" si="141"/>
        <v>0</v>
      </c>
      <c r="AB265" s="369" t="str">
        <f t="shared" si="142"/>
        <v>Não Iniciada</v>
      </c>
      <c r="AC265" s="365"/>
      <c r="AD265" s="368">
        <v>1</v>
      </c>
      <c r="AE265" s="368">
        <f t="shared" si="162"/>
        <v>-1</v>
      </c>
      <c r="AF265" s="365"/>
      <c r="AG265" s="863">
        <f t="shared" si="152"/>
        <v>0</v>
      </c>
      <c r="AH265" s="864">
        <f t="shared" si="163"/>
        <v>0</v>
      </c>
      <c r="AI265" s="863">
        <f t="shared" si="153"/>
        <v>0</v>
      </c>
      <c r="AJ265" s="864">
        <f t="shared" si="164"/>
        <v>0</v>
      </c>
      <c r="AK265" s="365"/>
      <c r="AL265" s="865">
        <f t="shared" si="154"/>
        <v>0</v>
      </c>
      <c r="AM265" s="866">
        <f t="shared" si="165"/>
        <v>0</v>
      </c>
      <c r="AN265" s="866">
        <f t="shared" si="166"/>
        <v>0</v>
      </c>
      <c r="AO265" s="866">
        <f t="shared" si="167"/>
        <v>0</v>
      </c>
      <c r="AP265" s="867">
        <f t="shared" si="168"/>
        <v>0</v>
      </c>
      <c r="AQ265" s="591"/>
      <c r="AR265" s="868"/>
      <c r="AS265" s="868"/>
      <c r="AT265" s="868"/>
      <c r="AU265" s="868"/>
      <c r="AV265" s="841"/>
      <c r="AW265" s="869"/>
      <c r="AX265" s="870"/>
      <c r="AY265" s="871"/>
      <c r="AZ265" s="237" t="str">
        <f t="shared" si="143"/>
        <v xml:space="preserve">15.001 </v>
      </c>
      <c r="BA265" s="365"/>
      <c r="BB265" s="365"/>
      <c r="BC265" s="365"/>
      <c r="BD265" s="365"/>
      <c r="BE265" s="365"/>
      <c r="BF265" s="365"/>
      <c r="BG265" s="365"/>
      <c r="BH265" s="365"/>
      <c r="BI265" s="365"/>
      <c r="BJ265" s="365"/>
      <c r="BK265" s="365"/>
      <c r="BL265" s="872">
        <f t="shared" si="144"/>
        <v>0</v>
      </c>
      <c r="BM265" s="873">
        <f t="shared" si="145"/>
        <v>0</v>
      </c>
      <c r="BN265" s="874">
        <f t="shared" si="173"/>
        <v>0</v>
      </c>
      <c r="BO265" s="875">
        <f t="shared" si="146"/>
        <v>0</v>
      </c>
      <c r="BP265" s="875">
        <f t="shared" si="147"/>
        <v>0</v>
      </c>
      <c r="BQ265" s="876">
        <f t="shared" si="174"/>
        <v>0</v>
      </c>
      <c r="BR265" s="877">
        <f t="shared" si="175"/>
        <v>0</v>
      </c>
      <c r="BS265" s="875">
        <f t="shared" si="148"/>
        <v>0</v>
      </c>
      <c r="BT265" s="875">
        <f t="shared" si="149"/>
        <v>0</v>
      </c>
      <c r="BU265" s="878">
        <f t="shared" si="176"/>
        <v>0</v>
      </c>
      <c r="CE265" s="486">
        <v>252</v>
      </c>
    </row>
    <row r="266" spans="1:83" s="177" customFormat="1" ht="21.95" customHeight="1" x14ac:dyDescent="0.2">
      <c r="A266" s="237">
        <f t="shared" si="150"/>
        <v>0</v>
      </c>
      <c r="B266" s="237">
        <f t="shared" si="151"/>
        <v>0</v>
      </c>
      <c r="C266" s="393">
        <f t="shared" si="136"/>
        <v>0</v>
      </c>
      <c r="D266" s="393" t="str">
        <f t="shared" si="137"/>
        <v xml:space="preserve">15 </v>
      </c>
      <c r="E266" s="959" t="s">
        <v>245</v>
      </c>
      <c r="F266" s="959" t="s">
        <v>1496</v>
      </c>
      <c r="G266" s="959" t="s">
        <v>8</v>
      </c>
      <c r="H266" s="970">
        <v>29</v>
      </c>
      <c r="I266" s="965">
        <v>362.935</v>
      </c>
      <c r="J266" s="962">
        <v>10525.12</v>
      </c>
      <c r="K266" s="367">
        <v>0</v>
      </c>
      <c r="L266" s="367">
        <f>IF($H266="",0,VLOOKUP($E266,Plan3!$A$16:$CT$384,$E$7,0)%)</f>
        <v>0</v>
      </c>
      <c r="M266" s="368">
        <f t="shared" si="155"/>
        <v>0</v>
      </c>
      <c r="N266" s="368">
        <f t="shared" si="156"/>
        <v>0</v>
      </c>
      <c r="O266" s="367">
        <v>0</v>
      </c>
      <c r="P266" s="367">
        <f>VLOOKUP($E266,Plan3!$A$492:$P$858,13,0)%</f>
        <v>0</v>
      </c>
      <c r="Q266" s="368">
        <f t="shared" si="157"/>
        <v>0</v>
      </c>
      <c r="R266" s="368">
        <f t="shared" si="158"/>
        <v>0</v>
      </c>
      <c r="S266" s="880">
        <v>10647.211392000001</v>
      </c>
      <c r="T266" s="880">
        <f t="shared" si="159"/>
        <v>0</v>
      </c>
      <c r="U266" s="880">
        <f>IF($I266="",0,($S266-$T266)*(1+('Econômico Macro'!$R$12/100)))</f>
        <v>10831.408149081602</v>
      </c>
      <c r="V266" s="880">
        <f t="shared" si="160"/>
        <v>10831.408149081602</v>
      </c>
      <c r="W266" s="880">
        <f t="shared" si="161"/>
        <v>0</v>
      </c>
      <c r="X266" s="367">
        <f t="shared" si="138"/>
        <v>0</v>
      </c>
      <c r="Y266" s="367">
        <f t="shared" si="139"/>
        <v>0</v>
      </c>
      <c r="Z266" s="367">
        <f t="shared" si="140"/>
        <v>0</v>
      </c>
      <c r="AA266" s="367">
        <f t="shared" si="141"/>
        <v>0</v>
      </c>
      <c r="AB266" s="369" t="str">
        <f t="shared" si="142"/>
        <v>Não Iniciada</v>
      </c>
      <c r="AC266" s="365"/>
      <c r="AD266" s="368">
        <v>1</v>
      </c>
      <c r="AE266" s="368">
        <f t="shared" si="162"/>
        <v>-1</v>
      </c>
      <c r="AF266" s="365"/>
      <c r="AG266" s="863">
        <f t="shared" si="152"/>
        <v>0</v>
      </c>
      <c r="AH266" s="864">
        <f t="shared" si="163"/>
        <v>0</v>
      </c>
      <c r="AI266" s="863">
        <f t="shared" si="153"/>
        <v>0</v>
      </c>
      <c r="AJ266" s="864">
        <f t="shared" si="164"/>
        <v>0</v>
      </c>
      <c r="AK266" s="365"/>
      <c r="AL266" s="865">
        <f t="shared" si="154"/>
        <v>0</v>
      </c>
      <c r="AM266" s="866">
        <f t="shared" si="165"/>
        <v>0</v>
      </c>
      <c r="AN266" s="866">
        <f t="shared" si="166"/>
        <v>0</v>
      </c>
      <c r="AO266" s="866">
        <f t="shared" si="167"/>
        <v>0</v>
      </c>
      <c r="AP266" s="867">
        <f t="shared" si="168"/>
        <v>0</v>
      </c>
      <c r="AQ266" s="591">
        <f t="shared" si="169"/>
        <v>0</v>
      </c>
      <c r="AR266" s="868">
        <f>IF(AND($L266=0,$P266=0)=TRUE,VLOOKUP($E266,Plan3!$A$16:$CT$487,$E$7+3,0)/100,0)</f>
        <v>0</v>
      </c>
      <c r="AS266" s="868">
        <f>IF(AND($L266=0,$P266=0)=TRUE,VLOOKUP($E266,Plan3!$A$16:$CT$487,$E$7+6,0)/100,0)</f>
        <v>0</v>
      </c>
      <c r="AT266" s="868">
        <f>IF(AND($L266=0,$P266=0)=TRUE,VLOOKUP($E266,Plan3!$A$16:$CT$487,$E$7+9,0)/100,0)</f>
        <v>0</v>
      </c>
      <c r="AU266" s="868">
        <f>IF(AND($L266=0,$P266=0)=TRUE,VLOOKUP($E266,Plan3!$A$16:$CT$487,$E$7+12,0)/100,0)</f>
        <v>0</v>
      </c>
      <c r="AV266" s="841"/>
      <c r="AW266" s="869">
        <f t="shared" si="170"/>
        <v>0</v>
      </c>
      <c r="AX266" s="870">
        <f t="shared" si="171"/>
        <v>0</v>
      </c>
      <c r="AY266" s="871">
        <f t="shared" si="172"/>
        <v>0</v>
      </c>
      <c r="AZ266" s="237" t="str">
        <f t="shared" si="143"/>
        <v xml:space="preserve">15.001.000.001 </v>
      </c>
      <c r="BA266" s="365"/>
      <c r="BB266" s="365"/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872">
        <f t="shared" si="144"/>
        <v>0</v>
      </c>
      <c r="BM266" s="873">
        <f t="shared" si="145"/>
        <v>0</v>
      </c>
      <c r="BN266" s="874">
        <f t="shared" si="173"/>
        <v>0</v>
      </c>
      <c r="BO266" s="875">
        <f t="shared" si="146"/>
        <v>0</v>
      </c>
      <c r="BP266" s="875">
        <f t="shared" si="147"/>
        <v>0</v>
      </c>
      <c r="BQ266" s="876">
        <f t="shared" si="174"/>
        <v>0</v>
      </c>
      <c r="BR266" s="877">
        <f t="shared" si="175"/>
        <v>0</v>
      </c>
      <c r="BS266" s="875">
        <f t="shared" si="148"/>
        <v>0</v>
      </c>
      <c r="BT266" s="875">
        <f t="shared" si="149"/>
        <v>0</v>
      </c>
      <c r="BU266" s="878">
        <f t="shared" si="176"/>
        <v>0</v>
      </c>
      <c r="CE266" s="486">
        <v>253</v>
      </c>
    </row>
    <row r="267" spans="1:83" s="177" customFormat="1" ht="21.95" customHeight="1" x14ac:dyDescent="0.2">
      <c r="A267" s="237">
        <f t="shared" si="150"/>
        <v>0</v>
      </c>
      <c r="B267" s="237">
        <f t="shared" si="151"/>
        <v>0</v>
      </c>
      <c r="C267" s="393">
        <f t="shared" si="136"/>
        <v>0</v>
      </c>
      <c r="D267" s="393" t="str">
        <f t="shared" si="137"/>
        <v xml:space="preserve">15 </v>
      </c>
      <c r="E267" s="959" t="s">
        <v>246</v>
      </c>
      <c r="F267" s="959" t="s">
        <v>1497</v>
      </c>
      <c r="G267" s="959" t="s">
        <v>8</v>
      </c>
      <c r="H267" s="970">
        <v>82</v>
      </c>
      <c r="I267" s="965">
        <v>362.935</v>
      </c>
      <c r="J267" s="962">
        <v>29760.67</v>
      </c>
      <c r="K267" s="367">
        <v>0</v>
      </c>
      <c r="L267" s="367">
        <f>IF($H267="",0,VLOOKUP($E267,Plan3!$A$16:$CT$384,$E$7,0)%)</f>
        <v>0</v>
      </c>
      <c r="M267" s="368">
        <f t="shared" si="155"/>
        <v>0</v>
      </c>
      <c r="N267" s="368">
        <f t="shared" si="156"/>
        <v>0</v>
      </c>
      <c r="O267" s="367">
        <v>0</v>
      </c>
      <c r="P267" s="367">
        <f>VLOOKUP($E267,Plan3!$A$492:$P$858,13,0)%</f>
        <v>0</v>
      </c>
      <c r="Q267" s="368">
        <f t="shared" si="157"/>
        <v>0</v>
      </c>
      <c r="R267" s="368">
        <f t="shared" si="158"/>
        <v>0</v>
      </c>
      <c r="S267" s="880">
        <v>30105.893771999999</v>
      </c>
      <c r="T267" s="880">
        <f t="shared" si="159"/>
        <v>0</v>
      </c>
      <c r="U267" s="880">
        <f>IF($I267="",0,($S267-$T267)*(1+('Econômico Macro'!$R$12/100)))</f>
        <v>30626.725734255604</v>
      </c>
      <c r="V267" s="880">
        <f t="shared" si="160"/>
        <v>30626.725734255604</v>
      </c>
      <c r="W267" s="880">
        <f t="shared" si="161"/>
        <v>0</v>
      </c>
      <c r="X267" s="367">
        <f t="shared" si="138"/>
        <v>0</v>
      </c>
      <c r="Y267" s="367">
        <f t="shared" si="139"/>
        <v>0</v>
      </c>
      <c r="Z267" s="367">
        <f t="shared" si="140"/>
        <v>0</v>
      </c>
      <c r="AA267" s="367">
        <f t="shared" si="141"/>
        <v>0</v>
      </c>
      <c r="AB267" s="369" t="str">
        <f t="shared" si="142"/>
        <v>Não Iniciada</v>
      </c>
      <c r="AC267" s="365"/>
      <c r="AD267" s="368">
        <v>1</v>
      </c>
      <c r="AE267" s="368">
        <f t="shared" si="162"/>
        <v>-1</v>
      </c>
      <c r="AF267" s="365"/>
      <c r="AG267" s="863">
        <f t="shared" si="152"/>
        <v>0</v>
      </c>
      <c r="AH267" s="864">
        <f t="shared" si="163"/>
        <v>0</v>
      </c>
      <c r="AI267" s="863">
        <f t="shared" si="153"/>
        <v>0</v>
      </c>
      <c r="AJ267" s="864">
        <f t="shared" si="164"/>
        <v>0</v>
      </c>
      <c r="AK267" s="365"/>
      <c r="AL267" s="865">
        <f t="shared" si="154"/>
        <v>0</v>
      </c>
      <c r="AM267" s="866">
        <f t="shared" si="165"/>
        <v>0</v>
      </c>
      <c r="AN267" s="866">
        <f t="shared" si="166"/>
        <v>0</v>
      </c>
      <c r="AO267" s="866">
        <f t="shared" si="167"/>
        <v>0</v>
      </c>
      <c r="AP267" s="867">
        <f t="shared" si="168"/>
        <v>0</v>
      </c>
      <c r="AQ267" s="591">
        <f t="shared" si="169"/>
        <v>0</v>
      </c>
      <c r="AR267" s="868">
        <f>IF(AND($L267=0,$P267=0)=TRUE,VLOOKUP($E267,Plan3!$A$16:$CT$487,$E$7+3,0)/100,0)</f>
        <v>0</v>
      </c>
      <c r="AS267" s="868">
        <f>IF(AND($L267=0,$P267=0)=TRUE,VLOOKUP($E267,Plan3!$A$16:$CT$487,$E$7+6,0)/100,0)</f>
        <v>0</v>
      </c>
      <c r="AT267" s="868">
        <f>IF(AND($L267=0,$P267=0)=TRUE,VLOOKUP($E267,Plan3!$A$16:$CT$487,$E$7+9,0)/100,0)</f>
        <v>0</v>
      </c>
      <c r="AU267" s="868">
        <f>IF(AND($L267=0,$P267=0)=TRUE,VLOOKUP($E267,Plan3!$A$16:$CT$487,$E$7+12,0)/100,0)</f>
        <v>0</v>
      </c>
      <c r="AV267" s="841"/>
      <c r="AW267" s="869">
        <f t="shared" si="170"/>
        <v>0</v>
      </c>
      <c r="AX267" s="870">
        <f t="shared" si="171"/>
        <v>0</v>
      </c>
      <c r="AY267" s="871">
        <f t="shared" si="172"/>
        <v>0</v>
      </c>
      <c r="AZ267" s="237" t="str">
        <f t="shared" si="143"/>
        <v xml:space="preserve">15.001.000.002 </v>
      </c>
      <c r="BA267" s="365"/>
      <c r="BB267" s="365"/>
      <c r="BC267" s="365"/>
      <c r="BD267" s="365"/>
      <c r="BE267" s="365"/>
      <c r="BF267" s="365"/>
      <c r="BG267" s="365"/>
      <c r="BH267" s="365"/>
      <c r="BI267" s="365"/>
      <c r="BJ267" s="365"/>
      <c r="BK267" s="365"/>
      <c r="BL267" s="872">
        <f t="shared" si="144"/>
        <v>0</v>
      </c>
      <c r="BM267" s="873">
        <f t="shared" si="145"/>
        <v>0</v>
      </c>
      <c r="BN267" s="874">
        <f t="shared" si="173"/>
        <v>0</v>
      </c>
      <c r="BO267" s="875">
        <f t="shared" si="146"/>
        <v>0</v>
      </c>
      <c r="BP267" s="875">
        <f t="shared" si="147"/>
        <v>0</v>
      </c>
      <c r="BQ267" s="876">
        <f t="shared" si="174"/>
        <v>0</v>
      </c>
      <c r="BR267" s="877">
        <f t="shared" si="175"/>
        <v>0</v>
      </c>
      <c r="BS267" s="875">
        <f t="shared" si="148"/>
        <v>0</v>
      </c>
      <c r="BT267" s="875">
        <f t="shared" si="149"/>
        <v>0</v>
      </c>
      <c r="BU267" s="878">
        <f t="shared" si="176"/>
        <v>0</v>
      </c>
      <c r="CE267" s="486">
        <v>254</v>
      </c>
    </row>
    <row r="268" spans="1:83" s="177" customFormat="1" ht="21.95" customHeight="1" x14ac:dyDescent="0.2">
      <c r="A268" s="237">
        <f t="shared" si="150"/>
        <v>0</v>
      </c>
      <c r="B268" s="237">
        <f t="shared" si="151"/>
        <v>0</v>
      </c>
      <c r="C268" s="393">
        <f t="shared" si="136"/>
        <v>0</v>
      </c>
      <c r="D268" s="393" t="str">
        <f t="shared" si="137"/>
        <v xml:space="preserve">15 </v>
      </c>
      <c r="E268" s="959" t="s">
        <v>671</v>
      </c>
      <c r="F268" s="959" t="s">
        <v>1498</v>
      </c>
      <c r="G268" s="959" t="s">
        <v>8</v>
      </c>
      <c r="H268" s="970">
        <v>13</v>
      </c>
      <c r="I268" s="965">
        <v>548.07500000000005</v>
      </c>
      <c r="J268" s="964">
        <v>7124.98</v>
      </c>
      <c r="K268" s="367">
        <v>0</v>
      </c>
      <c r="L268" s="367">
        <f>IF($H268="",0,VLOOKUP($E268,Plan3!$A$16:$CT$384,$E$7,0)%)</f>
        <v>0</v>
      </c>
      <c r="M268" s="368">
        <f t="shared" si="155"/>
        <v>0</v>
      </c>
      <c r="N268" s="368">
        <f t="shared" si="156"/>
        <v>0</v>
      </c>
      <c r="O268" s="367">
        <v>0</v>
      </c>
      <c r="P268" s="367">
        <f>VLOOKUP($E268,Plan3!$A$492:$P$858,13,0)%</f>
        <v>0</v>
      </c>
      <c r="Q268" s="368">
        <f t="shared" si="157"/>
        <v>0</v>
      </c>
      <c r="R268" s="368">
        <f t="shared" si="158"/>
        <v>0</v>
      </c>
      <c r="S268" s="880">
        <v>7207.6297679999998</v>
      </c>
      <c r="T268" s="880">
        <f t="shared" si="159"/>
        <v>0</v>
      </c>
      <c r="U268" s="880">
        <f>IF($I268="",0,($S268-$T268)*(1+('Econômico Macro'!$R$12/100)))</f>
        <v>7332.3217629864002</v>
      </c>
      <c r="V268" s="880">
        <f t="shared" si="160"/>
        <v>7332.3217629864002</v>
      </c>
      <c r="W268" s="880">
        <f t="shared" si="161"/>
        <v>0</v>
      </c>
      <c r="X268" s="367">
        <f t="shared" si="138"/>
        <v>0</v>
      </c>
      <c r="Y268" s="367">
        <f t="shared" si="139"/>
        <v>0</v>
      </c>
      <c r="Z268" s="367">
        <f t="shared" si="140"/>
        <v>0</v>
      </c>
      <c r="AA268" s="367">
        <f t="shared" si="141"/>
        <v>0</v>
      </c>
      <c r="AB268" s="369" t="str">
        <f t="shared" si="142"/>
        <v>Não Iniciada</v>
      </c>
      <c r="AC268" s="365"/>
      <c r="AD268" s="368">
        <v>1</v>
      </c>
      <c r="AE268" s="368">
        <f t="shared" si="162"/>
        <v>-1</v>
      </c>
      <c r="AF268" s="365"/>
      <c r="AG268" s="863">
        <f t="shared" si="152"/>
        <v>0</v>
      </c>
      <c r="AH268" s="864">
        <f t="shared" si="163"/>
        <v>0</v>
      </c>
      <c r="AI268" s="863">
        <f t="shared" si="153"/>
        <v>0</v>
      </c>
      <c r="AJ268" s="864">
        <f t="shared" si="164"/>
        <v>0</v>
      </c>
      <c r="AK268" s="365"/>
      <c r="AL268" s="865">
        <f t="shared" si="154"/>
        <v>0</v>
      </c>
      <c r="AM268" s="866">
        <f t="shared" si="165"/>
        <v>0</v>
      </c>
      <c r="AN268" s="866">
        <f t="shared" si="166"/>
        <v>0</v>
      </c>
      <c r="AO268" s="866">
        <f t="shared" si="167"/>
        <v>0</v>
      </c>
      <c r="AP268" s="867">
        <f t="shared" si="168"/>
        <v>0</v>
      </c>
      <c r="AQ268" s="591">
        <f t="shared" si="169"/>
        <v>0</v>
      </c>
      <c r="AR268" s="868">
        <f>IF(AND($L268=0,$P268=0)=TRUE,VLOOKUP($E268,Plan3!$A$16:$CT$487,$E$7+3,0)/100,0)</f>
        <v>0</v>
      </c>
      <c r="AS268" s="868">
        <f>IF(AND($L268=0,$P268=0)=TRUE,VLOOKUP($E268,Plan3!$A$16:$CT$487,$E$7+6,0)/100,0)</f>
        <v>0</v>
      </c>
      <c r="AT268" s="868">
        <f>IF(AND($L268=0,$P268=0)=TRUE,VLOOKUP($E268,Plan3!$A$16:$CT$487,$E$7+9,0)/100,0)</f>
        <v>0</v>
      </c>
      <c r="AU268" s="868">
        <f>IF(AND($L268=0,$P268=0)=TRUE,VLOOKUP($E268,Plan3!$A$16:$CT$487,$E$7+12,0)/100,0)</f>
        <v>0</v>
      </c>
      <c r="AV268" s="841"/>
      <c r="AW268" s="869">
        <f t="shared" si="170"/>
        <v>0</v>
      </c>
      <c r="AX268" s="870">
        <f t="shared" si="171"/>
        <v>0</v>
      </c>
      <c r="AY268" s="871">
        <f t="shared" si="172"/>
        <v>0</v>
      </c>
      <c r="AZ268" s="237" t="str">
        <f t="shared" si="143"/>
        <v xml:space="preserve">15.001.000.003 </v>
      </c>
      <c r="BA268" s="365"/>
      <c r="BB268" s="365"/>
      <c r="BC268" s="365"/>
      <c r="BD268" s="365"/>
      <c r="BE268" s="365"/>
      <c r="BF268" s="365"/>
      <c r="BG268" s="365"/>
      <c r="BH268" s="365"/>
      <c r="BI268" s="365"/>
      <c r="BJ268" s="365"/>
      <c r="BK268" s="365"/>
      <c r="BL268" s="872">
        <f t="shared" si="144"/>
        <v>0</v>
      </c>
      <c r="BM268" s="873">
        <f t="shared" si="145"/>
        <v>0</v>
      </c>
      <c r="BN268" s="874">
        <f t="shared" si="173"/>
        <v>0</v>
      </c>
      <c r="BO268" s="875">
        <f t="shared" si="146"/>
        <v>0</v>
      </c>
      <c r="BP268" s="875">
        <f t="shared" si="147"/>
        <v>0</v>
      </c>
      <c r="BQ268" s="876">
        <f t="shared" si="174"/>
        <v>0</v>
      </c>
      <c r="BR268" s="877">
        <f t="shared" si="175"/>
        <v>0</v>
      </c>
      <c r="BS268" s="875">
        <f t="shared" si="148"/>
        <v>0</v>
      </c>
      <c r="BT268" s="875">
        <f t="shared" si="149"/>
        <v>0</v>
      </c>
      <c r="BU268" s="878">
        <f t="shared" si="176"/>
        <v>0</v>
      </c>
      <c r="CE268" s="486">
        <v>255</v>
      </c>
    </row>
    <row r="269" spans="1:83" s="177" customFormat="1" ht="21.95" customHeight="1" x14ac:dyDescent="0.2">
      <c r="A269" s="237">
        <f t="shared" si="150"/>
        <v>0</v>
      </c>
      <c r="B269" s="237">
        <f t="shared" si="151"/>
        <v>0</v>
      </c>
      <c r="C269" s="393">
        <f t="shared" ref="C269:C332" si="182">IF($D269=$D268,0,$D269)</f>
        <v>0</v>
      </c>
      <c r="D269" s="393" t="str">
        <f t="shared" ref="D269:D332" si="183">IF(LEFT($E269,3)=$E269,$E269,LEFT($D268,2)&amp;" ")</f>
        <v xml:space="preserve">15 </v>
      </c>
      <c r="E269" s="959" t="s">
        <v>672</v>
      </c>
      <c r="F269" s="959" t="s">
        <v>2297</v>
      </c>
      <c r="G269" s="959" t="s">
        <v>8</v>
      </c>
      <c r="H269" s="960">
        <v>1</v>
      </c>
      <c r="I269" s="965">
        <v>548.07500000000005</v>
      </c>
      <c r="J269" s="966">
        <v>548.08000000000004</v>
      </c>
      <c r="K269" s="367">
        <v>0</v>
      </c>
      <c r="L269" s="367">
        <f>IF($H269="",0,VLOOKUP($E269,Plan3!$A$16:$CT$384,$E$7,0)%)</f>
        <v>0</v>
      </c>
      <c r="M269" s="368">
        <f t="shared" si="155"/>
        <v>0</v>
      </c>
      <c r="N269" s="368">
        <f t="shared" si="156"/>
        <v>0</v>
      </c>
      <c r="O269" s="367">
        <v>0</v>
      </c>
      <c r="P269" s="367">
        <f>VLOOKUP($E269,Plan3!$A$492:$P$858,13,0)%</f>
        <v>0</v>
      </c>
      <c r="Q269" s="368">
        <f t="shared" si="157"/>
        <v>0</v>
      </c>
      <c r="R269" s="368">
        <f t="shared" si="158"/>
        <v>0</v>
      </c>
      <c r="S269" s="880">
        <v>554.43772800000011</v>
      </c>
      <c r="T269" s="880">
        <f t="shared" si="159"/>
        <v>0</v>
      </c>
      <c r="U269" s="880">
        <f>IF($I269="",0,($S269-$T269)*(1+('Econômico Macro'!$R$12/100)))</f>
        <v>564.02950069440021</v>
      </c>
      <c r="V269" s="880">
        <f t="shared" si="160"/>
        <v>564.02950069440021</v>
      </c>
      <c r="W269" s="880">
        <f t="shared" si="161"/>
        <v>0</v>
      </c>
      <c r="X269" s="367">
        <f t="shared" ref="X269:X332" si="184">$L269-$K269</f>
        <v>0</v>
      </c>
      <c r="Y269" s="367">
        <f t="shared" ref="Y269:Y332" si="185">$P269-$O269</f>
        <v>0</v>
      </c>
      <c r="Z269" s="367">
        <f t="shared" ref="Z269:Z332" si="186">$P269-$L269</f>
        <v>0</v>
      </c>
      <c r="AA269" s="367">
        <f t="shared" ref="AA269:AA332" si="187">$Y269-$X269</f>
        <v>0</v>
      </c>
      <c r="AB269" s="369" t="str">
        <f t="shared" ref="AB269:AB332" si="188">IF($Z269&lt;0,"Atrasada",IF($Z269&gt;0,"Adiantada",IF($P269=0,"Não Iniciada",0)))</f>
        <v>Não Iniciada</v>
      </c>
      <c r="AC269" s="365"/>
      <c r="AD269" s="368">
        <v>1</v>
      </c>
      <c r="AE269" s="368">
        <f t="shared" si="162"/>
        <v>-1</v>
      </c>
      <c r="AF269" s="365"/>
      <c r="AG269" s="863">
        <f t="shared" si="152"/>
        <v>0</v>
      </c>
      <c r="AH269" s="864">
        <f t="shared" si="163"/>
        <v>0</v>
      </c>
      <c r="AI269" s="863">
        <f t="shared" si="153"/>
        <v>0</v>
      </c>
      <c r="AJ269" s="864">
        <f t="shared" si="164"/>
        <v>0</v>
      </c>
      <c r="AK269" s="365"/>
      <c r="AL269" s="865">
        <f t="shared" si="154"/>
        <v>0</v>
      </c>
      <c r="AM269" s="866">
        <f t="shared" si="165"/>
        <v>0</v>
      </c>
      <c r="AN269" s="866">
        <f t="shared" si="166"/>
        <v>0</v>
      </c>
      <c r="AO269" s="866">
        <f t="shared" si="167"/>
        <v>0</v>
      </c>
      <c r="AP269" s="867">
        <f t="shared" si="168"/>
        <v>0</v>
      </c>
      <c r="AQ269" s="591">
        <f t="shared" si="169"/>
        <v>0</v>
      </c>
      <c r="AR269" s="868">
        <f>IF(AND($L269=0,$P269=0)=TRUE,VLOOKUP($E269,Plan3!$A$16:$CT$487,$E$7+3,0)/100,0)</f>
        <v>0</v>
      </c>
      <c r="AS269" s="868">
        <f>IF(AND($L269=0,$P269=0)=TRUE,VLOOKUP($E269,Plan3!$A$16:$CT$487,$E$7+6,0)/100,0)</f>
        <v>0</v>
      </c>
      <c r="AT269" s="868">
        <f>IF(AND($L269=0,$P269=0)=TRUE,VLOOKUP($E269,Plan3!$A$16:$CT$487,$E$7+9,0)/100,0)</f>
        <v>0</v>
      </c>
      <c r="AU269" s="868">
        <f>IF(AND($L269=0,$P269=0)=TRUE,VLOOKUP($E269,Plan3!$A$16:$CT$487,$E$7+12,0)/100,0)</f>
        <v>0</v>
      </c>
      <c r="AV269" s="841"/>
      <c r="AW269" s="869">
        <f t="shared" si="170"/>
        <v>0</v>
      </c>
      <c r="AX269" s="870">
        <f t="shared" si="171"/>
        <v>0</v>
      </c>
      <c r="AY269" s="871">
        <f t="shared" si="172"/>
        <v>0</v>
      </c>
      <c r="AZ269" s="237" t="str">
        <f t="shared" ref="AZ269:AZ332" si="189">$E269</f>
        <v xml:space="preserve">15.001.000.004 </v>
      </c>
      <c r="BA269" s="365"/>
      <c r="BB269" s="365"/>
      <c r="BC269" s="365"/>
      <c r="BD269" s="365"/>
      <c r="BE269" s="365"/>
      <c r="BF269" s="365"/>
      <c r="BG269" s="365"/>
      <c r="BH269" s="365"/>
      <c r="BI269" s="365"/>
      <c r="BJ269" s="365"/>
      <c r="BK269" s="365"/>
      <c r="BL269" s="872">
        <f t="shared" ref="BL269:BL332" si="190">IF($D269=$D268,0,$D269)</f>
        <v>0</v>
      </c>
      <c r="BM269" s="873">
        <f t="shared" ref="BM269:BM332" si="191">IF($AC269="s",$R269,0)</f>
        <v>0</v>
      </c>
      <c r="BN269" s="874">
        <f t="shared" si="173"/>
        <v>0</v>
      </c>
      <c r="BO269" s="875">
        <f t="shared" ref="BO269:BO332" si="192">IF(OR($BN269=0,$BN269=0),0,$BL269)</f>
        <v>0</v>
      </c>
      <c r="BP269" s="875">
        <f t="shared" ref="BP269:BP332" si="193">IF($AC269&lt;&gt;"S",0,IF($N269-$R269&lt;0,0,$R269-$N269))</f>
        <v>0</v>
      </c>
      <c r="BQ269" s="876">
        <f t="shared" si="174"/>
        <v>0</v>
      </c>
      <c r="BR269" s="877">
        <f t="shared" si="175"/>
        <v>0</v>
      </c>
      <c r="BS269" s="875">
        <f t="shared" ref="BS269:BS332" si="194">IF(OR($BR269=0,$BR269=0),0,$BL269)</f>
        <v>0</v>
      </c>
      <c r="BT269" s="875">
        <f t="shared" ref="BT269:BT332" si="195">IF($AC269&lt;&gt;"S",0,IF($N269-$R269&gt;0,0,$R269-$N269))</f>
        <v>0</v>
      </c>
      <c r="BU269" s="878">
        <f t="shared" si="176"/>
        <v>0</v>
      </c>
      <c r="CE269" s="486">
        <v>256</v>
      </c>
    </row>
    <row r="270" spans="1:83" s="177" customFormat="1" ht="21.95" customHeight="1" x14ac:dyDescent="0.2">
      <c r="A270" s="237">
        <f t="shared" ref="A270:A333" si="196">AJ270</f>
        <v>0</v>
      </c>
      <c r="B270" s="237">
        <f t="shared" ref="B270:B333" si="197">AH270</f>
        <v>0</v>
      </c>
      <c r="C270" s="393">
        <f t="shared" si="182"/>
        <v>0</v>
      </c>
      <c r="D270" s="393" t="str">
        <f t="shared" si="183"/>
        <v xml:space="preserve">15 </v>
      </c>
      <c r="E270" s="959" t="s">
        <v>673</v>
      </c>
      <c r="F270" s="959" t="s">
        <v>2298</v>
      </c>
      <c r="G270" s="959" t="s">
        <v>8</v>
      </c>
      <c r="H270" s="970">
        <v>24</v>
      </c>
      <c r="I270" s="965">
        <v>529.58500000000004</v>
      </c>
      <c r="J270" s="962">
        <v>12710.04</v>
      </c>
      <c r="K270" s="367">
        <v>0</v>
      </c>
      <c r="L270" s="367">
        <f>IF($H270="",0,VLOOKUP($E270,Plan3!$A$16:$CT$384,$E$7,0)%)</f>
        <v>0</v>
      </c>
      <c r="M270" s="368">
        <f t="shared" si="155"/>
        <v>0</v>
      </c>
      <c r="N270" s="368">
        <f t="shared" si="156"/>
        <v>0</v>
      </c>
      <c r="O270" s="367">
        <v>0</v>
      </c>
      <c r="P270" s="367">
        <f>VLOOKUP($E270,Plan3!$A$492:$P$858,13,0)%</f>
        <v>0</v>
      </c>
      <c r="Q270" s="368">
        <f t="shared" si="157"/>
        <v>0</v>
      </c>
      <c r="R270" s="368">
        <f t="shared" si="158"/>
        <v>0</v>
      </c>
      <c r="S270" s="880">
        <v>12857.476464000001</v>
      </c>
      <c r="T270" s="880">
        <f t="shared" si="159"/>
        <v>0</v>
      </c>
      <c r="U270" s="880">
        <f>IF($I270="",0,($S270-$T270)*(1+('Econômico Macro'!$R$12/100)))</f>
        <v>13079.910806827202</v>
      </c>
      <c r="V270" s="880">
        <f t="shared" si="160"/>
        <v>13079.910806827202</v>
      </c>
      <c r="W270" s="880">
        <f t="shared" si="161"/>
        <v>0</v>
      </c>
      <c r="X270" s="367">
        <f t="shared" si="184"/>
        <v>0</v>
      </c>
      <c r="Y270" s="367">
        <f t="shared" si="185"/>
        <v>0</v>
      </c>
      <c r="Z270" s="367">
        <f t="shared" si="186"/>
        <v>0</v>
      </c>
      <c r="AA270" s="367">
        <f t="shared" si="187"/>
        <v>0</v>
      </c>
      <c r="AB270" s="369" t="str">
        <f t="shared" si="188"/>
        <v>Não Iniciada</v>
      </c>
      <c r="AC270" s="365"/>
      <c r="AD270" s="368">
        <v>1</v>
      </c>
      <c r="AE270" s="368">
        <f t="shared" si="162"/>
        <v>-1</v>
      </c>
      <c r="AF270" s="365"/>
      <c r="AG270" s="863">
        <f t="shared" ref="AG270:AG333" si="198">IF($AB270="Não Iniciada",+$AM270,IF($Z270&lt;1,$AM270,0))</f>
        <v>0</v>
      </c>
      <c r="AH270" s="864">
        <f t="shared" si="163"/>
        <v>0</v>
      </c>
      <c r="AI270" s="863">
        <f t="shared" ref="AI270:AI333" si="199">IF($AB270="Não Iniciada",0,IF($AO270=0,0,IF($AO270=0,0,$AO270)))</f>
        <v>0</v>
      </c>
      <c r="AJ270" s="864">
        <f t="shared" si="164"/>
        <v>0</v>
      </c>
      <c r="AK270" s="365"/>
      <c r="AL270" s="865">
        <f t="shared" ref="AL270:AL333" si="200">$R270</f>
        <v>0</v>
      </c>
      <c r="AM270" s="866">
        <f t="shared" si="165"/>
        <v>0</v>
      </c>
      <c r="AN270" s="866">
        <f t="shared" si="166"/>
        <v>0</v>
      </c>
      <c r="AO270" s="866">
        <f t="shared" si="167"/>
        <v>0</v>
      </c>
      <c r="AP270" s="867">
        <f t="shared" si="168"/>
        <v>0</v>
      </c>
      <c r="AQ270" s="591">
        <f t="shared" ref="AQ270:AQ332" si="201">$AY270</f>
        <v>0</v>
      </c>
      <c r="AR270" s="868">
        <f>IF(AND($L270=0,$P270=0)=TRUE,VLOOKUP($E270,Plan3!$A$16:$CT$487,$E$7+3,0)/100,0)</f>
        <v>0</v>
      </c>
      <c r="AS270" s="868">
        <f>IF(AND($L270=0,$P270=0)=TRUE,VLOOKUP($E270,Plan3!$A$16:$CT$487,$E$7+6,0)/100,0)</f>
        <v>0</v>
      </c>
      <c r="AT270" s="868">
        <f>IF(AND($L270=0,$P270=0)=TRUE,VLOOKUP($E270,Plan3!$A$16:$CT$487,$E$7+9,0)/100,0)</f>
        <v>0</v>
      </c>
      <c r="AU270" s="868">
        <f>IF(AND($L270=0,$P270=0)=TRUE,VLOOKUP($E270,Plan3!$A$16:$CT$487,$E$7+12,0)/100,0)</f>
        <v>0</v>
      </c>
      <c r="AV270" s="841"/>
      <c r="AW270" s="869">
        <f t="shared" si="170"/>
        <v>0</v>
      </c>
      <c r="AX270" s="870">
        <f t="shared" si="171"/>
        <v>0</v>
      </c>
      <c r="AY270" s="871">
        <f t="shared" si="172"/>
        <v>0</v>
      </c>
      <c r="AZ270" s="237" t="str">
        <f t="shared" si="189"/>
        <v xml:space="preserve">15.001.000.005 </v>
      </c>
      <c r="BA270" s="365"/>
      <c r="BB270" s="365"/>
      <c r="BC270" s="365"/>
      <c r="BD270" s="365"/>
      <c r="BE270" s="365"/>
      <c r="BF270" s="365"/>
      <c r="BG270" s="365"/>
      <c r="BH270" s="365"/>
      <c r="BI270" s="365"/>
      <c r="BJ270" s="365"/>
      <c r="BK270" s="365"/>
      <c r="BL270" s="872">
        <f t="shared" si="190"/>
        <v>0</v>
      </c>
      <c r="BM270" s="873">
        <f t="shared" si="191"/>
        <v>0</v>
      </c>
      <c r="BN270" s="874">
        <f t="shared" si="173"/>
        <v>0</v>
      </c>
      <c r="BO270" s="875">
        <f t="shared" si="192"/>
        <v>0</v>
      </c>
      <c r="BP270" s="875">
        <f t="shared" si="193"/>
        <v>0</v>
      </c>
      <c r="BQ270" s="876">
        <f t="shared" si="174"/>
        <v>0</v>
      </c>
      <c r="BR270" s="877">
        <f t="shared" si="175"/>
        <v>0</v>
      </c>
      <c r="BS270" s="875">
        <f t="shared" si="194"/>
        <v>0</v>
      </c>
      <c r="BT270" s="875">
        <f t="shared" si="195"/>
        <v>0</v>
      </c>
      <c r="BU270" s="878">
        <f t="shared" si="176"/>
        <v>0</v>
      </c>
      <c r="CE270" s="486">
        <v>257</v>
      </c>
    </row>
    <row r="271" spans="1:83" s="177" customFormat="1" ht="21.95" customHeight="1" x14ac:dyDescent="0.2">
      <c r="A271" s="237">
        <f t="shared" si="196"/>
        <v>0</v>
      </c>
      <c r="B271" s="237">
        <f t="shared" si="197"/>
        <v>0</v>
      </c>
      <c r="C271" s="393">
        <f t="shared" si="182"/>
        <v>0</v>
      </c>
      <c r="D271" s="393" t="str">
        <f t="shared" si="183"/>
        <v xml:space="preserve">15 </v>
      </c>
      <c r="E271" s="967" t="s">
        <v>247</v>
      </c>
      <c r="F271" s="967" t="s">
        <v>242</v>
      </c>
      <c r="G271" s="967"/>
      <c r="H271" s="968"/>
      <c r="I271" s="968"/>
      <c r="J271" s="969">
        <v>10302.26</v>
      </c>
      <c r="K271" s="367">
        <v>0</v>
      </c>
      <c r="L271" s="367">
        <f>IF($H271="",0,VLOOKUP($E271,Plan3!$A$16:$CT$384,$E$7,0)%)</f>
        <v>0</v>
      </c>
      <c r="M271" s="368">
        <f t="shared" ref="M271:M334" si="202">$L271*$H271</f>
        <v>0</v>
      </c>
      <c r="N271" s="368">
        <f t="shared" ref="N271:N334" si="203">$L271*$J271</f>
        <v>0</v>
      </c>
      <c r="O271" s="367">
        <v>0</v>
      </c>
      <c r="P271" s="367">
        <f>VLOOKUP($E271,Plan3!$A$492:$P$858,13,0)%</f>
        <v>0</v>
      </c>
      <c r="Q271" s="368">
        <f t="shared" ref="Q271:Q334" si="204">$P271*$H271</f>
        <v>0</v>
      </c>
      <c r="R271" s="368">
        <f t="shared" ref="R271:R334" si="205">$P271*$J271</f>
        <v>0</v>
      </c>
      <c r="S271" s="880">
        <v>0</v>
      </c>
      <c r="T271" s="880">
        <f t="shared" ref="T271:T334" si="206">$S271*$P271</f>
        <v>0</v>
      </c>
      <c r="U271" s="880">
        <f>IF($I271="",0,($S271-$T271)*(1+('Econômico Macro'!$R$12/100)))</f>
        <v>0</v>
      </c>
      <c r="V271" s="880">
        <f t="shared" ref="V271:V334" si="207">$U271+$T271</f>
        <v>0</v>
      </c>
      <c r="W271" s="880">
        <f t="shared" ref="W271:W334" si="208">V271*L271</f>
        <v>0</v>
      </c>
      <c r="X271" s="367">
        <f t="shared" si="184"/>
        <v>0</v>
      </c>
      <c r="Y271" s="367">
        <f t="shared" si="185"/>
        <v>0</v>
      </c>
      <c r="Z271" s="367">
        <f t="shared" si="186"/>
        <v>0</v>
      </c>
      <c r="AA271" s="367">
        <f t="shared" si="187"/>
        <v>0</v>
      </c>
      <c r="AB271" s="369" t="str">
        <f t="shared" si="188"/>
        <v>Não Iniciada</v>
      </c>
      <c r="AC271" s="365"/>
      <c r="AD271" s="368">
        <v>1</v>
      </c>
      <c r="AE271" s="368">
        <f t="shared" ref="AE271:AE334" si="209">Q271-AD271</f>
        <v>-1</v>
      </c>
      <c r="AF271" s="365"/>
      <c r="AG271" s="863">
        <f t="shared" si="198"/>
        <v>0</v>
      </c>
      <c r="AH271" s="864">
        <f t="shared" ref="AH271:AH334" si="210">IF($AN271=0,0,RANK($AN271,$AN$13:$AN$379))</f>
        <v>0</v>
      </c>
      <c r="AI271" s="863">
        <f t="shared" si="199"/>
        <v>0</v>
      </c>
      <c r="AJ271" s="864">
        <f t="shared" ref="AJ271:AJ334" si="211">IF($AP271=0,0,RANK($AP271,$AP$13:$AP$379))</f>
        <v>0</v>
      </c>
      <c r="AK271" s="365"/>
      <c r="AL271" s="865">
        <f t="shared" si="200"/>
        <v>0</v>
      </c>
      <c r="AM271" s="866">
        <f t="shared" ref="AM271:AM334" si="212">IF($H271="",0,IF(+$N271-$AL271&lt;0,0,+$AL271-$N271))</f>
        <v>0</v>
      </c>
      <c r="AN271" s="866">
        <f t="shared" ref="AN271:AN334" si="213">IF($AM271=0,0,$AM271/$AM$380)</f>
        <v>0</v>
      </c>
      <c r="AO271" s="866">
        <f t="shared" ref="AO271:AO334" si="214">IF($H271="",0,IF($Z271*1000&lt;1,0,IF(+$N271-$R271&gt;0,0,+$R271-$N271)))</f>
        <v>0</v>
      </c>
      <c r="AP271" s="867">
        <f t="shared" ref="AP271:AP334" si="215">IF($AO271=0,0,$AO271/$AO$380)</f>
        <v>0</v>
      </c>
      <c r="AQ271" s="591"/>
      <c r="AR271" s="868"/>
      <c r="AS271" s="868"/>
      <c r="AT271" s="868"/>
      <c r="AU271" s="868"/>
      <c r="AV271" s="841"/>
      <c r="AW271" s="869"/>
      <c r="AX271" s="870"/>
      <c r="AY271" s="871"/>
      <c r="AZ271" s="237" t="str">
        <f t="shared" si="189"/>
        <v xml:space="preserve">15.002 </v>
      </c>
      <c r="BA271" s="365"/>
      <c r="BB271" s="365"/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872">
        <f t="shared" si="190"/>
        <v>0</v>
      </c>
      <c r="BM271" s="873">
        <f t="shared" si="191"/>
        <v>0</v>
      </c>
      <c r="BN271" s="874">
        <f t="shared" ref="BN271:BN334" si="216">IF($BQ271=0,0,RANK($BQ271,$BQ$12:$BQ$379))</f>
        <v>0</v>
      </c>
      <c r="BO271" s="875">
        <f t="shared" si="192"/>
        <v>0</v>
      </c>
      <c r="BP271" s="875">
        <f t="shared" si="193"/>
        <v>0</v>
      </c>
      <c r="BQ271" s="876">
        <f t="shared" ref="BQ271:BQ334" si="217">IF($BP271=0,0,$BP271/$BP$380)</f>
        <v>0</v>
      </c>
      <c r="BR271" s="877">
        <f t="shared" ref="BR271:BR334" si="218">IF($BU271=0,0,RANK($BU271,$BU$12:$BU$379))</f>
        <v>0</v>
      </c>
      <c r="BS271" s="875">
        <f t="shared" si="194"/>
        <v>0</v>
      </c>
      <c r="BT271" s="875">
        <f t="shared" si="195"/>
        <v>0</v>
      </c>
      <c r="BU271" s="878">
        <f t="shared" ref="BU271:BU334" si="219">IF($BT271=0,0,$BT271/$BT$380)</f>
        <v>0</v>
      </c>
      <c r="CE271" s="486">
        <v>258</v>
      </c>
    </row>
    <row r="272" spans="1:83" s="177" customFormat="1" ht="21.95" customHeight="1" x14ac:dyDescent="0.2">
      <c r="A272" s="237">
        <f t="shared" si="196"/>
        <v>0</v>
      </c>
      <c r="B272" s="237">
        <f t="shared" si="197"/>
        <v>0</v>
      </c>
      <c r="C272" s="393">
        <f t="shared" si="182"/>
        <v>0</v>
      </c>
      <c r="D272" s="393" t="str">
        <f t="shared" si="183"/>
        <v xml:space="preserve">15 </v>
      </c>
      <c r="E272" s="959" t="s">
        <v>248</v>
      </c>
      <c r="F272" s="959" t="s">
        <v>2299</v>
      </c>
      <c r="G272" s="959" t="s">
        <v>8</v>
      </c>
      <c r="H272" s="970">
        <v>13</v>
      </c>
      <c r="I272" s="970">
        <v>67.241600000000005</v>
      </c>
      <c r="J272" s="966">
        <v>874.14</v>
      </c>
      <c r="K272" s="367">
        <v>0</v>
      </c>
      <c r="L272" s="367">
        <f>IF($H272="",0,VLOOKUP($E272,Plan3!$A$16:$CT$384,$E$7,0)%)</f>
        <v>0</v>
      </c>
      <c r="M272" s="368">
        <f t="shared" si="202"/>
        <v>0</v>
      </c>
      <c r="N272" s="368">
        <f t="shared" si="203"/>
        <v>0</v>
      </c>
      <c r="O272" s="367">
        <v>0</v>
      </c>
      <c r="P272" s="367">
        <f>VLOOKUP($E272,Plan3!$A$492:$P$858,13,0)%</f>
        <v>0</v>
      </c>
      <c r="Q272" s="368">
        <f t="shared" si="204"/>
        <v>0</v>
      </c>
      <c r="R272" s="368">
        <f t="shared" si="205"/>
        <v>0</v>
      </c>
      <c r="S272" s="880">
        <v>884.28002400000003</v>
      </c>
      <c r="T272" s="880">
        <f t="shared" si="206"/>
        <v>0</v>
      </c>
      <c r="U272" s="880">
        <f>IF($I272="",0,($S272-$T272)*(1+('Econômico Macro'!$R$12/100)))</f>
        <v>899.57806841520016</v>
      </c>
      <c r="V272" s="880">
        <f t="shared" si="207"/>
        <v>899.57806841520016</v>
      </c>
      <c r="W272" s="880">
        <f t="shared" si="208"/>
        <v>0</v>
      </c>
      <c r="X272" s="367">
        <f t="shared" si="184"/>
        <v>0</v>
      </c>
      <c r="Y272" s="367">
        <f t="shared" si="185"/>
        <v>0</v>
      </c>
      <c r="Z272" s="367">
        <f t="shared" si="186"/>
        <v>0</v>
      </c>
      <c r="AA272" s="367">
        <f t="shared" si="187"/>
        <v>0</v>
      </c>
      <c r="AB272" s="369" t="str">
        <f t="shared" si="188"/>
        <v>Não Iniciada</v>
      </c>
      <c r="AC272" s="365"/>
      <c r="AD272" s="368">
        <v>1</v>
      </c>
      <c r="AE272" s="368">
        <f t="shared" si="209"/>
        <v>-1</v>
      </c>
      <c r="AF272" s="365"/>
      <c r="AG272" s="863">
        <f t="shared" si="198"/>
        <v>0</v>
      </c>
      <c r="AH272" s="864">
        <f t="shared" si="210"/>
        <v>0</v>
      </c>
      <c r="AI272" s="863">
        <f t="shared" si="199"/>
        <v>0</v>
      </c>
      <c r="AJ272" s="864">
        <f t="shared" si="211"/>
        <v>0</v>
      </c>
      <c r="AK272" s="365"/>
      <c r="AL272" s="865">
        <f t="shared" si="200"/>
        <v>0</v>
      </c>
      <c r="AM272" s="866">
        <f t="shared" si="212"/>
        <v>0</v>
      </c>
      <c r="AN272" s="866">
        <f t="shared" si="213"/>
        <v>0</v>
      </c>
      <c r="AO272" s="866">
        <f t="shared" si="214"/>
        <v>0</v>
      </c>
      <c r="AP272" s="867">
        <f t="shared" si="215"/>
        <v>0</v>
      </c>
      <c r="AQ272" s="591">
        <f t="shared" si="201"/>
        <v>0</v>
      </c>
      <c r="AR272" s="868">
        <f>IF(AND($L272=0,$P272=0)=TRUE,VLOOKUP($E272,Plan3!$A$16:$CT$487,$E$7+3,0)/100,0)</f>
        <v>0</v>
      </c>
      <c r="AS272" s="868">
        <f>IF(AND($L272=0,$P272=0)=TRUE,VLOOKUP($E272,Plan3!$A$16:$CT$487,$E$7+6,0)/100,0)</f>
        <v>0</v>
      </c>
      <c r="AT272" s="868">
        <f>IF(AND($L272=0,$P272=0)=TRUE,VLOOKUP($E272,Plan3!$A$16:$CT$487,$E$7+9,0)/100,0)</f>
        <v>0</v>
      </c>
      <c r="AU272" s="868">
        <f>IF(AND($L272=0,$P272=0)=TRUE,VLOOKUP($E272,Plan3!$A$16:$CT$487,$E$7+12,0)/100,0)</f>
        <v>0</v>
      </c>
      <c r="AV272" s="841"/>
      <c r="AW272" s="869">
        <f t="shared" ref="AW272:AW334" si="220">IF(MAX($AR272:$AU272)=0,0,MAX($AR272:$AU272)*$J272)</f>
        <v>0</v>
      </c>
      <c r="AX272" s="870">
        <f t="shared" ref="AX272:AX334" si="221">IF($AW272=0,0,$AW272/$AW$380)</f>
        <v>0</v>
      </c>
      <c r="AY272" s="871">
        <f t="shared" ref="AY272:AY334" si="222">IF($AX272=0,0,RANK($AX272,$AX$14:$AX$379))</f>
        <v>0</v>
      </c>
      <c r="AZ272" s="237" t="str">
        <f t="shared" si="189"/>
        <v xml:space="preserve">15.002.000.001 </v>
      </c>
      <c r="BA272" s="365"/>
      <c r="BB272" s="365"/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872">
        <f t="shared" si="190"/>
        <v>0</v>
      </c>
      <c r="BM272" s="873">
        <f t="shared" si="191"/>
        <v>0</v>
      </c>
      <c r="BN272" s="874">
        <f t="shared" si="216"/>
        <v>0</v>
      </c>
      <c r="BO272" s="875">
        <f t="shared" si="192"/>
        <v>0</v>
      </c>
      <c r="BP272" s="875">
        <f t="shared" si="193"/>
        <v>0</v>
      </c>
      <c r="BQ272" s="876">
        <f t="shared" si="217"/>
        <v>0</v>
      </c>
      <c r="BR272" s="877">
        <f t="shared" si="218"/>
        <v>0</v>
      </c>
      <c r="BS272" s="875">
        <f t="shared" si="194"/>
        <v>0</v>
      </c>
      <c r="BT272" s="875">
        <f t="shared" si="195"/>
        <v>0</v>
      </c>
      <c r="BU272" s="878">
        <f t="shared" si="219"/>
        <v>0</v>
      </c>
      <c r="CE272" s="486">
        <v>259</v>
      </c>
    </row>
    <row r="273" spans="1:83" s="177" customFormat="1" ht="21.95" customHeight="1" x14ac:dyDescent="0.2">
      <c r="A273" s="237">
        <f t="shared" si="196"/>
        <v>0</v>
      </c>
      <c r="B273" s="237">
        <f t="shared" si="197"/>
        <v>0</v>
      </c>
      <c r="C273" s="393">
        <f t="shared" si="182"/>
        <v>0</v>
      </c>
      <c r="D273" s="393" t="str">
        <f t="shared" si="183"/>
        <v xml:space="preserve">15 </v>
      </c>
      <c r="E273" s="959" t="s">
        <v>249</v>
      </c>
      <c r="F273" s="959" t="s">
        <v>2300</v>
      </c>
      <c r="G273" s="959" t="s">
        <v>8</v>
      </c>
      <c r="H273" s="960">
        <v>1</v>
      </c>
      <c r="I273" s="970">
        <v>41.451999999999998</v>
      </c>
      <c r="J273" s="976">
        <v>41.45</v>
      </c>
      <c r="K273" s="367">
        <v>0</v>
      </c>
      <c r="L273" s="367">
        <f>IF($H273="",0,VLOOKUP($E273,Plan3!$A$16:$CT$384,$E$7,0)%)</f>
        <v>0</v>
      </c>
      <c r="M273" s="368">
        <f t="shared" si="202"/>
        <v>0</v>
      </c>
      <c r="N273" s="368">
        <f t="shared" si="203"/>
        <v>0</v>
      </c>
      <c r="O273" s="367">
        <v>0</v>
      </c>
      <c r="P273" s="367">
        <f>VLOOKUP($E273,Plan3!$A$492:$P$858,13,0)%</f>
        <v>0</v>
      </c>
      <c r="Q273" s="368">
        <f t="shared" si="204"/>
        <v>0</v>
      </c>
      <c r="R273" s="368">
        <f t="shared" si="205"/>
        <v>0</v>
      </c>
      <c r="S273" s="880">
        <v>41.930820000000004</v>
      </c>
      <c r="T273" s="880">
        <f t="shared" si="206"/>
        <v>0</v>
      </c>
      <c r="U273" s="880">
        <f>IF($I273="",0,($S273-$T273)*(1+('Econômico Macro'!$R$12/100)))</f>
        <v>42.656223186000005</v>
      </c>
      <c r="V273" s="880">
        <f t="shared" si="207"/>
        <v>42.656223186000005</v>
      </c>
      <c r="W273" s="880">
        <f t="shared" si="208"/>
        <v>0</v>
      </c>
      <c r="X273" s="367">
        <f t="shared" si="184"/>
        <v>0</v>
      </c>
      <c r="Y273" s="367">
        <f t="shared" si="185"/>
        <v>0</v>
      </c>
      <c r="Z273" s="367">
        <f t="shared" si="186"/>
        <v>0</v>
      </c>
      <c r="AA273" s="367">
        <f t="shared" si="187"/>
        <v>0</v>
      </c>
      <c r="AB273" s="369" t="str">
        <f t="shared" si="188"/>
        <v>Não Iniciada</v>
      </c>
      <c r="AC273" s="365"/>
      <c r="AD273" s="368">
        <v>1</v>
      </c>
      <c r="AE273" s="368">
        <f t="shared" si="209"/>
        <v>-1</v>
      </c>
      <c r="AF273" s="365"/>
      <c r="AG273" s="863">
        <f t="shared" si="198"/>
        <v>0</v>
      </c>
      <c r="AH273" s="864">
        <f t="shared" si="210"/>
        <v>0</v>
      </c>
      <c r="AI273" s="863">
        <f t="shared" si="199"/>
        <v>0</v>
      </c>
      <c r="AJ273" s="864">
        <f t="shared" si="211"/>
        <v>0</v>
      </c>
      <c r="AK273" s="365"/>
      <c r="AL273" s="865">
        <f t="shared" si="200"/>
        <v>0</v>
      </c>
      <c r="AM273" s="866">
        <f t="shared" si="212"/>
        <v>0</v>
      </c>
      <c r="AN273" s="866">
        <f t="shared" si="213"/>
        <v>0</v>
      </c>
      <c r="AO273" s="866">
        <f t="shared" si="214"/>
        <v>0</v>
      </c>
      <c r="AP273" s="867">
        <f t="shared" si="215"/>
        <v>0</v>
      </c>
      <c r="AQ273" s="591">
        <f t="shared" si="201"/>
        <v>0</v>
      </c>
      <c r="AR273" s="868">
        <f>IF(AND($L273=0,$P273=0)=TRUE,VLOOKUP($E273,Plan3!$A$16:$CT$487,$E$7+3,0)/100,0)</f>
        <v>0</v>
      </c>
      <c r="AS273" s="868">
        <f>IF(AND($L273=0,$P273=0)=TRUE,VLOOKUP($E273,Plan3!$A$16:$CT$487,$E$7+6,0)/100,0)</f>
        <v>0</v>
      </c>
      <c r="AT273" s="868">
        <f>IF(AND($L273=0,$P273=0)=TRUE,VLOOKUP($E273,Plan3!$A$16:$CT$487,$E$7+9,0)/100,0)</f>
        <v>0</v>
      </c>
      <c r="AU273" s="868">
        <f>IF(AND($L273=0,$P273=0)=TRUE,VLOOKUP($E273,Plan3!$A$16:$CT$487,$E$7+12,0)/100,0)</f>
        <v>0</v>
      </c>
      <c r="AV273" s="841"/>
      <c r="AW273" s="869">
        <f t="shared" si="220"/>
        <v>0</v>
      </c>
      <c r="AX273" s="870">
        <f t="shared" si="221"/>
        <v>0</v>
      </c>
      <c r="AY273" s="871">
        <f t="shared" si="222"/>
        <v>0</v>
      </c>
      <c r="AZ273" s="237" t="str">
        <f t="shared" si="189"/>
        <v xml:space="preserve">15.002.000.002 </v>
      </c>
      <c r="BA273" s="365"/>
      <c r="BB273" s="365"/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872">
        <f t="shared" si="190"/>
        <v>0</v>
      </c>
      <c r="BM273" s="873">
        <f t="shared" si="191"/>
        <v>0</v>
      </c>
      <c r="BN273" s="874">
        <f t="shared" si="216"/>
        <v>0</v>
      </c>
      <c r="BO273" s="875">
        <f t="shared" si="192"/>
        <v>0</v>
      </c>
      <c r="BP273" s="875">
        <f t="shared" si="193"/>
        <v>0</v>
      </c>
      <c r="BQ273" s="876">
        <f t="shared" si="217"/>
        <v>0</v>
      </c>
      <c r="BR273" s="877">
        <f t="shared" si="218"/>
        <v>0</v>
      </c>
      <c r="BS273" s="875">
        <f t="shared" si="194"/>
        <v>0</v>
      </c>
      <c r="BT273" s="875">
        <f t="shared" si="195"/>
        <v>0</v>
      </c>
      <c r="BU273" s="878">
        <f t="shared" si="219"/>
        <v>0</v>
      </c>
      <c r="CE273" s="486">
        <v>260</v>
      </c>
    </row>
    <row r="274" spans="1:83" s="177" customFormat="1" ht="21.95" customHeight="1" x14ac:dyDescent="0.2">
      <c r="A274" s="237">
        <f t="shared" si="196"/>
        <v>0</v>
      </c>
      <c r="B274" s="237">
        <f t="shared" si="197"/>
        <v>0</v>
      </c>
      <c r="C274" s="393">
        <f t="shared" si="182"/>
        <v>0</v>
      </c>
      <c r="D274" s="393" t="str">
        <f t="shared" si="183"/>
        <v xml:space="preserve">15 </v>
      </c>
      <c r="E274" s="959" t="s">
        <v>674</v>
      </c>
      <c r="F274" s="959" t="s">
        <v>497</v>
      </c>
      <c r="G274" s="959" t="s">
        <v>8</v>
      </c>
      <c r="H274" s="970">
        <v>60</v>
      </c>
      <c r="I274" s="970">
        <v>38.854900000000001</v>
      </c>
      <c r="J274" s="964">
        <v>2331.29</v>
      </c>
      <c r="K274" s="367">
        <v>0</v>
      </c>
      <c r="L274" s="367">
        <f>IF($H274="",0,VLOOKUP($E274,Plan3!$A$16:$CT$384,$E$7,0)%)</f>
        <v>0</v>
      </c>
      <c r="M274" s="368">
        <f t="shared" si="202"/>
        <v>0</v>
      </c>
      <c r="N274" s="368">
        <f t="shared" si="203"/>
        <v>0</v>
      </c>
      <c r="O274" s="367">
        <v>0</v>
      </c>
      <c r="P274" s="367">
        <f>VLOOKUP($E274,Plan3!$A$492:$P$858,13,0)%</f>
        <v>0</v>
      </c>
      <c r="Q274" s="368">
        <f t="shared" si="204"/>
        <v>0</v>
      </c>
      <c r="R274" s="368">
        <f t="shared" si="205"/>
        <v>0</v>
      </c>
      <c r="S274" s="880">
        <v>2358.3329640000002</v>
      </c>
      <c r="T274" s="880">
        <f t="shared" si="206"/>
        <v>0</v>
      </c>
      <c r="U274" s="880">
        <f>IF($I274="",0,($S274-$T274)*(1+('Econômico Macro'!$R$12/100)))</f>
        <v>2399.1321242772005</v>
      </c>
      <c r="V274" s="880">
        <f t="shared" si="207"/>
        <v>2399.1321242772005</v>
      </c>
      <c r="W274" s="880">
        <f t="shared" si="208"/>
        <v>0</v>
      </c>
      <c r="X274" s="367">
        <f t="shared" si="184"/>
        <v>0</v>
      </c>
      <c r="Y274" s="367">
        <f t="shared" si="185"/>
        <v>0</v>
      </c>
      <c r="Z274" s="367">
        <f t="shared" si="186"/>
        <v>0</v>
      </c>
      <c r="AA274" s="367">
        <f t="shared" si="187"/>
        <v>0</v>
      </c>
      <c r="AB274" s="369" t="str">
        <f t="shared" si="188"/>
        <v>Não Iniciada</v>
      </c>
      <c r="AC274" s="365"/>
      <c r="AD274" s="368">
        <v>1</v>
      </c>
      <c r="AE274" s="368">
        <f t="shared" si="209"/>
        <v>-1</v>
      </c>
      <c r="AF274" s="365"/>
      <c r="AG274" s="863">
        <f t="shared" si="198"/>
        <v>0</v>
      </c>
      <c r="AH274" s="864">
        <f t="shared" si="210"/>
        <v>0</v>
      </c>
      <c r="AI274" s="863">
        <f t="shared" si="199"/>
        <v>0</v>
      </c>
      <c r="AJ274" s="864">
        <f t="shared" si="211"/>
        <v>0</v>
      </c>
      <c r="AK274" s="365"/>
      <c r="AL274" s="865">
        <f t="shared" si="200"/>
        <v>0</v>
      </c>
      <c r="AM274" s="866">
        <f t="shared" si="212"/>
        <v>0</v>
      </c>
      <c r="AN274" s="866">
        <f t="shared" si="213"/>
        <v>0</v>
      </c>
      <c r="AO274" s="866">
        <f t="shared" si="214"/>
        <v>0</v>
      </c>
      <c r="AP274" s="867">
        <f t="shared" si="215"/>
        <v>0</v>
      </c>
      <c r="AQ274" s="591">
        <f t="shared" si="201"/>
        <v>0</v>
      </c>
      <c r="AR274" s="868">
        <f>IF(AND($L274=0,$P274=0)=TRUE,VLOOKUP($E274,Plan3!$A$16:$CT$487,$E$7+3,0)/100,0)</f>
        <v>0</v>
      </c>
      <c r="AS274" s="868">
        <f>IF(AND($L274=0,$P274=0)=TRUE,VLOOKUP($E274,Plan3!$A$16:$CT$487,$E$7+6,0)/100,0)</f>
        <v>0</v>
      </c>
      <c r="AT274" s="868">
        <f>IF(AND($L274=0,$P274=0)=TRUE,VLOOKUP($E274,Plan3!$A$16:$CT$487,$E$7+9,0)/100,0)</f>
        <v>0</v>
      </c>
      <c r="AU274" s="868">
        <f>IF(AND($L274=0,$P274=0)=TRUE,VLOOKUP($E274,Plan3!$A$16:$CT$487,$E$7+12,0)/100,0)</f>
        <v>0</v>
      </c>
      <c r="AV274" s="841"/>
      <c r="AW274" s="869">
        <f t="shared" si="220"/>
        <v>0</v>
      </c>
      <c r="AX274" s="870">
        <f t="shared" si="221"/>
        <v>0</v>
      </c>
      <c r="AY274" s="871">
        <f t="shared" si="222"/>
        <v>0</v>
      </c>
      <c r="AZ274" s="237" t="str">
        <f t="shared" si="189"/>
        <v xml:space="preserve">15.002.000.003 </v>
      </c>
      <c r="BA274" s="365"/>
      <c r="BB274" s="365"/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872">
        <f t="shared" si="190"/>
        <v>0</v>
      </c>
      <c r="BM274" s="873">
        <f t="shared" si="191"/>
        <v>0</v>
      </c>
      <c r="BN274" s="874">
        <f t="shared" si="216"/>
        <v>0</v>
      </c>
      <c r="BO274" s="875">
        <f t="shared" si="192"/>
        <v>0</v>
      </c>
      <c r="BP274" s="875">
        <f t="shared" si="193"/>
        <v>0</v>
      </c>
      <c r="BQ274" s="876">
        <f t="shared" si="217"/>
        <v>0</v>
      </c>
      <c r="BR274" s="877">
        <f t="shared" si="218"/>
        <v>0</v>
      </c>
      <c r="BS274" s="875">
        <f t="shared" si="194"/>
        <v>0</v>
      </c>
      <c r="BT274" s="875">
        <f t="shared" si="195"/>
        <v>0</v>
      </c>
      <c r="BU274" s="878">
        <f t="shared" si="219"/>
        <v>0</v>
      </c>
      <c r="CE274" s="486">
        <v>261</v>
      </c>
    </row>
    <row r="275" spans="1:83" s="177" customFormat="1" ht="21.95" customHeight="1" x14ac:dyDescent="0.2">
      <c r="A275" s="237">
        <f t="shared" si="196"/>
        <v>0</v>
      </c>
      <c r="B275" s="237">
        <f t="shared" si="197"/>
        <v>0</v>
      </c>
      <c r="C275" s="393">
        <f t="shared" si="182"/>
        <v>0</v>
      </c>
      <c r="D275" s="393" t="str">
        <f t="shared" si="183"/>
        <v xml:space="preserve">15 </v>
      </c>
      <c r="E275" s="959" t="s">
        <v>675</v>
      </c>
      <c r="F275" s="959" t="s">
        <v>499</v>
      </c>
      <c r="G275" s="959" t="s">
        <v>8</v>
      </c>
      <c r="H275" s="970">
        <v>51</v>
      </c>
      <c r="I275" s="970">
        <v>41.451999999999998</v>
      </c>
      <c r="J275" s="964">
        <v>2114.0500000000002</v>
      </c>
      <c r="K275" s="367">
        <v>0</v>
      </c>
      <c r="L275" s="367">
        <f>IF($H275="",0,VLOOKUP($E275,Plan3!$A$16:$CT$384,$E$7,0)%)</f>
        <v>0</v>
      </c>
      <c r="M275" s="368">
        <f t="shared" si="202"/>
        <v>0</v>
      </c>
      <c r="N275" s="368">
        <f t="shared" si="203"/>
        <v>0</v>
      </c>
      <c r="O275" s="367">
        <v>0</v>
      </c>
      <c r="P275" s="367">
        <f>VLOOKUP($E275,Plan3!$A$492:$P$858,13,0)%</f>
        <v>0</v>
      </c>
      <c r="Q275" s="368">
        <f t="shared" si="204"/>
        <v>0</v>
      </c>
      <c r="R275" s="368">
        <f t="shared" si="205"/>
        <v>0</v>
      </c>
      <c r="S275" s="880">
        <v>2138.5729800000004</v>
      </c>
      <c r="T275" s="880">
        <f t="shared" si="206"/>
        <v>0</v>
      </c>
      <c r="U275" s="880">
        <f>IF($I275="",0,($S275-$T275)*(1+('Econômico Macro'!$R$12/100)))</f>
        <v>2175.5702925540004</v>
      </c>
      <c r="V275" s="880">
        <f t="shared" si="207"/>
        <v>2175.5702925540004</v>
      </c>
      <c r="W275" s="880">
        <f t="shared" si="208"/>
        <v>0</v>
      </c>
      <c r="X275" s="367">
        <f t="shared" si="184"/>
        <v>0</v>
      </c>
      <c r="Y275" s="367">
        <f t="shared" si="185"/>
        <v>0</v>
      </c>
      <c r="Z275" s="367">
        <f t="shared" si="186"/>
        <v>0</v>
      </c>
      <c r="AA275" s="367">
        <f t="shared" si="187"/>
        <v>0</v>
      </c>
      <c r="AB275" s="369" t="str">
        <f t="shared" si="188"/>
        <v>Não Iniciada</v>
      </c>
      <c r="AC275" s="365"/>
      <c r="AD275" s="368">
        <v>1</v>
      </c>
      <c r="AE275" s="368">
        <f t="shared" si="209"/>
        <v>-1</v>
      </c>
      <c r="AF275" s="365"/>
      <c r="AG275" s="863">
        <f t="shared" si="198"/>
        <v>0</v>
      </c>
      <c r="AH275" s="864">
        <f t="shared" si="210"/>
        <v>0</v>
      </c>
      <c r="AI275" s="863">
        <f t="shared" si="199"/>
        <v>0</v>
      </c>
      <c r="AJ275" s="864">
        <f t="shared" si="211"/>
        <v>0</v>
      </c>
      <c r="AK275" s="365"/>
      <c r="AL275" s="865">
        <f t="shared" si="200"/>
        <v>0</v>
      </c>
      <c r="AM275" s="866">
        <f t="shared" si="212"/>
        <v>0</v>
      </c>
      <c r="AN275" s="866">
        <f t="shared" si="213"/>
        <v>0</v>
      </c>
      <c r="AO275" s="866">
        <f t="shared" si="214"/>
        <v>0</v>
      </c>
      <c r="AP275" s="867">
        <f t="shared" si="215"/>
        <v>0</v>
      </c>
      <c r="AQ275" s="591">
        <f t="shared" si="201"/>
        <v>0</v>
      </c>
      <c r="AR275" s="868">
        <f>IF(AND($L275=0,$P275=0)=TRUE,VLOOKUP($E275,Plan3!$A$16:$CT$487,$E$7+3,0)/100,0)</f>
        <v>0</v>
      </c>
      <c r="AS275" s="868">
        <f>IF(AND($L275=0,$P275=0)=TRUE,VLOOKUP($E275,Plan3!$A$16:$CT$487,$E$7+6,0)/100,0)</f>
        <v>0</v>
      </c>
      <c r="AT275" s="868">
        <f>IF(AND($L275=0,$P275=0)=TRUE,VLOOKUP($E275,Plan3!$A$16:$CT$487,$E$7+9,0)/100,0)</f>
        <v>0</v>
      </c>
      <c r="AU275" s="868">
        <f>IF(AND($L275=0,$P275=0)=TRUE,VLOOKUP($E275,Plan3!$A$16:$CT$487,$E$7+12,0)/100,0)</f>
        <v>0</v>
      </c>
      <c r="AV275" s="841"/>
      <c r="AW275" s="869">
        <f t="shared" si="220"/>
        <v>0</v>
      </c>
      <c r="AX275" s="870">
        <f t="shared" si="221"/>
        <v>0</v>
      </c>
      <c r="AY275" s="871">
        <f t="shared" si="222"/>
        <v>0</v>
      </c>
      <c r="AZ275" s="237" t="str">
        <f t="shared" si="189"/>
        <v xml:space="preserve">15.002.000.004 </v>
      </c>
      <c r="BA275" s="365"/>
      <c r="BB275" s="365"/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872">
        <f t="shared" si="190"/>
        <v>0</v>
      </c>
      <c r="BM275" s="873">
        <f t="shared" si="191"/>
        <v>0</v>
      </c>
      <c r="BN275" s="874">
        <f t="shared" si="216"/>
        <v>0</v>
      </c>
      <c r="BO275" s="875">
        <f t="shared" si="192"/>
        <v>0</v>
      </c>
      <c r="BP275" s="875">
        <f t="shared" si="193"/>
        <v>0</v>
      </c>
      <c r="BQ275" s="876">
        <f t="shared" si="217"/>
        <v>0</v>
      </c>
      <c r="BR275" s="877">
        <f t="shared" si="218"/>
        <v>0</v>
      </c>
      <c r="BS275" s="875">
        <f t="shared" si="194"/>
        <v>0</v>
      </c>
      <c r="BT275" s="875">
        <f t="shared" si="195"/>
        <v>0</v>
      </c>
      <c r="BU275" s="878">
        <f t="shared" si="219"/>
        <v>0</v>
      </c>
      <c r="CE275" s="486">
        <v>262</v>
      </c>
    </row>
    <row r="276" spans="1:83" s="177" customFormat="1" ht="21.95" customHeight="1" x14ac:dyDescent="0.2">
      <c r="A276" s="237">
        <f t="shared" si="196"/>
        <v>0</v>
      </c>
      <c r="B276" s="237">
        <f t="shared" si="197"/>
        <v>0</v>
      </c>
      <c r="C276" s="393">
        <f t="shared" si="182"/>
        <v>0</v>
      </c>
      <c r="D276" s="393" t="str">
        <f t="shared" si="183"/>
        <v xml:space="preserve">15 </v>
      </c>
      <c r="E276" s="959" t="s">
        <v>676</v>
      </c>
      <c r="F276" s="959" t="s">
        <v>1501</v>
      </c>
      <c r="G276" s="959" t="s">
        <v>8</v>
      </c>
      <c r="H276" s="970">
        <v>24</v>
      </c>
      <c r="I276" s="970">
        <v>44.9</v>
      </c>
      <c r="J276" s="964">
        <v>1077.5999999999999</v>
      </c>
      <c r="K276" s="367">
        <v>0</v>
      </c>
      <c r="L276" s="367">
        <f>IF($H276="",0,VLOOKUP($E276,Plan3!$A$16:$CT$384,$E$7,0)%)</f>
        <v>0</v>
      </c>
      <c r="M276" s="368">
        <f t="shared" si="202"/>
        <v>0</v>
      </c>
      <c r="N276" s="368">
        <f t="shared" si="203"/>
        <v>0</v>
      </c>
      <c r="O276" s="367">
        <v>0</v>
      </c>
      <c r="P276" s="367">
        <f>VLOOKUP($E276,Plan3!$A$492:$P$858,13,0)%</f>
        <v>0</v>
      </c>
      <c r="Q276" s="368">
        <f t="shared" si="204"/>
        <v>0</v>
      </c>
      <c r="R276" s="368">
        <f t="shared" si="205"/>
        <v>0</v>
      </c>
      <c r="S276" s="880">
        <v>1090.10016</v>
      </c>
      <c r="T276" s="880">
        <f t="shared" si="206"/>
        <v>0</v>
      </c>
      <c r="U276" s="880">
        <f>IF($I276="",0,($S276-$T276)*(1+('Econômico Macro'!$R$12/100)))</f>
        <v>1108.9588927680002</v>
      </c>
      <c r="V276" s="880">
        <f t="shared" si="207"/>
        <v>1108.9588927680002</v>
      </c>
      <c r="W276" s="880">
        <f t="shared" si="208"/>
        <v>0</v>
      </c>
      <c r="X276" s="367">
        <f t="shared" si="184"/>
        <v>0</v>
      </c>
      <c r="Y276" s="367">
        <f t="shared" si="185"/>
        <v>0</v>
      </c>
      <c r="Z276" s="367">
        <f t="shared" si="186"/>
        <v>0</v>
      </c>
      <c r="AA276" s="367">
        <f t="shared" si="187"/>
        <v>0</v>
      </c>
      <c r="AB276" s="369" t="str">
        <f t="shared" si="188"/>
        <v>Não Iniciada</v>
      </c>
      <c r="AC276" s="365"/>
      <c r="AD276" s="368">
        <v>1</v>
      </c>
      <c r="AE276" s="368">
        <f t="shared" si="209"/>
        <v>-1</v>
      </c>
      <c r="AF276" s="365"/>
      <c r="AG276" s="863">
        <f t="shared" si="198"/>
        <v>0</v>
      </c>
      <c r="AH276" s="864">
        <f t="shared" si="210"/>
        <v>0</v>
      </c>
      <c r="AI276" s="863">
        <f t="shared" si="199"/>
        <v>0</v>
      </c>
      <c r="AJ276" s="864">
        <f t="shared" si="211"/>
        <v>0</v>
      </c>
      <c r="AK276" s="365"/>
      <c r="AL276" s="865">
        <f t="shared" si="200"/>
        <v>0</v>
      </c>
      <c r="AM276" s="866">
        <f t="shared" si="212"/>
        <v>0</v>
      </c>
      <c r="AN276" s="866">
        <f t="shared" si="213"/>
        <v>0</v>
      </c>
      <c r="AO276" s="866">
        <f t="shared" si="214"/>
        <v>0</v>
      </c>
      <c r="AP276" s="867">
        <f t="shared" si="215"/>
        <v>0</v>
      </c>
      <c r="AQ276" s="591">
        <f t="shared" si="201"/>
        <v>0</v>
      </c>
      <c r="AR276" s="868">
        <f>IF(AND($L276=0,$P276=0)=TRUE,VLOOKUP($E276,Plan3!$A$16:$CT$487,$E$7+3,0)/100,0)</f>
        <v>0</v>
      </c>
      <c r="AS276" s="868">
        <f>IF(AND($L276=0,$P276=0)=TRUE,VLOOKUP($E276,Plan3!$A$16:$CT$487,$E$7+6,0)/100,0)</f>
        <v>0</v>
      </c>
      <c r="AT276" s="868">
        <f>IF(AND($L276=0,$P276=0)=TRUE,VLOOKUP($E276,Plan3!$A$16:$CT$487,$E$7+9,0)/100,0)</f>
        <v>0</v>
      </c>
      <c r="AU276" s="868">
        <f>IF(AND($L276=0,$P276=0)=TRUE,VLOOKUP($E276,Plan3!$A$16:$CT$487,$E$7+12,0)/100,0)</f>
        <v>0</v>
      </c>
      <c r="AV276" s="841"/>
      <c r="AW276" s="869">
        <f t="shared" si="220"/>
        <v>0</v>
      </c>
      <c r="AX276" s="870">
        <f t="shared" si="221"/>
        <v>0</v>
      </c>
      <c r="AY276" s="871">
        <f t="shared" si="222"/>
        <v>0</v>
      </c>
      <c r="AZ276" s="237" t="str">
        <f t="shared" si="189"/>
        <v xml:space="preserve">15.002.000.005 </v>
      </c>
      <c r="BA276" s="365"/>
      <c r="BB276" s="365"/>
      <c r="BC276" s="365"/>
      <c r="BD276" s="365"/>
      <c r="BE276" s="365"/>
      <c r="BF276" s="365"/>
      <c r="BG276" s="365"/>
      <c r="BH276" s="365"/>
      <c r="BI276" s="365"/>
      <c r="BJ276" s="365"/>
      <c r="BK276" s="365"/>
      <c r="BL276" s="872">
        <f t="shared" si="190"/>
        <v>0</v>
      </c>
      <c r="BM276" s="873">
        <f t="shared" si="191"/>
        <v>0</v>
      </c>
      <c r="BN276" s="874">
        <f t="shared" si="216"/>
        <v>0</v>
      </c>
      <c r="BO276" s="875">
        <f t="shared" si="192"/>
        <v>0</v>
      </c>
      <c r="BP276" s="875">
        <f t="shared" si="193"/>
        <v>0</v>
      </c>
      <c r="BQ276" s="876">
        <f t="shared" si="217"/>
        <v>0</v>
      </c>
      <c r="BR276" s="877">
        <f t="shared" si="218"/>
        <v>0</v>
      </c>
      <c r="BS276" s="875">
        <f t="shared" si="194"/>
        <v>0</v>
      </c>
      <c r="BT276" s="875">
        <f t="shared" si="195"/>
        <v>0</v>
      </c>
      <c r="BU276" s="878">
        <f t="shared" si="219"/>
        <v>0</v>
      </c>
      <c r="CE276" s="486">
        <v>263</v>
      </c>
    </row>
    <row r="277" spans="1:83" s="177" customFormat="1" ht="21.95" customHeight="1" x14ac:dyDescent="0.2">
      <c r="A277" s="237">
        <f t="shared" si="196"/>
        <v>0</v>
      </c>
      <c r="B277" s="237">
        <f t="shared" si="197"/>
        <v>0</v>
      </c>
      <c r="C277" s="393">
        <f t="shared" si="182"/>
        <v>0</v>
      </c>
      <c r="D277" s="393" t="str">
        <f t="shared" si="183"/>
        <v xml:space="preserve">15 </v>
      </c>
      <c r="E277" s="959" t="s">
        <v>2301</v>
      </c>
      <c r="F277" s="959" t="s">
        <v>2302</v>
      </c>
      <c r="G277" s="959" t="s">
        <v>1003</v>
      </c>
      <c r="H277" s="965">
        <v>155</v>
      </c>
      <c r="I277" s="970">
        <v>12.5</v>
      </c>
      <c r="J277" s="964">
        <v>1937.5</v>
      </c>
      <c r="K277" s="367">
        <v>0</v>
      </c>
      <c r="L277" s="367">
        <f>IF($H277="",0,VLOOKUP($E277,Plan3!$A$16:$CT$384,$E$7,0)%)</f>
        <v>0</v>
      </c>
      <c r="M277" s="368">
        <f t="shared" si="202"/>
        <v>0</v>
      </c>
      <c r="N277" s="368">
        <f t="shared" si="203"/>
        <v>0</v>
      </c>
      <c r="O277" s="367">
        <v>0</v>
      </c>
      <c r="P277" s="367">
        <f>VLOOKUP($E277,Plan3!$A$492:$P$858,13,0)%</f>
        <v>0</v>
      </c>
      <c r="Q277" s="368">
        <f t="shared" si="204"/>
        <v>0</v>
      </c>
      <c r="R277" s="368">
        <f t="shared" si="205"/>
        <v>0</v>
      </c>
      <c r="S277" s="880">
        <v>1959.9750000000001</v>
      </c>
      <c r="T277" s="880">
        <f t="shared" si="206"/>
        <v>0</v>
      </c>
      <c r="U277" s="880">
        <f>IF($I277="",0,($S277-$T277)*(1+('Econômico Macro'!$R$12/100)))</f>
        <v>1993.8825675000003</v>
      </c>
      <c r="V277" s="880">
        <f t="shared" si="207"/>
        <v>1993.8825675000003</v>
      </c>
      <c r="W277" s="880">
        <f t="shared" si="208"/>
        <v>0</v>
      </c>
      <c r="X277" s="367">
        <f t="shared" si="184"/>
        <v>0</v>
      </c>
      <c r="Y277" s="367">
        <f t="shared" si="185"/>
        <v>0</v>
      </c>
      <c r="Z277" s="367">
        <f t="shared" si="186"/>
        <v>0</v>
      </c>
      <c r="AA277" s="367">
        <f t="shared" si="187"/>
        <v>0</v>
      </c>
      <c r="AB277" s="369" t="str">
        <f t="shared" si="188"/>
        <v>Não Iniciada</v>
      </c>
      <c r="AC277" s="365"/>
      <c r="AD277" s="368">
        <v>1</v>
      </c>
      <c r="AE277" s="368">
        <f t="shared" si="209"/>
        <v>-1</v>
      </c>
      <c r="AF277" s="365"/>
      <c r="AG277" s="863">
        <f t="shared" si="198"/>
        <v>0</v>
      </c>
      <c r="AH277" s="864">
        <f t="shared" si="210"/>
        <v>0</v>
      </c>
      <c r="AI277" s="863">
        <f t="shared" si="199"/>
        <v>0</v>
      </c>
      <c r="AJ277" s="864">
        <f t="shared" si="211"/>
        <v>0</v>
      </c>
      <c r="AK277" s="365"/>
      <c r="AL277" s="865">
        <f t="shared" si="200"/>
        <v>0</v>
      </c>
      <c r="AM277" s="866">
        <f t="shared" si="212"/>
        <v>0</v>
      </c>
      <c r="AN277" s="866">
        <f t="shared" si="213"/>
        <v>0</v>
      </c>
      <c r="AO277" s="866">
        <f t="shared" si="214"/>
        <v>0</v>
      </c>
      <c r="AP277" s="867">
        <f t="shared" si="215"/>
        <v>0</v>
      </c>
      <c r="AQ277" s="591">
        <f t="shared" si="201"/>
        <v>0</v>
      </c>
      <c r="AR277" s="868">
        <f>IF(AND($L277=0,$P277=0)=TRUE,VLOOKUP($E277,Plan3!$A$16:$CT$487,$E$7+3,0)/100,0)</f>
        <v>0</v>
      </c>
      <c r="AS277" s="868">
        <f>IF(AND($L277=0,$P277=0)=TRUE,VLOOKUP($E277,Plan3!$A$16:$CT$487,$E$7+6,0)/100,0)</f>
        <v>0</v>
      </c>
      <c r="AT277" s="868">
        <f>IF(AND($L277=0,$P277=0)=TRUE,VLOOKUP($E277,Plan3!$A$16:$CT$487,$E$7+9,0)/100,0)</f>
        <v>0</v>
      </c>
      <c r="AU277" s="868">
        <f>IF(AND($L277=0,$P277=0)=TRUE,VLOOKUP($E277,Plan3!$A$16:$CT$487,$E$7+12,0)/100,0)</f>
        <v>0</v>
      </c>
      <c r="AV277" s="841"/>
      <c r="AW277" s="869">
        <f t="shared" si="220"/>
        <v>0</v>
      </c>
      <c r="AX277" s="870">
        <f t="shared" si="221"/>
        <v>0</v>
      </c>
      <c r="AY277" s="871">
        <f t="shared" si="222"/>
        <v>0</v>
      </c>
      <c r="AZ277" s="237" t="str">
        <f t="shared" si="189"/>
        <v xml:space="preserve">15.002.000.006 </v>
      </c>
      <c r="BA277" s="365"/>
      <c r="BB277" s="365"/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872">
        <f t="shared" si="190"/>
        <v>0</v>
      </c>
      <c r="BM277" s="873">
        <f t="shared" si="191"/>
        <v>0</v>
      </c>
      <c r="BN277" s="874">
        <f t="shared" si="216"/>
        <v>0</v>
      </c>
      <c r="BO277" s="875">
        <f t="shared" si="192"/>
        <v>0</v>
      </c>
      <c r="BP277" s="875">
        <f t="shared" si="193"/>
        <v>0</v>
      </c>
      <c r="BQ277" s="876">
        <f t="shared" si="217"/>
        <v>0</v>
      </c>
      <c r="BR277" s="877">
        <f t="shared" si="218"/>
        <v>0</v>
      </c>
      <c r="BS277" s="875">
        <f t="shared" si="194"/>
        <v>0</v>
      </c>
      <c r="BT277" s="875">
        <f t="shared" si="195"/>
        <v>0</v>
      </c>
      <c r="BU277" s="878">
        <f t="shared" si="219"/>
        <v>0</v>
      </c>
      <c r="CE277" s="486">
        <v>264</v>
      </c>
    </row>
    <row r="278" spans="1:83" s="177" customFormat="1" ht="21.95" customHeight="1" x14ac:dyDescent="0.2">
      <c r="A278" s="237">
        <f t="shared" si="196"/>
        <v>0</v>
      </c>
      <c r="B278" s="237">
        <f t="shared" si="197"/>
        <v>0</v>
      </c>
      <c r="C278" s="393">
        <f t="shared" si="182"/>
        <v>0</v>
      </c>
      <c r="D278" s="393" t="str">
        <f t="shared" si="183"/>
        <v xml:space="preserve">15 </v>
      </c>
      <c r="E278" s="959" t="s">
        <v>2303</v>
      </c>
      <c r="F278" s="959" t="s">
        <v>418</v>
      </c>
      <c r="G278" s="959" t="s">
        <v>8</v>
      </c>
      <c r="H278" s="970">
        <v>12</v>
      </c>
      <c r="I278" s="965">
        <v>160.51949999999999</v>
      </c>
      <c r="J278" s="964">
        <v>1926.23</v>
      </c>
      <c r="K278" s="367">
        <v>0</v>
      </c>
      <c r="L278" s="367">
        <f>IF($H278="",0,VLOOKUP($E278,Plan3!$A$16:$CT$384,$E$7,0)%)</f>
        <v>0</v>
      </c>
      <c r="M278" s="368">
        <f t="shared" si="202"/>
        <v>0</v>
      </c>
      <c r="N278" s="368">
        <f t="shared" si="203"/>
        <v>0</v>
      </c>
      <c r="O278" s="367">
        <v>0</v>
      </c>
      <c r="P278" s="367">
        <f>VLOOKUP($E278,Plan3!$A$492:$P$858,13,0)%</f>
        <v>0</v>
      </c>
      <c r="Q278" s="368">
        <f t="shared" si="204"/>
        <v>0</v>
      </c>
      <c r="R278" s="368">
        <f t="shared" si="205"/>
        <v>0</v>
      </c>
      <c r="S278" s="880">
        <v>1948.5742680000001</v>
      </c>
      <c r="T278" s="880">
        <f t="shared" si="206"/>
        <v>0</v>
      </c>
      <c r="U278" s="880">
        <f>IF($I278="",0,($S278-$T278)*(1+('Econômico Macro'!$R$12/100)))</f>
        <v>1982.2846028364002</v>
      </c>
      <c r="V278" s="880">
        <f t="shared" si="207"/>
        <v>1982.2846028364002</v>
      </c>
      <c r="W278" s="880">
        <f t="shared" si="208"/>
        <v>0</v>
      </c>
      <c r="X278" s="367">
        <f t="shared" si="184"/>
        <v>0</v>
      </c>
      <c r="Y278" s="367">
        <f t="shared" si="185"/>
        <v>0</v>
      </c>
      <c r="Z278" s="367">
        <f t="shared" si="186"/>
        <v>0</v>
      </c>
      <c r="AA278" s="367">
        <f t="shared" si="187"/>
        <v>0</v>
      </c>
      <c r="AB278" s="369" t="str">
        <f t="shared" si="188"/>
        <v>Não Iniciada</v>
      </c>
      <c r="AC278" s="365"/>
      <c r="AD278" s="368">
        <v>1</v>
      </c>
      <c r="AE278" s="368">
        <f t="shared" si="209"/>
        <v>-1</v>
      </c>
      <c r="AF278" s="365"/>
      <c r="AG278" s="863">
        <f t="shared" si="198"/>
        <v>0</v>
      </c>
      <c r="AH278" s="864">
        <f t="shared" si="210"/>
        <v>0</v>
      </c>
      <c r="AI278" s="863">
        <f t="shared" si="199"/>
        <v>0</v>
      </c>
      <c r="AJ278" s="864">
        <f t="shared" si="211"/>
        <v>0</v>
      </c>
      <c r="AK278" s="365"/>
      <c r="AL278" s="865">
        <f t="shared" si="200"/>
        <v>0</v>
      </c>
      <c r="AM278" s="866">
        <f t="shared" si="212"/>
        <v>0</v>
      </c>
      <c r="AN278" s="866">
        <f t="shared" si="213"/>
        <v>0</v>
      </c>
      <c r="AO278" s="866">
        <f t="shared" si="214"/>
        <v>0</v>
      </c>
      <c r="AP278" s="867">
        <f t="shared" si="215"/>
        <v>0</v>
      </c>
      <c r="AQ278" s="591">
        <f t="shared" si="201"/>
        <v>0</v>
      </c>
      <c r="AR278" s="868">
        <f>IF(AND($L278=0,$P278=0)=TRUE,VLOOKUP($E278,Plan3!$A$16:$CT$487,$E$7+3,0)/100,0)</f>
        <v>0</v>
      </c>
      <c r="AS278" s="868">
        <f>IF(AND($L278=0,$P278=0)=TRUE,VLOOKUP($E278,Plan3!$A$16:$CT$487,$E$7+6,0)/100,0)</f>
        <v>0</v>
      </c>
      <c r="AT278" s="868">
        <f>IF(AND($L278=0,$P278=0)=TRUE,VLOOKUP($E278,Plan3!$A$16:$CT$487,$E$7+9,0)/100,0)</f>
        <v>0</v>
      </c>
      <c r="AU278" s="868">
        <f>IF(AND($L278=0,$P278=0)=TRUE,VLOOKUP($E278,Plan3!$A$16:$CT$487,$E$7+12,0)/100,0)</f>
        <v>0</v>
      </c>
      <c r="AV278" s="841"/>
      <c r="AW278" s="869">
        <f t="shared" si="220"/>
        <v>0</v>
      </c>
      <c r="AX278" s="870">
        <f t="shared" si="221"/>
        <v>0</v>
      </c>
      <c r="AY278" s="871">
        <f t="shared" si="222"/>
        <v>0</v>
      </c>
      <c r="AZ278" s="237" t="str">
        <f t="shared" si="189"/>
        <v xml:space="preserve">15.002.000.007 </v>
      </c>
      <c r="BA278" s="365"/>
      <c r="BB278" s="365"/>
      <c r="BC278" s="365"/>
      <c r="BD278" s="365"/>
      <c r="BE278" s="365"/>
      <c r="BF278" s="365"/>
      <c r="BG278" s="365"/>
      <c r="BH278" s="365"/>
      <c r="BI278" s="365"/>
      <c r="BJ278" s="365"/>
      <c r="BK278" s="365"/>
      <c r="BL278" s="872">
        <f t="shared" si="190"/>
        <v>0</v>
      </c>
      <c r="BM278" s="873">
        <f t="shared" si="191"/>
        <v>0</v>
      </c>
      <c r="BN278" s="874">
        <f t="shared" si="216"/>
        <v>0</v>
      </c>
      <c r="BO278" s="875">
        <f t="shared" si="192"/>
        <v>0</v>
      </c>
      <c r="BP278" s="875">
        <f t="shared" si="193"/>
        <v>0</v>
      </c>
      <c r="BQ278" s="876">
        <f t="shared" si="217"/>
        <v>0</v>
      </c>
      <c r="BR278" s="877">
        <f t="shared" si="218"/>
        <v>0</v>
      </c>
      <c r="BS278" s="875">
        <f t="shared" si="194"/>
        <v>0</v>
      </c>
      <c r="BT278" s="875">
        <f t="shared" si="195"/>
        <v>0</v>
      </c>
      <c r="BU278" s="878">
        <f t="shared" si="219"/>
        <v>0</v>
      </c>
      <c r="CE278" s="486">
        <v>265</v>
      </c>
    </row>
    <row r="279" spans="1:83" s="177" customFormat="1" ht="21.95" customHeight="1" x14ac:dyDescent="0.2">
      <c r="A279" s="237">
        <f t="shared" si="196"/>
        <v>0</v>
      </c>
      <c r="B279" s="237">
        <f t="shared" si="197"/>
        <v>0</v>
      </c>
      <c r="C279" s="393" t="str">
        <f t="shared" si="182"/>
        <v xml:space="preserve">16 </v>
      </c>
      <c r="D279" s="393" t="str">
        <f t="shared" si="183"/>
        <v xml:space="preserve">16 </v>
      </c>
      <c r="E279" s="161" t="s">
        <v>146</v>
      </c>
      <c r="F279" s="161" t="s">
        <v>691</v>
      </c>
      <c r="G279" s="162"/>
      <c r="H279" s="162"/>
      <c r="I279" s="162"/>
      <c r="J279" s="163">
        <v>936245.66</v>
      </c>
      <c r="K279" s="164">
        <v>0</v>
      </c>
      <c r="L279" s="164">
        <f t="array" ref="L279">SUM(IF($D280:$D$379=$E279,$L280:$L$379*$J280:$J$379))/$J279</f>
        <v>0</v>
      </c>
      <c r="M279" s="163"/>
      <c r="N279" s="163">
        <f>$L279*$J279</f>
        <v>0</v>
      </c>
      <c r="O279" s="164">
        <v>0</v>
      </c>
      <c r="P279" s="164">
        <f t="array" ref="P279">SUM(IF($D280:$D$379=$E279,$P280:$P$379*$J280:$J$379))/$J279</f>
        <v>0</v>
      </c>
      <c r="Q279" s="163">
        <f>$P279*$H279</f>
        <v>0</v>
      </c>
      <c r="R279" s="163">
        <f>$P279*$J279</f>
        <v>0</v>
      </c>
      <c r="S279" s="163">
        <v>947106.10965600028</v>
      </c>
      <c r="T279" s="163">
        <f>SUM(T280:T297)</f>
        <v>0</v>
      </c>
      <c r="U279" s="163"/>
      <c r="V279" s="163">
        <f t="shared" ref="V279:W279" si="223">SUM(V280:V297)</f>
        <v>963491.04535304895</v>
      </c>
      <c r="W279" s="163">
        <f t="shared" si="223"/>
        <v>0</v>
      </c>
      <c r="X279" s="164">
        <f t="shared" si="184"/>
        <v>0</v>
      </c>
      <c r="Y279" s="164">
        <f t="shared" si="185"/>
        <v>0</v>
      </c>
      <c r="Z279" s="164">
        <f t="shared" si="186"/>
        <v>0</v>
      </c>
      <c r="AA279" s="164">
        <f t="shared" si="187"/>
        <v>0</v>
      </c>
      <c r="AB279" s="201" t="str">
        <f t="shared" si="188"/>
        <v>Não Iniciada</v>
      </c>
      <c r="AC279" s="155" t="s">
        <v>763</v>
      </c>
      <c r="AD279" s="689">
        <v>0</v>
      </c>
      <c r="AE279" s="835">
        <f>Q279-AD279</f>
        <v>0</v>
      </c>
      <c r="AF279" s="155"/>
      <c r="AG279" s="207"/>
      <c r="AH279" s="208"/>
      <c r="AI279" s="207"/>
      <c r="AJ279" s="208"/>
      <c r="AK279" s="155"/>
      <c r="AL279" s="212"/>
      <c r="AM279" s="209"/>
      <c r="AN279" s="209"/>
      <c r="AO279" s="209"/>
      <c r="AP279" s="213"/>
      <c r="AQ279" s="401"/>
      <c r="AR279" s="247"/>
      <c r="AS279" s="247"/>
      <c r="AT279" s="247"/>
      <c r="AU279" s="247"/>
      <c r="AV279" s="155"/>
      <c r="AW279" s="250"/>
      <c r="AX279" s="248"/>
      <c r="AY279" s="402"/>
      <c r="AZ279" s="237" t="str">
        <f t="shared" si="189"/>
        <v xml:space="preserve">16 </v>
      </c>
      <c r="BA279" s="155"/>
      <c r="BB279" s="155"/>
      <c r="BC279" s="155"/>
      <c r="BD279" s="155"/>
      <c r="BE279" s="155"/>
      <c r="BF279" s="155"/>
      <c r="BG279" s="155"/>
      <c r="BH279" s="155"/>
      <c r="BI279" s="155"/>
      <c r="BJ279" s="155"/>
      <c r="BK279" s="155"/>
      <c r="BL279" s="666" t="str">
        <f t="shared" si="190"/>
        <v xml:space="preserve">16 </v>
      </c>
      <c r="BM279" s="667">
        <f t="shared" si="191"/>
        <v>0</v>
      </c>
      <c r="BN279" s="668">
        <f>IF($BQ279=0,0,RANK($BQ279,$BQ$12:$BQ$379))</f>
        <v>0</v>
      </c>
      <c r="BO279" s="669">
        <f t="shared" si="192"/>
        <v>0</v>
      </c>
      <c r="BP279" s="669">
        <f t="shared" si="193"/>
        <v>0</v>
      </c>
      <c r="BQ279" s="670">
        <f>IF($BP279=0,0,$BP279/$BP$380)</f>
        <v>0</v>
      </c>
      <c r="BR279" s="671">
        <f>IF($BU279=0,0,RANK($BU279,$BU$12:$BU$379))</f>
        <v>0</v>
      </c>
      <c r="BS279" s="669">
        <f t="shared" si="194"/>
        <v>0</v>
      </c>
      <c r="BT279" s="669">
        <f t="shared" si="195"/>
        <v>0</v>
      </c>
      <c r="BU279" s="672">
        <f>IF($BT279=0,0,$BT279/$BT$380)</f>
        <v>0</v>
      </c>
      <c r="CE279" s="486">
        <v>266</v>
      </c>
    </row>
    <row r="280" spans="1:83" s="177" customFormat="1" ht="21.95" customHeight="1" x14ac:dyDescent="0.2">
      <c r="A280" s="237">
        <f t="shared" si="196"/>
        <v>0</v>
      </c>
      <c r="B280" s="237">
        <f t="shared" si="197"/>
        <v>0</v>
      </c>
      <c r="C280" s="393">
        <f t="shared" si="182"/>
        <v>0</v>
      </c>
      <c r="D280" s="393" t="str">
        <f t="shared" si="183"/>
        <v xml:space="preserve">16 </v>
      </c>
      <c r="E280" s="959" t="s">
        <v>677</v>
      </c>
      <c r="F280" s="959" t="s">
        <v>2122</v>
      </c>
      <c r="G280" s="959" t="s">
        <v>7</v>
      </c>
      <c r="H280" s="960">
        <v>1</v>
      </c>
      <c r="I280" s="978">
        <v>158666.00279999999</v>
      </c>
      <c r="J280" s="972">
        <v>158666</v>
      </c>
      <c r="K280" s="367">
        <v>0</v>
      </c>
      <c r="L280" s="367">
        <f>IF($H280="",0,VLOOKUP($E280,Plan3!$A$16:$CT$384,$E$7,0)%)</f>
        <v>0</v>
      </c>
      <c r="M280" s="368">
        <f t="shared" si="202"/>
        <v>0</v>
      </c>
      <c r="N280" s="368">
        <f t="shared" si="203"/>
        <v>0</v>
      </c>
      <c r="O280" s="367">
        <v>0</v>
      </c>
      <c r="P280" s="367">
        <f>VLOOKUP($E280,Plan3!$A$492:$P$858,13,0)%</f>
        <v>0</v>
      </c>
      <c r="Q280" s="368">
        <f t="shared" si="204"/>
        <v>0</v>
      </c>
      <c r="R280" s="368">
        <f t="shared" si="205"/>
        <v>0</v>
      </c>
      <c r="S280" s="880">
        <v>160506.52560000002</v>
      </c>
      <c r="T280" s="880">
        <f t="shared" si="206"/>
        <v>0</v>
      </c>
      <c r="U280" s="880">
        <f>IF($I280="",0,($S280-$T280)*(1+('Econômico Macro'!$R$12/100)))</f>
        <v>163283.28849288003</v>
      </c>
      <c r="V280" s="880">
        <f t="shared" si="207"/>
        <v>163283.28849288003</v>
      </c>
      <c r="W280" s="880">
        <f t="shared" si="208"/>
        <v>0</v>
      </c>
      <c r="X280" s="367">
        <f t="shared" si="184"/>
        <v>0</v>
      </c>
      <c r="Y280" s="367">
        <f t="shared" si="185"/>
        <v>0</v>
      </c>
      <c r="Z280" s="367">
        <f t="shared" si="186"/>
        <v>0</v>
      </c>
      <c r="AA280" s="367">
        <f t="shared" si="187"/>
        <v>0</v>
      </c>
      <c r="AB280" s="369" t="str">
        <f t="shared" si="188"/>
        <v>Não Iniciada</v>
      </c>
      <c r="AC280" s="365"/>
      <c r="AD280" s="368">
        <v>1</v>
      </c>
      <c r="AE280" s="368">
        <f t="shared" si="209"/>
        <v>-1</v>
      </c>
      <c r="AF280" s="365"/>
      <c r="AG280" s="863">
        <f t="shared" si="198"/>
        <v>0</v>
      </c>
      <c r="AH280" s="864">
        <f t="shared" si="210"/>
        <v>0</v>
      </c>
      <c r="AI280" s="863">
        <f t="shared" si="199"/>
        <v>0</v>
      </c>
      <c r="AJ280" s="864">
        <f t="shared" si="211"/>
        <v>0</v>
      </c>
      <c r="AK280" s="365"/>
      <c r="AL280" s="865">
        <f t="shared" si="200"/>
        <v>0</v>
      </c>
      <c r="AM280" s="866">
        <f t="shared" si="212"/>
        <v>0</v>
      </c>
      <c r="AN280" s="866">
        <f t="shared" si="213"/>
        <v>0</v>
      </c>
      <c r="AO280" s="866">
        <f t="shared" si="214"/>
        <v>0</v>
      </c>
      <c r="AP280" s="867">
        <f t="shared" si="215"/>
        <v>0</v>
      </c>
      <c r="AQ280" s="591">
        <f t="shared" si="201"/>
        <v>9</v>
      </c>
      <c r="AR280" s="868">
        <f>IF(AND($L280=0,$P280=0)=TRUE,VLOOKUP($E280,Plan3!$A$16:$CT$487,$E$7+3,0)/100,0)</f>
        <v>0</v>
      </c>
      <c r="AS280" s="868">
        <f>IF(AND($L280=0,$P280=0)=TRUE,VLOOKUP($E280,Plan3!$A$16:$CT$487,$E$7+6,0)/100,0)</f>
        <v>6.9999999999999993E-3</v>
      </c>
      <c r="AT280" s="868">
        <f>IF(AND($L280=0,$P280=0)=TRUE,VLOOKUP($E280,Plan3!$A$16:$CT$487,$E$7+9,0)/100,0)</f>
        <v>1.3999999999999999E-2</v>
      </c>
      <c r="AU280" s="868">
        <f>IF(AND($L280=0,$P280=0)=TRUE,VLOOKUP($E280,Plan3!$A$16:$CT$487,$E$7+12,0)/100,0)</f>
        <v>1.9599999999999999E-2</v>
      </c>
      <c r="AV280" s="841"/>
      <c r="AW280" s="869">
        <f t="shared" si="220"/>
        <v>3109.8535999999999</v>
      </c>
      <c r="AX280" s="870">
        <f t="shared" si="221"/>
        <v>5.6720725701447042E-3</v>
      </c>
      <c r="AY280" s="871">
        <f t="shared" si="222"/>
        <v>9</v>
      </c>
      <c r="AZ280" s="237" t="str">
        <f t="shared" si="189"/>
        <v xml:space="preserve">16.000.000.001 </v>
      </c>
      <c r="BA280" s="365"/>
      <c r="BB280" s="365"/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872">
        <f t="shared" si="190"/>
        <v>0</v>
      </c>
      <c r="BM280" s="873">
        <f t="shared" si="191"/>
        <v>0</v>
      </c>
      <c r="BN280" s="874">
        <f t="shared" si="216"/>
        <v>0</v>
      </c>
      <c r="BO280" s="875">
        <f t="shared" si="192"/>
        <v>0</v>
      </c>
      <c r="BP280" s="875">
        <f t="shared" si="193"/>
        <v>0</v>
      </c>
      <c r="BQ280" s="876">
        <f t="shared" si="217"/>
        <v>0</v>
      </c>
      <c r="BR280" s="877">
        <f t="shared" si="218"/>
        <v>0</v>
      </c>
      <c r="BS280" s="875">
        <f t="shared" si="194"/>
        <v>0</v>
      </c>
      <c r="BT280" s="875">
        <f t="shared" si="195"/>
        <v>0</v>
      </c>
      <c r="BU280" s="878">
        <f t="shared" si="219"/>
        <v>0</v>
      </c>
      <c r="CE280" s="486">
        <v>267</v>
      </c>
    </row>
    <row r="281" spans="1:83" s="177" customFormat="1" ht="21.95" customHeight="1" x14ac:dyDescent="0.2">
      <c r="A281" s="237">
        <f t="shared" si="196"/>
        <v>0</v>
      </c>
      <c r="B281" s="237">
        <f t="shared" si="197"/>
        <v>0</v>
      </c>
      <c r="C281" s="393">
        <f t="shared" si="182"/>
        <v>0</v>
      </c>
      <c r="D281" s="393" t="str">
        <f t="shared" si="183"/>
        <v xml:space="preserve">16 </v>
      </c>
      <c r="E281" s="959" t="s">
        <v>678</v>
      </c>
      <c r="F281" s="959" t="s">
        <v>2123</v>
      </c>
      <c r="G281" s="959" t="s">
        <v>7</v>
      </c>
      <c r="H281" s="960">
        <v>1</v>
      </c>
      <c r="I281" s="978">
        <v>146380.242</v>
      </c>
      <c r="J281" s="972">
        <v>146380.24</v>
      </c>
      <c r="K281" s="367">
        <v>0</v>
      </c>
      <c r="L281" s="367">
        <f>IF($H281="",0,VLOOKUP($E281,Plan3!$A$16:$CT$384,$E$7,0)%)</f>
        <v>0</v>
      </c>
      <c r="M281" s="368">
        <f t="shared" si="202"/>
        <v>0</v>
      </c>
      <c r="N281" s="368">
        <f t="shared" si="203"/>
        <v>0</v>
      </c>
      <c r="O281" s="367">
        <v>0</v>
      </c>
      <c r="P281" s="367">
        <f>VLOOKUP($E281,Plan3!$A$492:$P$858,13,0)%</f>
        <v>0</v>
      </c>
      <c r="Q281" s="368">
        <f t="shared" si="204"/>
        <v>0</v>
      </c>
      <c r="R281" s="368">
        <f t="shared" si="205"/>
        <v>0</v>
      </c>
      <c r="S281" s="880">
        <v>148078.250784</v>
      </c>
      <c r="T281" s="880">
        <f t="shared" si="206"/>
        <v>0</v>
      </c>
      <c r="U281" s="880">
        <f>IF($I281="",0,($S281-$T281)*(1+('Econômico Macro'!$R$12/100)))</f>
        <v>150640.00452256322</v>
      </c>
      <c r="V281" s="880">
        <f t="shared" si="207"/>
        <v>150640.00452256322</v>
      </c>
      <c r="W281" s="880">
        <f t="shared" si="208"/>
        <v>0</v>
      </c>
      <c r="X281" s="367">
        <f t="shared" si="184"/>
        <v>0</v>
      </c>
      <c r="Y281" s="367">
        <f t="shared" si="185"/>
        <v>0</v>
      </c>
      <c r="Z281" s="367">
        <f t="shared" si="186"/>
        <v>0</v>
      </c>
      <c r="AA281" s="367">
        <f t="shared" si="187"/>
        <v>0</v>
      </c>
      <c r="AB281" s="369" t="str">
        <f t="shared" si="188"/>
        <v>Não Iniciada</v>
      </c>
      <c r="AC281" s="365"/>
      <c r="AD281" s="368">
        <v>1</v>
      </c>
      <c r="AE281" s="368">
        <f t="shared" si="209"/>
        <v>-1</v>
      </c>
      <c r="AF281" s="365"/>
      <c r="AG281" s="863">
        <f t="shared" si="198"/>
        <v>0</v>
      </c>
      <c r="AH281" s="864">
        <f t="shared" si="210"/>
        <v>0</v>
      </c>
      <c r="AI281" s="863">
        <f t="shared" si="199"/>
        <v>0</v>
      </c>
      <c r="AJ281" s="864">
        <f t="shared" si="211"/>
        <v>0</v>
      </c>
      <c r="AK281" s="365"/>
      <c r="AL281" s="865">
        <f t="shared" si="200"/>
        <v>0</v>
      </c>
      <c r="AM281" s="866">
        <f t="shared" si="212"/>
        <v>0</v>
      </c>
      <c r="AN281" s="866">
        <f t="shared" si="213"/>
        <v>0</v>
      </c>
      <c r="AO281" s="866">
        <f t="shared" si="214"/>
        <v>0</v>
      </c>
      <c r="AP281" s="867">
        <f t="shared" si="215"/>
        <v>0</v>
      </c>
      <c r="AQ281" s="591">
        <f t="shared" si="201"/>
        <v>10</v>
      </c>
      <c r="AR281" s="868">
        <f>IF(AND($L281=0,$P281=0)=TRUE,VLOOKUP($E281,Plan3!$A$16:$CT$487,$E$7+3,0)/100,0)</f>
        <v>0</v>
      </c>
      <c r="AS281" s="868">
        <f>IF(AND($L281=0,$P281=0)=TRUE,VLOOKUP($E281,Plan3!$A$16:$CT$487,$E$7+6,0)/100,0)</f>
        <v>6.9999999999999993E-3</v>
      </c>
      <c r="AT281" s="868">
        <f>IF(AND($L281=0,$P281=0)=TRUE,VLOOKUP($E281,Plan3!$A$16:$CT$487,$E$7+9,0)/100,0)</f>
        <v>1.3999999999999999E-2</v>
      </c>
      <c r="AU281" s="868">
        <f>IF(AND($L281=0,$P281=0)=TRUE,VLOOKUP($E281,Plan3!$A$16:$CT$487,$E$7+12,0)/100,0)</f>
        <v>1.9599999999999999E-2</v>
      </c>
      <c r="AV281" s="841"/>
      <c r="AW281" s="869">
        <f t="shared" si="220"/>
        <v>2869.0527039999997</v>
      </c>
      <c r="AX281" s="870">
        <f t="shared" si="221"/>
        <v>5.2328749959991341E-3</v>
      </c>
      <c r="AY281" s="871">
        <f t="shared" si="222"/>
        <v>10</v>
      </c>
      <c r="AZ281" s="237" t="str">
        <f t="shared" si="189"/>
        <v xml:space="preserve">16.000.000.002 </v>
      </c>
      <c r="BA281" s="365"/>
      <c r="BB281" s="365"/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872">
        <f t="shared" si="190"/>
        <v>0</v>
      </c>
      <c r="BM281" s="873">
        <f t="shared" si="191"/>
        <v>0</v>
      </c>
      <c r="BN281" s="874">
        <f t="shared" si="216"/>
        <v>0</v>
      </c>
      <c r="BO281" s="875">
        <f t="shared" si="192"/>
        <v>0</v>
      </c>
      <c r="BP281" s="875">
        <f t="shared" si="193"/>
        <v>0</v>
      </c>
      <c r="BQ281" s="876">
        <f t="shared" si="217"/>
        <v>0</v>
      </c>
      <c r="BR281" s="877">
        <f t="shared" si="218"/>
        <v>0</v>
      </c>
      <c r="BS281" s="875">
        <f t="shared" si="194"/>
        <v>0</v>
      </c>
      <c r="BT281" s="875">
        <f t="shared" si="195"/>
        <v>0</v>
      </c>
      <c r="BU281" s="878">
        <f t="shared" si="219"/>
        <v>0</v>
      </c>
      <c r="CE281" s="486">
        <v>268</v>
      </c>
    </row>
    <row r="282" spans="1:83" s="177" customFormat="1" ht="21.95" customHeight="1" x14ac:dyDescent="0.2">
      <c r="A282" s="237">
        <f t="shared" si="196"/>
        <v>0</v>
      </c>
      <c r="B282" s="237">
        <f t="shared" si="197"/>
        <v>0</v>
      </c>
      <c r="C282" s="393">
        <f t="shared" si="182"/>
        <v>0</v>
      </c>
      <c r="D282" s="393" t="str">
        <f t="shared" si="183"/>
        <v xml:space="preserve">16 </v>
      </c>
      <c r="E282" s="959" t="s">
        <v>679</v>
      </c>
      <c r="F282" s="959" t="s">
        <v>2124</v>
      </c>
      <c r="G282" s="959" t="s">
        <v>7</v>
      </c>
      <c r="H282" s="960">
        <v>1</v>
      </c>
      <c r="I282" s="978">
        <v>123116.2</v>
      </c>
      <c r="J282" s="972">
        <v>123116.2</v>
      </c>
      <c r="K282" s="367">
        <v>0</v>
      </c>
      <c r="L282" s="367">
        <f>IF($H282="",0,VLOOKUP($E282,Plan3!$A$16:$CT$384,$E$7,0)%)</f>
        <v>0</v>
      </c>
      <c r="M282" s="368">
        <f t="shared" si="202"/>
        <v>0</v>
      </c>
      <c r="N282" s="368">
        <f t="shared" si="203"/>
        <v>0</v>
      </c>
      <c r="O282" s="367">
        <v>0</v>
      </c>
      <c r="P282" s="367">
        <f>VLOOKUP($E282,Plan3!$A$492:$P$858,13,0)%</f>
        <v>0</v>
      </c>
      <c r="Q282" s="368">
        <f t="shared" si="204"/>
        <v>0</v>
      </c>
      <c r="R282" s="368">
        <f t="shared" si="205"/>
        <v>0</v>
      </c>
      <c r="S282" s="880">
        <v>124544.34792</v>
      </c>
      <c r="T282" s="880">
        <f t="shared" si="206"/>
        <v>0</v>
      </c>
      <c r="U282" s="880">
        <f>IF($I282="",0,($S282-$T282)*(1+('Econômico Macro'!$R$12/100)))</f>
        <v>126698.96513901601</v>
      </c>
      <c r="V282" s="880">
        <f t="shared" si="207"/>
        <v>126698.96513901601</v>
      </c>
      <c r="W282" s="880">
        <f t="shared" si="208"/>
        <v>0</v>
      </c>
      <c r="X282" s="367">
        <f t="shared" si="184"/>
        <v>0</v>
      </c>
      <c r="Y282" s="367">
        <f t="shared" si="185"/>
        <v>0</v>
      </c>
      <c r="Z282" s="367">
        <f t="shared" si="186"/>
        <v>0</v>
      </c>
      <c r="AA282" s="367">
        <f t="shared" si="187"/>
        <v>0</v>
      </c>
      <c r="AB282" s="369" t="str">
        <f t="shared" si="188"/>
        <v>Não Iniciada</v>
      </c>
      <c r="AC282" s="365"/>
      <c r="AD282" s="368">
        <v>1</v>
      </c>
      <c r="AE282" s="368">
        <f t="shared" si="209"/>
        <v>-1</v>
      </c>
      <c r="AF282" s="365"/>
      <c r="AG282" s="863">
        <f t="shared" si="198"/>
        <v>0</v>
      </c>
      <c r="AH282" s="864">
        <f t="shared" si="210"/>
        <v>0</v>
      </c>
      <c r="AI282" s="863">
        <f t="shared" si="199"/>
        <v>0</v>
      </c>
      <c r="AJ282" s="864">
        <f t="shared" si="211"/>
        <v>0</v>
      </c>
      <c r="AK282" s="365"/>
      <c r="AL282" s="865">
        <f t="shared" si="200"/>
        <v>0</v>
      </c>
      <c r="AM282" s="866">
        <f t="shared" si="212"/>
        <v>0</v>
      </c>
      <c r="AN282" s="866">
        <f t="shared" si="213"/>
        <v>0</v>
      </c>
      <c r="AO282" s="866">
        <f t="shared" si="214"/>
        <v>0</v>
      </c>
      <c r="AP282" s="867">
        <f t="shared" si="215"/>
        <v>0</v>
      </c>
      <c r="AQ282" s="591">
        <f t="shared" si="201"/>
        <v>0</v>
      </c>
      <c r="AR282" s="868">
        <f>IF(AND($L282=0,$P282=0)=TRUE,VLOOKUP($E282,Plan3!$A$16:$CT$487,$E$7+3,0)/100,0)</f>
        <v>0</v>
      </c>
      <c r="AS282" s="868">
        <f>IF(AND($L282=0,$P282=0)=TRUE,VLOOKUP($E282,Plan3!$A$16:$CT$487,$E$7+6,0)/100,0)</f>
        <v>0</v>
      </c>
      <c r="AT282" s="868">
        <f>IF(AND($L282=0,$P282=0)=TRUE,VLOOKUP($E282,Plan3!$A$16:$CT$487,$E$7+9,0)/100,0)</f>
        <v>0</v>
      </c>
      <c r="AU282" s="868">
        <f>IF(AND($L282=0,$P282=0)=TRUE,VLOOKUP($E282,Plan3!$A$16:$CT$487,$E$7+12,0)/100,0)</f>
        <v>0</v>
      </c>
      <c r="AV282" s="841"/>
      <c r="AW282" s="869">
        <f t="shared" si="220"/>
        <v>0</v>
      </c>
      <c r="AX282" s="870">
        <f t="shared" si="221"/>
        <v>0</v>
      </c>
      <c r="AY282" s="871">
        <f t="shared" si="222"/>
        <v>0</v>
      </c>
      <c r="AZ282" s="237" t="str">
        <f t="shared" si="189"/>
        <v xml:space="preserve">16.000.000.003 </v>
      </c>
      <c r="BA282" s="365"/>
      <c r="BB282" s="365"/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872">
        <f t="shared" si="190"/>
        <v>0</v>
      </c>
      <c r="BM282" s="873">
        <f t="shared" si="191"/>
        <v>0</v>
      </c>
      <c r="BN282" s="874">
        <f t="shared" si="216"/>
        <v>0</v>
      </c>
      <c r="BO282" s="875">
        <f t="shared" si="192"/>
        <v>0</v>
      </c>
      <c r="BP282" s="875">
        <f t="shared" si="193"/>
        <v>0</v>
      </c>
      <c r="BQ282" s="876">
        <f t="shared" si="217"/>
        <v>0</v>
      </c>
      <c r="BR282" s="877">
        <f t="shared" si="218"/>
        <v>0</v>
      </c>
      <c r="BS282" s="875">
        <f t="shared" si="194"/>
        <v>0</v>
      </c>
      <c r="BT282" s="875">
        <f t="shared" si="195"/>
        <v>0</v>
      </c>
      <c r="BU282" s="878">
        <f t="shared" si="219"/>
        <v>0</v>
      </c>
      <c r="CE282" s="486">
        <v>269</v>
      </c>
    </row>
    <row r="283" spans="1:83" s="177" customFormat="1" ht="21.95" customHeight="1" x14ac:dyDescent="0.2">
      <c r="A283" s="237">
        <f t="shared" si="196"/>
        <v>0</v>
      </c>
      <c r="B283" s="237">
        <f t="shared" si="197"/>
        <v>0</v>
      </c>
      <c r="C283" s="393">
        <f t="shared" si="182"/>
        <v>0</v>
      </c>
      <c r="D283" s="393" t="str">
        <f t="shared" si="183"/>
        <v xml:space="preserve">16 </v>
      </c>
      <c r="E283" s="959" t="s">
        <v>680</v>
      </c>
      <c r="F283" s="959" t="s">
        <v>1969</v>
      </c>
      <c r="G283" s="959" t="s">
        <v>7</v>
      </c>
      <c r="H283" s="960">
        <v>1</v>
      </c>
      <c r="I283" s="978">
        <v>129578.30899999999</v>
      </c>
      <c r="J283" s="972">
        <v>129578.31</v>
      </c>
      <c r="K283" s="367">
        <v>0</v>
      </c>
      <c r="L283" s="367">
        <f>IF($H283="",0,VLOOKUP($E283,Plan3!$A$16:$CT$384,$E$7,0)%)</f>
        <v>0</v>
      </c>
      <c r="M283" s="368">
        <f t="shared" si="202"/>
        <v>0</v>
      </c>
      <c r="N283" s="368">
        <f t="shared" si="203"/>
        <v>0</v>
      </c>
      <c r="O283" s="367">
        <v>0</v>
      </c>
      <c r="P283" s="367">
        <f>VLOOKUP($E283,Plan3!$A$492:$P$858,13,0)%</f>
        <v>0</v>
      </c>
      <c r="Q283" s="368">
        <f t="shared" si="204"/>
        <v>0</v>
      </c>
      <c r="R283" s="368">
        <f t="shared" si="205"/>
        <v>0</v>
      </c>
      <c r="S283" s="880">
        <v>131081.41839599999</v>
      </c>
      <c r="T283" s="880">
        <f t="shared" si="206"/>
        <v>0</v>
      </c>
      <c r="U283" s="880">
        <f>IF($I283="",0,($S283-$T283)*(1+('Econômico Macro'!$R$12/100)))</f>
        <v>133349.12693425082</v>
      </c>
      <c r="V283" s="880">
        <f t="shared" si="207"/>
        <v>133349.12693425082</v>
      </c>
      <c r="W283" s="880">
        <f t="shared" si="208"/>
        <v>0</v>
      </c>
      <c r="X283" s="367">
        <f t="shared" si="184"/>
        <v>0</v>
      </c>
      <c r="Y283" s="367">
        <f t="shared" si="185"/>
        <v>0</v>
      </c>
      <c r="Z283" s="367">
        <f t="shared" si="186"/>
        <v>0</v>
      </c>
      <c r="AA283" s="367">
        <f t="shared" si="187"/>
        <v>0</v>
      </c>
      <c r="AB283" s="369" t="str">
        <f t="shared" si="188"/>
        <v>Não Iniciada</v>
      </c>
      <c r="AC283" s="365"/>
      <c r="AD283" s="368">
        <v>1</v>
      </c>
      <c r="AE283" s="368">
        <f t="shared" si="209"/>
        <v>-1</v>
      </c>
      <c r="AF283" s="365"/>
      <c r="AG283" s="863">
        <f t="shared" si="198"/>
        <v>0</v>
      </c>
      <c r="AH283" s="864">
        <f t="shared" si="210"/>
        <v>0</v>
      </c>
      <c r="AI283" s="863">
        <f t="shared" si="199"/>
        <v>0</v>
      </c>
      <c r="AJ283" s="864">
        <f t="shared" si="211"/>
        <v>0</v>
      </c>
      <c r="AK283" s="365"/>
      <c r="AL283" s="865">
        <f t="shared" si="200"/>
        <v>0</v>
      </c>
      <c r="AM283" s="866">
        <f t="shared" si="212"/>
        <v>0</v>
      </c>
      <c r="AN283" s="866">
        <f t="shared" si="213"/>
        <v>0</v>
      </c>
      <c r="AO283" s="866">
        <f t="shared" si="214"/>
        <v>0</v>
      </c>
      <c r="AP283" s="867">
        <f t="shared" si="215"/>
        <v>0</v>
      </c>
      <c r="AQ283" s="591">
        <f t="shared" si="201"/>
        <v>0</v>
      </c>
      <c r="AR283" s="868">
        <f>IF(AND($L283=0,$P283=0)=TRUE,VLOOKUP($E283,Plan3!$A$16:$CT$487,$E$7+3,0)/100,0)</f>
        <v>0</v>
      </c>
      <c r="AS283" s="868">
        <f>IF(AND($L283=0,$P283=0)=TRUE,VLOOKUP($E283,Plan3!$A$16:$CT$487,$E$7+6,0)/100,0)</f>
        <v>0</v>
      </c>
      <c r="AT283" s="868">
        <f>IF(AND($L283=0,$P283=0)=TRUE,VLOOKUP($E283,Plan3!$A$16:$CT$487,$E$7+9,0)/100,0)</f>
        <v>0</v>
      </c>
      <c r="AU283" s="868">
        <f>IF(AND($L283=0,$P283=0)=TRUE,VLOOKUP($E283,Plan3!$A$16:$CT$487,$E$7+12,0)/100,0)</f>
        <v>0</v>
      </c>
      <c r="AV283" s="841"/>
      <c r="AW283" s="869">
        <f t="shared" si="220"/>
        <v>0</v>
      </c>
      <c r="AX283" s="870">
        <f t="shared" si="221"/>
        <v>0</v>
      </c>
      <c r="AY283" s="871">
        <f t="shared" si="222"/>
        <v>0</v>
      </c>
      <c r="AZ283" s="237" t="str">
        <f t="shared" si="189"/>
        <v xml:space="preserve">16.000.000.004 </v>
      </c>
      <c r="BA283" s="365"/>
      <c r="BB283" s="365"/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872">
        <f t="shared" si="190"/>
        <v>0</v>
      </c>
      <c r="BM283" s="873">
        <f t="shared" si="191"/>
        <v>0</v>
      </c>
      <c r="BN283" s="874">
        <f t="shared" si="216"/>
        <v>0</v>
      </c>
      <c r="BO283" s="875">
        <f t="shared" si="192"/>
        <v>0</v>
      </c>
      <c r="BP283" s="875">
        <f t="shared" si="193"/>
        <v>0</v>
      </c>
      <c r="BQ283" s="876">
        <f t="shared" si="217"/>
        <v>0</v>
      </c>
      <c r="BR283" s="877">
        <f t="shared" si="218"/>
        <v>0</v>
      </c>
      <c r="BS283" s="875">
        <f t="shared" si="194"/>
        <v>0</v>
      </c>
      <c r="BT283" s="875">
        <f t="shared" si="195"/>
        <v>0</v>
      </c>
      <c r="BU283" s="878">
        <f t="shared" si="219"/>
        <v>0</v>
      </c>
      <c r="CE283" s="486">
        <v>270</v>
      </c>
    </row>
    <row r="284" spans="1:83" s="177" customFormat="1" ht="21.95" customHeight="1" x14ac:dyDescent="0.2">
      <c r="A284" s="237">
        <f t="shared" si="196"/>
        <v>0</v>
      </c>
      <c r="B284" s="237">
        <f t="shared" si="197"/>
        <v>0</v>
      </c>
      <c r="C284" s="393">
        <f t="shared" si="182"/>
        <v>0</v>
      </c>
      <c r="D284" s="393" t="str">
        <f t="shared" si="183"/>
        <v xml:space="preserve">16 </v>
      </c>
      <c r="E284" s="959" t="s">
        <v>681</v>
      </c>
      <c r="F284" s="959" t="s">
        <v>472</v>
      </c>
      <c r="G284" s="959" t="s">
        <v>7</v>
      </c>
      <c r="H284" s="960">
        <v>1</v>
      </c>
      <c r="I284" s="961">
        <v>18808.91</v>
      </c>
      <c r="J284" s="962">
        <v>18808.91</v>
      </c>
      <c r="K284" s="367">
        <v>0</v>
      </c>
      <c r="L284" s="367">
        <f>IF($H284="",0,VLOOKUP($E284,Plan3!$A$16:$CT$384,$E$7,0)%)</f>
        <v>0</v>
      </c>
      <c r="M284" s="368">
        <f t="shared" si="202"/>
        <v>0</v>
      </c>
      <c r="N284" s="368">
        <f t="shared" si="203"/>
        <v>0</v>
      </c>
      <c r="O284" s="367">
        <v>0</v>
      </c>
      <c r="P284" s="367">
        <f>VLOOKUP($E284,Plan3!$A$492:$P$858,13,0)%</f>
        <v>0</v>
      </c>
      <c r="Q284" s="368">
        <f t="shared" si="204"/>
        <v>0</v>
      </c>
      <c r="R284" s="368">
        <f t="shared" si="205"/>
        <v>0</v>
      </c>
      <c r="S284" s="880">
        <v>19027.093356000001</v>
      </c>
      <c r="T284" s="880">
        <f t="shared" si="206"/>
        <v>0</v>
      </c>
      <c r="U284" s="880">
        <f>IF($I284="",0,($S284-$T284)*(1+('Econômico Macro'!$R$12/100)))</f>
        <v>19356.262071058802</v>
      </c>
      <c r="V284" s="880">
        <f t="shared" si="207"/>
        <v>19356.262071058802</v>
      </c>
      <c r="W284" s="880">
        <f t="shared" si="208"/>
        <v>0</v>
      </c>
      <c r="X284" s="367">
        <f t="shared" si="184"/>
        <v>0</v>
      </c>
      <c r="Y284" s="367">
        <f t="shared" si="185"/>
        <v>0</v>
      </c>
      <c r="Z284" s="367">
        <f t="shared" si="186"/>
        <v>0</v>
      </c>
      <c r="AA284" s="367">
        <f t="shared" si="187"/>
        <v>0</v>
      </c>
      <c r="AB284" s="369" t="str">
        <f t="shared" si="188"/>
        <v>Não Iniciada</v>
      </c>
      <c r="AC284" s="365"/>
      <c r="AD284" s="368">
        <v>1</v>
      </c>
      <c r="AE284" s="368">
        <f t="shared" si="209"/>
        <v>-1</v>
      </c>
      <c r="AF284" s="365"/>
      <c r="AG284" s="863">
        <f t="shared" si="198"/>
        <v>0</v>
      </c>
      <c r="AH284" s="864">
        <f t="shared" si="210"/>
        <v>0</v>
      </c>
      <c r="AI284" s="863">
        <f t="shared" si="199"/>
        <v>0</v>
      </c>
      <c r="AJ284" s="864">
        <f t="shared" si="211"/>
        <v>0</v>
      </c>
      <c r="AK284" s="365"/>
      <c r="AL284" s="865">
        <f t="shared" si="200"/>
        <v>0</v>
      </c>
      <c r="AM284" s="866">
        <f t="shared" si="212"/>
        <v>0</v>
      </c>
      <c r="AN284" s="866">
        <f t="shared" si="213"/>
        <v>0</v>
      </c>
      <c r="AO284" s="866">
        <f t="shared" si="214"/>
        <v>0</v>
      </c>
      <c r="AP284" s="867">
        <f t="shared" si="215"/>
        <v>0</v>
      </c>
      <c r="AQ284" s="591">
        <f t="shared" si="201"/>
        <v>0</v>
      </c>
      <c r="AR284" s="868">
        <f>IF(AND($L284=0,$P284=0)=TRUE,VLOOKUP($E284,Plan3!$A$16:$CT$487,$E$7+3,0)/100,0)</f>
        <v>0</v>
      </c>
      <c r="AS284" s="868">
        <f>IF(AND($L284=0,$P284=0)=TRUE,VLOOKUP($E284,Plan3!$A$16:$CT$487,$E$7+6,0)/100,0)</f>
        <v>0</v>
      </c>
      <c r="AT284" s="868">
        <f>IF(AND($L284=0,$P284=0)=TRUE,VLOOKUP($E284,Plan3!$A$16:$CT$487,$E$7+9,0)/100,0)</f>
        <v>0</v>
      </c>
      <c r="AU284" s="868">
        <f>IF(AND($L284=0,$P284=0)=TRUE,VLOOKUP($E284,Plan3!$A$16:$CT$487,$E$7+12,0)/100,0)</f>
        <v>0</v>
      </c>
      <c r="AV284" s="841"/>
      <c r="AW284" s="869">
        <f t="shared" si="220"/>
        <v>0</v>
      </c>
      <c r="AX284" s="870">
        <f t="shared" si="221"/>
        <v>0</v>
      </c>
      <c r="AY284" s="871">
        <f t="shared" si="222"/>
        <v>0</v>
      </c>
      <c r="AZ284" s="237" t="str">
        <f t="shared" si="189"/>
        <v xml:space="preserve">16.000.000.005 </v>
      </c>
      <c r="BA284" s="365"/>
      <c r="BB284" s="365"/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872">
        <f t="shared" si="190"/>
        <v>0</v>
      </c>
      <c r="BM284" s="873">
        <f t="shared" si="191"/>
        <v>0</v>
      </c>
      <c r="BN284" s="874">
        <f t="shared" si="216"/>
        <v>0</v>
      </c>
      <c r="BO284" s="875">
        <f t="shared" si="192"/>
        <v>0</v>
      </c>
      <c r="BP284" s="875">
        <f t="shared" si="193"/>
        <v>0</v>
      </c>
      <c r="BQ284" s="876">
        <f t="shared" si="217"/>
        <v>0</v>
      </c>
      <c r="BR284" s="877">
        <f t="shared" si="218"/>
        <v>0</v>
      </c>
      <c r="BS284" s="875">
        <f t="shared" si="194"/>
        <v>0</v>
      </c>
      <c r="BT284" s="875">
        <f t="shared" si="195"/>
        <v>0</v>
      </c>
      <c r="BU284" s="878">
        <f t="shared" si="219"/>
        <v>0</v>
      </c>
      <c r="CE284" s="486">
        <v>271</v>
      </c>
    </row>
    <row r="285" spans="1:83" s="177" customFormat="1" ht="21.95" customHeight="1" x14ac:dyDescent="0.2">
      <c r="A285" s="237">
        <f t="shared" si="196"/>
        <v>0</v>
      </c>
      <c r="B285" s="237">
        <f t="shared" si="197"/>
        <v>0</v>
      </c>
      <c r="C285" s="393">
        <f t="shared" si="182"/>
        <v>0</v>
      </c>
      <c r="D285" s="393" t="str">
        <f t="shared" si="183"/>
        <v xml:space="preserve">16 </v>
      </c>
      <c r="E285" s="959" t="s">
        <v>682</v>
      </c>
      <c r="F285" s="959" t="s">
        <v>2125</v>
      </c>
      <c r="G285" s="959" t="s">
        <v>7</v>
      </c>
      <c r="H285" s="960">
        <v>1</v>
      </c>
      <c r="I285" s="961">
        <v>15000</v>
      </c>
      <c r="J285" s="962">
        <v>15000</v>
      </c>
      <c r="K285" s="367">
        <v>0</v>
      </c>
      <c r="L285" s="367">
        <f>IF($H285="",0,VLOOKUP($E285,Plan3!$A$16:$CT$384,$E$7,0)%)</f>
        <v>0</v>
      </c>
      <c r="M285" s="368">
        <f t="shared" si="202"/>
        <v>0</v>
      </c>
      <c r="N285" s="368">
        <f t="shared" si="203"/>
        <v>0</v>
      </c>
      <c r="O285" s="367">
        <v>0</v>
      </c>
      <c r="P285" s="367">
        <f>VLOOKUP($E285,Plan3!$A$492:$P$858,13,0)%</f>
        <v>0</v>
      </c>
      <c r="Q285" s="368">
        <f t="shared" si="204"/>
        <v>0</v>
      </c>
      <c r="R285" s="368">
        <f t="shared" si="205"/>
        <v>0</v>
      </c>
      <c r="S285" s="880">
        <v>15174</v>
      </c>
      <c r="T285" s="880">
        <f t="shared" si="206"/>
        <v>0</v>
      </c>
      <c r="U285" s="880">
        <f>IF($I285="",0,($S285-$T285)*(1+('Econômico Macro'!$R$12/100)))</f>
        <v>15436.510200000001</v>
      </c>
      <c r="V285" s="880">
        <f t="shared" si="207"/>
        <v>15436.510200000001</v>
      </c>
      <c r="W285" s="880">
        <f t="shared" si="208"/>
        <v>0</v>
      </c>
      <c r="X285" s="367">
        <f t="shared" si="184"/>
        <v>0</v>
      </c>
      <c r="Y285" s="367">
        <f t="shared" si="185"/>
        <v>0</v>
      </c>
      <c r="Z285" s="367">
        <f t="shared" si="186"/>
        <v>0</v>
      </c>
      <c r="AA285" s="367">
        <f t="shared" si="187"/>
        <v>0</v>
      </c>
      <c r="AB285" s="369" t="str">
        <f t="shared" si="188"/>
        <v>Não Iniciada</v>
      </c>
      <c r="AC285" s="365"/>
      <c r="AD285" s="368">
        <v>1</v>
      </c>
      <c r="AE285" s="368">
        <f t="shared" si="209"/>
        <v>-1</v>
      </c>
      <c r="AF285" s="365"/>
      <c r="AG285" s="863">
        <f t="shared" si="198"/>
        <v>0</v>
      </c>
      <c r="AH285" s="864">
        <f t="shared" si="210"/>
        <v>0</v>
      </c>
      <c r="AI285" s="863">
        <f t="shared" si="199"/>
        <v>0</v>
      </c>
      <c r="AJ285" s="864">
        <f t="shared" si="211"/>
        <v>0</v>
      </c>
      <c r="AK285" s="365"/>
      <c r="AL285" s="865">
        <f t="shared" si="200"/>
        <v>0</v>
      </c>
      <c r="AM285" s="866">
        <f t="shared" si="212"/>
        <v>0</v>
      </c>
      <c r="AN285" s="866">
        <f t="shared" si="213"/>
        <v>0</v>
      </c>
      <c r="AO285" s="866">
        <f t="shared" si="214"/>
        <v>0</v>
      </c>
      <c r="AP285" s="867">
        <f t="shared" si="215"/>
        <v>0</v>
      </c>
      <c r="AQ285" s="591">
        <f t="shared" si="201"/>
        <v>0</v>
      </c>
      <c r="AR285" s="868">
        <f>IF(AND($L285=0,$P285=0)=TRUE,VLOOKUP($E285,Plan3!$A$16:$CT$487,$E$7+3,0)/100,0)</f>
        <v>0</v>
      </c>
      <c r="AS285" s="868">
        <f>IF(AND($L285=0,$P285=0)=TRUE,VLOOKUP($E285,Plan3!$A$16:$CT$487,$E$7+6,0)/100,0)</f>
        <v>0</v>
      </c>
      <c r="AT285" s="868">
        <f>IF(AND($L285=0,$P285=0)=TRUE,VLOOKUP($E285,Plan3!$A$16:$CT$487,$E$7+9,0)/100,0)</f>
        <v>0</v>
      </c>
      <c r="AU285" s="868">
        <f>IF(AND($L285=0,$P285=0)=TRUE,VLOOKUP($E285,Plan3!$A$16:$CT$487,$E$7+12,0)/100,0)</f>
        <v>0</v>
      </c>
      <c r="AV285" s="841"/>
      <c r="AW285" s="869">
        <f t="shared" si="220"/>
        <v>0</v>
      </c>
      <c r="AX285" s="870">
        <f t="shared" si="221"/>
        <v>0</v>
      </c>
      <c r="AY285" s="871">
        <f t="shared" si="222"/>
        <v>0</v>
      </c>
      <c r="AZ285" s="237" t="str">
        <f t="shared" si="189"/>
        <v xml:space="preserve">16.000.000.006 </v>
      </c>
      <c r="BA285" s="365"/>
      <c r="BB285" s="365"/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872">
        <f t="shared" si="190"/>
        <v>0</v>
      </c>
      <c r="BM285" s="873">
        <f t="shared" si="191"/>
        <v>0</v>
      </c>
      <c r="BN285" s="874">
        <f t="shared" si="216"/>
        <v>0</v>
      </c>
      <c r="BO285" s="875">
        <f t="shared" si="192"/>
        <v>0</v>
      </c>
      <c r="BP285" s="875">
        <f t="shared" si="193"/>
        <v>0</v>
      </c>
      <c r="BQ285" s="876">
        <f t="shared" si="217"/>
        <v>0</v>
      </c>
      <c r="BR285" s="877">
        <f t="shared" si="218"/>
        <v>0</v>
      </c>
      <c r="BS285" s="875">
        <f t="shared" si="194"/>
        <v>0</v>
      </c>
      <c r="BT285" s="875">
        <f t="shared" si="195"/>
        <v>0</v>
      </c>
      <c r="BU285" s="878">
        <f t="shared" si="219"/>
        <v>0</v>
      </c>
      <c r="CE285" s="486">
        <v>272</v>
      </c>
    </row>
    <row r="286" spans="1:83" s="177" customFormat="1" ht="21.95" customHeight="1" x14ac:dyDescent="0.2">
      <c r="A286" s="237">
        <f t="shared" si="196"/>
        <v>0</v>
      </c>
      <c r="B286" s="237">
        <f t="shared" si="197"/>
        <v>0</v>
      </c>
      <c r="C286" s="393">
        <f t="shared" si="182"/>
        <v>0</v>
      </c>
      <c r="D286" s="393" t="str">
        <f t="shared" si="183"/>
        <v xml:space="preserve">16 </v>
      </c>
      <c r="E286" s="959" t="s">
        <v>683</v>
      </c>
      <c r="F286" s="959" t="s">
        <v>789</v>
      </c>
      <c r="G286" s="959" t="s">
        <v>7</v>
      </c>
      <c r="H286" s="960">
        <v>1</v>
      </c>
      <c r="I286" s="961">
        <v>22320</v>
      </c>
      <c r="J286" s="962">
        <v>22320</v>
      </c>
      <c r="K286" s="367">
        <v>0</v>
      </c>
      <c r="L286" s="367">
        <f>IF($H286="",0,VLOOKUP($E286,Plan3!$A$16:$CT$384,$E$7,0)%)</f>
        <v>0</v>
      </c>
      <c r="M286" s="368">
        <f t="shared" si="202"/>
        <v>0</v>
      </c>
      <c r="N286" s="368">
        <f t="shared" si="203"/>
        <v>0</v>
      </c>
      <c r="O286" s="367">
        <v>0</v>
      </c>
      <c r="P286" s="367">
        <f>VLOOKUP($E286,Plan3!$A$492:$P$858,13,0)%</f>
        <v>0</v>
      </c>
      <c r="Q286" s="368">
        <f t="shared" si="204"/>
        <v>0</v>
      </c>
      <c r="R286" s="368">
        <f t="shared" si="205"/>
        <v>0</v>
      </c>
      <c r="S286" s="880">
        <v>22578.912</v>
      </c>
      <c r="T286" s="880">
        <f t="shared" si="206"/>
        <v>0</v>
      </c>
      <c r="U286" s="880">
        <f>IF($I286="",0,($S286-$T286)*(1+('Econômico Macro'!$R$12/100)))</f>
        <v>22969.527177600001</v>
      </c>
      <c r="V286" s="880">
        <f t="shared" si="207"/>
        <v>22969.527177600001</v>
      </c>
      <c r="W286" s="880">
        <f t="shared" si="208"/>
        <v>0</v>
      </c>
      <c r="X286" s="367">
        <f t="shared" si="184"/>
        <v>0</v>
      </c>
      <c r="Y286" s="367">
        <f t="shared" si="185"/>
        <v>0</v>
      </c>
      <c r="Z286" s="367">
        <f t="shared" si="186"/>
        <v>0</v>
      </c>
      <c r="AA286" s="367">
        <f t="shared" si="187"/>
        <v>0</v>
      </c>
      <c r="AB286" s="369" t="str">
        <f t="shared" si="188"/>
        <v>Não Iniciada</v>
      </c>
      <c r="AC286" s="365"/>
      <c r="AD286" s="368">
        <v>1</v>
      </c>
      <c r="AE286" s="368">
        <f t="shared" si="209"/>
        <v>-1</v>
      </c>
      <c r="AF286" s="365"/>
      <c r="AG286" s="863">
        <f t="shared" si="198"/>
        <v>0</v>
      </c>
      <c r="AH286" s="864">
        <f t="shared" si="210"/>
        <v>0</v>
      </c>
      <c r="AI286" s="863">
        <f t="shared" si="199"/>
        <v>0</v>
      </c>
      <c r="AJ286" s="864">
        <f t="shared" si="211"/>
        <v>0</v>
      </c>
      <c r="AK286" s="365"/>
      <c r="AL286" s="865">
        <f t="shared" si="200"/>
        <v>0</v>
      </c>
      <c r="AM286" s="866">
        <f t="shared" si="212"/>
        <v>0</v>
      </c>
      <c r="AN286" s="866">
        <f t="shared" si="213"/>
        <v>0</v>
      </c>
      <c r="AO286" s="866">
        <f t="shared" si="214"/>
        <v>0</v>
      </c>
      <c r="AP286" s="867">
        <f t="shared" si="215"/>
        <v>0</v>
      </c>
      <c r="AQ286" s="591">
        <f t="shared" si="201"/>
        <v>0</v>
      </c>
      <c r="AR286" s="868">
        <f>IF(AND($L286=0,$P286=0)=TRUE,VLOOKUP($E286,Plan3!$A$16:$CT$487,$E$7+3,0)/100,0)</f>
        <v>0</v>
      </c>
      <c r="AS286" s="868">
        <f>IF(AND($L286=0,$P286=0)=TRUE,VLOOKUP($E286,Plan3!$A$16:$CT$487,$E$7+6,0)/100,0)</f>
        <v>0</v>
      </c>
      <c r="AT286" s="868">
        <f>IF(AND($L286=0,$P286=0)=TRUE,VLOOKUP($E286,Plan3!$A$16:$CT$487,$E$7+9,0)/100,0)</f>
        <v>0</v>
      </c>
      <c r="AU286" s="868">
        <f>IF(AND($L286=0,$P286=0)=TRUE,VLOOKUP($E286,Plan3!$A$16:$CT$487,$E$7+12,0)/100,0)</f>
        <v>0</v>
      </c>
      <c r="AV286" s="841"/>
      <c r="AW286" s="869">
        <f t="shared" si="220"/>
        <v>0</v>
      </c>
      <c r="AX286" s="870">
        <f t="shared" si="221"/>
        <v>0</v>
      </c>
      <c r="AY286" s="871">
        <f t="shared" si="222"/>
        <v>0</v>
      </c>
      <c r="AZ286" s="237" t="str">
        <f t="shared" si="189"/>
        <v xml:space="preserve">16.000.000.007 </v>
      </c>
      <c r="BA286" s="365"/>
      <c r="BB286" s="365"/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872">
        <f t="shared" si="190"/>
        <v>0</v>
      </c>
      <c r="BM286" s="873">
        <f t="shared" si="191"/>
        <v>0</v>
      </c>
      <c r="BN286" s="874">
        <f t="shared" si="216"/>
        <v>0</v>
      </c>
      <c r="BO286" s="875">
        <f t="shared" si="192"/>
        <v>0</v>
      </c>
      <c r="BP286" s="875">
        <f t="shared" si="193"/>
        <v>0</v>
      </c>
      <c r="BQ286" s="876">
        <f t="shared" si="217"/>
        <v>0</v>
      </c>
      <c r="BR286" s="877">
        <f t="shared" si="218"/>
        <v>0</v>
      </c>
      <c r="BS286" s="875">
        <f t="shared" si="194"/>
        <v>0</v>
      </c>
      <c r="BT286" s="875">
        <f t="shared" si="195"/>
        <v>0</v>
      </c>
      <c r="BU286" s="878">
        <f t="shared" si="219"/>
        <v>0</v>
      </c>
      <c r="CE286" s="486">
        <v>273</v>
      </c>
    </row>
    <row r="287" spans="1:83" s="177" customFormat="1" ht="21.95" customHeight="1" x14ac:dyDescent="0.2">
      <c r="A287" s="237">
        <f t="shared" si="196"/>
        <v>0</v>
      </c>
      <c r="B287" s="237">
        <f t="shared" si="197"/>
        <v>0</v>
      </c>
      <c r="C287" s="393">
        <f t="shared" si="182"/>
        <v>0</v>
      </c>
      <c r="D287" s="393" t="str">
        <f t="shared" si="183"/>
        <v xml:space="preserve">16 </v>
      </c>
      <c r="E287" s="959" t="s">
        <v>684</v>
      </c>
      <c r="F287" s="959" t="s">
        <v>468</v>
      </c>
      <c r="G287" s="959" t="s">
        <v>7</v>
      </c>
      <c r="H287" s="960">
        <v>1</v>
      </c>
      <c r="I287" s="961">
        <v>30779.05</v>
      </c>
      <c r="J287" s="962">
        <v>30779.05</v>
      </c>
      <c r="K287" s="367">
        <v>0</v>
      </c>
      <c r="L287" s="367">
        <f>IF($H287="",0,VLOOKUP($E287,Plan3!$A$16:$CT$384,$E$7,0)%)</f>
        <v>0</v>
      </c>
      <c r="M287" s="368">
        <f t="shared" si="202"/>
        <v>0</v>
      </c>
      <c r="N287" s="368">
        <f t="shared" si="203"/>
        <v>0</v>
      </c>
      <c r="O287" s="367">
        <v>0</v>
      </c>
      <c r="P287" s="367">
        <f>VLOOKUP($E287,Plan3!$A$492:$P$858,13,0)%</f>
        <v>0</v>
      </c>
      <c r="Q287" s="368">
        <f t="shared" si="204"/>
        <v>0</v>
      </c>
      <c r="R287" s="368">
        <f t="shared" si="205"/>
        <v>0</v>
      </c>
      <c r="S287" s="880">
        <v>31136.08698</v>
      </c>
      <c r="T287" s="880">
        <f t="shared" si="206"/>
        <v>0</v>
      </c>
      <c r="U287" s="880">
        <f>IF($I287="",0,($S287-$T287)*(1+('Econômico Macro'!$R$12/100)))</f>
        <v>31674.741284754004</v>
      </c>
      <c r="V287" s="880">
        <f t="shared" si="207"/>
        <v>31674.741284754004</v>
      </c>
      <c r="W287" s="880">
        <f t="shared" si="208"/>
        <v>0</v>
      </c>
      <c r="X287" s="367">
        <f t="shared" si="184"/>
        <v>0</v>
      </c>
      <c r="Y287" s="367">
        <f t="shared" si="185"/>
        <v>0</v>
      </c>
      <c r="Z287" s="367">
        <f t="shared" si="186"/>
        <v>0</v>
      </c>
      <c r="AA287" s="367">
        <f t="shared" si="187"/>
        <v>0</v>
      </c>
      <c r="AB287" s="369" t="str">
        <f t="shared" si="188"/>
        <v>Não Iniciada</v>
      </c>
      <c r="AC287" s="365"/>
      <c r="AD287" s="368">
        <v>1</v>
      </c>
      <c r="AE287" s="368">
        <f t="shared" si="209"/>
        <v>-1</v>
      </c>
      <c r="AF287" s="365"/>
      <c r="AG287" s="863">
        <f t="shared" si="198"/>
        <v>0</v>
      </c>
      <c r="AH287" s="864">
        <f t="shared" si="210"/>
        <v>0</v>
      </c>
      <c r="AI287" s="863">
        <f t="shared" si="199"/>
        <v>0</v>
      </c>
      <c r="AJ287" s="864">
        <f t="shared" si="211"/>
        <v>0</v>
      </c>
      <c r="AK287" s="365"/>
      <c r="AL287" s="865">
        <f t="shared" si="200"/>
        <v>0</v>
      </c>
      <c r="AM287" s="866">
        <f t="shared" si="212"/>
        <v>0</v>
      </c>
      <c r="AN287" s="866">
        <f t="shared" si="213"/>
        <v>0</v>
      </c>
      <c r="AO287" s="866">
        <f t="shared" si="214"/>
        <v>0</v>
      </c>
      <c r="AP287" s="867">
        <f t="shared" si="215"/>
        <v>0</v>
      </c>
      <c r="AQ287" s="591">
        <f t="shared" si="201"/>
        <v>0</v>
      </c>
      <c r="AR287" s="868">
        <f>IF(AND($L287=0,$P287=0)=TRUE,VLOOKUP($E287,Plan3!$A$16:$CT$487,$E$7+3,0)/100,0)</f>
        <v>0</v>
      </c>
      <c r="AS287" s="868">
        <f>IF(AND($L287=0,$P287=0)=TRUE,VLOOKUP($E287,Plan3!$A$16:$CT$487,$E$7+6,0)/100,0)</f>
        <v>0</v>
      </c>
      <c r="AT287" s="868">
        <f>IF(AND($L287=0,$P287=0)=TRUE,VLOOKUP($E287,Plan3!$A$16:$CT$487,$E$7+9,0)/100,0)</f>
        <v>0</v>
      </c>
      <c r="AU287" s="868">
        <f>IF(AND($L287=0,$P287=0)=TRUE,VLOOKUP($E287,Plan3!$A$16:$CT$487,$E$7+12,0)/100,0)</f>
        <v>0</v>
      </c>
      <c r="AV287" s="841"/>
      <c r="AW287" s="869">
        <f t="shared" si="220"/>
        <v>0</v>
      </c>
      <c r="AX287" s="870">
        <f t="shared" si="221"/>
        <v>0</v>
      </c>
      <c r="AY287" s="871">
        <f t="shared" si="222"/>
        <v>0</v>
      </c>
      <c r="AZ287" s="237" t="str">
        <f t="shared" si="189"/>
        <v xml:space="preserve">16.000.000.008 </v>
      </c>
      <c r="BA287" s="365"/>
      <c r="BB287" s="365"/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872">
        <f t="shared" si="190"/>
        <v>0</v>
      </c>
      <c r="BM287" s="873">
        <f t="shared" si="191"/>
        <v>0</v>
      </c>
      <c r="BN287" s="874">
        <f t="shared" si="216"/>
        <v>0</v>
      </c>
      <c r="BO287" s="875">
        <f t="shared" si="192"/>
        <v>0</v>
      </c>
      <c r="BP287" s="875">
        <f t="shared" si="193"/>
        <v>0</v>
      </c>
      <c r="BQ287" s="876">
        <f t="shared" si="217"/>
        <v>0</v>
      </c>
      <c r="BR287" s="877">
        <f t="shared" si="218"/>
        <v>0</v>
      </c>
      <c r="BS287" s="875">
        <f t="shared" si="194"/>
        <v>0</v>
      </c>
      <c r="BT287" s="875">
        <f t="shared" si="195"/>
        <v>0</v>
      </c>
      <c r="BU287" s="878">
        <f t="shared" si="219"/>
        <v>0</v>
      </c>
      <c r="CE287" s="486">
        <v>274</v>
      </c>
    </row>
    <row r="288" spans="1:83" s="177" customFormat="1" ht="21.95" customHeight="1" x14ac:dyDescent="0.2">
      <c r="A288" s="237">
        <f t="shared" si="196"/>
        <v>0</v>
      </c>
      <c r="B288" s="237">
        <f t="shared" si="197"/>
        <v>0</v>
      </c>
      <c r="C288" s="393">
        <f t="shared" si="182"/>
        <v>0</v>
      </c>
      <c r="D288" s="393" t="str">
        <f t="shared" si="183"/>
        <v xml:space="preserve">16 </v>
      </c>
      <c r="E288" s="959" t="s">
        <v>685</v>
      </c>
      <c r="F288" s="959" t="s">
        <v>409</v>
      </c>
      <c r="G288" s="959" t="s">
        <v>7</v>
      </c>
      <c r="H288" s="960">
        <v>1</v>
      </c>
      <c r="I288" s="963">
        <v>5086.5</v>
      </c>
      <c r="J288" s="964">
        <v>5086.5</v>
      </c>
      <c r="K288" s="367">
        <v>0</v>
      </c>
      <c r="L288" s="367">
        <f>IF($H288="",0,VLOOKUP($E288,Plan3!$A$16:$CT$384,$E$7,0)%)</f>
        <v>0</v>
      </c>
      <c r="M288" s="368">
        <f t="shared" si="202"/>
        <v>0</v>
      </c>
      <c r="N288" s="368">
        <f t="shared" si="203"/>
        <v>0</v>
      </c>
      <c r="O288" s="367">
        <v>0</v>
      </c>
      <c r="P288" s="367">
        <f>VLOOKUP($E288,Plan3!$A$492:$P$858,13,0)%</f>
        <v>0</v>
      </c>
      <c r="Q288" s="368">
        <f t="shared" si="204"/>
        <v>0</v>
      </c>
      <c r="R288" s="368">
        <f t="shared" si="205"/>
        <v>0</v>
      </c>
      <c r="S288" s="880">
        <v>5145.5034000000005</v>
      </c>
      <c r="T288" s="880">
        <f t="shared" si="206"/>
        <v>0</v>
      </c>
      <c r="U288" s="880">
        <f>IF($I288="",0,($S288-$T288)*(1+('Econômico Macro'!$R$12/100)))</f>
        <v>5234.5206088200011</v>
      </c>
      <c r="V288" s="880">
        <f t="shared" si="207"/>
        <v>5234.5206088200011</v>
      </c>
      <c r="W288" s="880">
        <f t="shared" si="208"/>
        <v>0</v>
      </c>
      <c r="X288" s="367">
        <f t="shared" si="184"/>
        <v>0</v>
      </c>
      <c r="Y288" s="367">
        <f t="shared" si="185"/>
        <v>0</v>
      </c>
      <c r="Z288" s="367">
        <f t="shared" si="186"/>
        <v>0</v>
      </c>
      <c r="AA288" s="367">
        <f t="shared" si="187"/>
        <v>0</v>
      </c>
      <c r="AB288" s="369" t="str">
        <f t="shared" si="188"/>
        <v>Não Iniciada</v>
      </c>
      <c r="AC288" s="365"/>
      <c r="AD288" s="368">
        <v>1</v>
      </c>
      <c r="AE288" s="368">
        <f t="shared" si="209"/>
        <v>-1</v>
      </c>
      <c r="AF288" s="365"/>
      <c r="AG288" s="863">
        <f t="shared" si="198"/>
        <v>0</v>
      </c>
      <c r="AH288" s="864">
        <f t="shared" si="210"/>
        <v>0</v>
      </c>
      <c r="AI288" s="863">
        <f t="shared" si="199"/>
        <v>0</v>
      </c>
      <c r="AJ288" s="864">
        <f t="shared" si="211"/>
        <v>0</v>
      </c>
      <c r="AK288" s="365"/>
      <c r="AL288" s="865">
        <f t="shared" si="200"/>
        <v>0</v>
      </c>
      <c r="AM288" s="866">
        <f t="shared" si="212"/>
        <v>0</v>
      </c>
      <c r="AN288" s="866">
        <f t="shared" si="213"/>
        <v>0</v>
      </c>
      <c r="AO288" s="866">
        <f t="shared" si="214"/>
        <v>0</v>
      </c>
      <c r="AP288" s="867">
        <f t="shared" si="215"/>
        <v>0</v>
      </c>
      <c r="AQ288" s="591">
        <f t="shared" si="201"/>
        <v>0</v>
      </c>
      <c r="AR288" s="868">
        <f>IF(AND($L288=0,$P288=0)=TRUE,VLOOKUP($E288,Plan3!$A$16:$CT$487,$E$7+3,0)/100,0)</f>
        <v>0</v>
      </c>
      <c r="AS288" s="868">
        <f>IF(AND($L288=0,$P288=0)=TRUE,VLOOKUP($E288,Plan3!$A$16:$CT$487,$E$7+6,0)/100,0)</f>
        <v>0</v>
      </c>
      <c r="AT288" s="868">
        <f>IF(AND($L288=0,$P288=0)=TRUE,VLOOKUP($E288,Plan3!$A$16:$CT$487,$E$7+9,0)/100,0)</f>
        <v>0</v>
      </c>
      <c r="AU288" s="868">
        <f>IF(AND($L288=0,$P288=0)=TRUE,VLOOKUP($E288,Plan3!$A$16:$CT$487,$E$7+12,0)/100,0)</f>
        <v>0</v>
      </c>
      <c r="AV288" s="841"/>
      <c r="AW288" s="869">
        <f t="shared" si="220"/>
        <v>0</v>
      </c>
      <c r="AX288" s="870">
        <f t="shared" si="221"/>
        <v>0</v>
      </c>
      <c r="AY288" s="871">
        <f t="shared" si="222"/>
        <v>0</v>
      </c>
      <c r="AZ288" s="237" t="str">
        <f t="shared" si="189"/>
        <v xml:space="preserve">16.000.000.009 </v>
      </c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872">
        <f t="shared" si="190"/>
        <v>0</v>
      </c>
      <c r="BM288" s="873">
        <f t="shared" si="191"/>
        <v>0</v>
      </c>
      <c r="BN288" s="874">
        <f t="shared" si="216"/>
        <v>0</v>
      </c>
      <c r="BO288" s="875">
        <f t="shared" si="192"/>
        <v>0</v>
      </c>
      <c r="BP288" s="875">
        <f t="shared" si="193"/>
        <v>0</v>
      </c>
      <c r="BQ288" s="876">
        <f t="shared" si="217"/>
        <v>0</v>
      </c>
      <c r="BR288" s="877">
        <f t="shared" si="218"/>
        <v>0</v>
      </c>
      <c r="BS288" s="875">
        <f t="shared" si="194"/>
        <v>0</v>
      </c>
      <c r="BT288" s="875">
        <f t="shared" si="195"/>
        <v>0</v>
      </c>
      <c r="BU288" s="878">
        <f t="shared" si="219"/>
        <v>0</v>
      </c>
      <c r="CE288" s="486">
        <v>275</v>
      </c>
    </row>
    <row r="289" spans="1:83" s="177" customFormat="1" ht="21.95" customHeight="1" x14ac:dyDescent="0.2">
      <c r="A289" s="237">
        <f t="shared" si="196"/>
        <v>0</v>
      </c>
      <c r="B289" s="237">
        <f t="shared" si="197"/>
        <v>0</v>
      </c>
      <c r="C289" s="393">
        <f t="shared" si="182"/>
        <v>0</v>
      </c>
      <c r="D289" s="393" t="str">
        <f t="shared" si="183"/>
        <v xml:space="preserve">16 </v>
      </c>
      <c r="E289" s="959" t="s">
        <v>686</v>
      </c>
      <c r="F289" s="959" t="s">
        <v>790</v>
      </c>
      <c r="G289" s="959" t="s">
        <v>7</v>
      </c>
      <c r="H289" s="960">
        <v>1</v>
      </c>
      <c r="I289" s="961">
        <v>17979.499199999998</v>
      </c>
      <c r="J289" s="962">
        <v>17979.5</v>
      </c>
      <c r="K289" s="367">
        <v>0</v>
      </c>
      <c r="L289" s="367">
        <f>IF($H289="",0,VLOOKUP($E289,Plan3!$A$16:$CT$384,$E$7,0)%)</f>
        <v>0</v>
      </c>
      <c r="M289" s="368">
        <f t="shared" si="202"/>
        <v>0</v>
      </c>
      <c r="N289" s="368">
        <f t="shared" si="203"/>
        <v>0</v>
      </c>
      <c r="O289" s="367">
        <v>0</v>
      </c>
      <c r="P289" s="367">
        <f>VLOOKUP($E289,Plan3!$A$492:$P$858,13,0)%</f>
        <v>0</v>
      </c>
      <c r="Q289" s="368">
        <f t="shared" si="204"/>
        <v>0</v>
      </c>
      <c r="R289" s="368">
        <f t="shared" si="205"/>
        <v>0</v>
      </c>
      <c r="S289" s="880">
        <v>18188.0622</v>
      </c>
      <c r="T289" s="880">
        <f t="shared" si="206"/>
        <v>0</v>
      </c>
      <c r="U289" s="880">
        <f>IF($I289="",0,($S289-$T289)*(1+('Econômico Macro'!$R$12/100)))</f>
        <v>18502.715676060001</v>
      </c>
      <c r="V289" s="880">
        <f t="shared" si="207"/>
        <v>18502.715676060001</v>
      </c>
      <c r="W289" s="880">
        <f t="shared" si="208"/>
        <v>0</v>
      </c>
      <c r="X289" s="367">
        <f t="shared" si="184"/>
        <v>0</v>
      </c>
      <c r="Y289" s="367">
        <f t="shared" si="185"/>
        <v>0</v>
      </c>
      <c r="Z289" s="367">
        <f t="shared" si="186"/>
        <v>0</v>
      </c>
      <c r="AA289" s="367">
        <f t="shared" si="187"/>
        <v>0</v>
      </c>
      <c r="AB289" s="369" t="str">
        <f t="shared" si="188"/>
        <v>Não Iniciada</v>
      </c>
      <c r="AC289" s="365"/>
      <c r="AD289" s="368">
        <v>1</v>
      </c>
      <c r="AE289" s="368">
        <f t="shared" si="209"/>
        <v>-1</v>
      </c>
      <c r="AF289" s="365"/>
      <c r="AG289" s="863">
        <f t="shared" si="198"/>
        <v>0</v>
      </c>
      <c r="AH289" s="864">
        <f t="shared" si="210"/>
        <v>0</v>
      </c>
      <c r="AI289" s="863">
        <f t="shared" si="199"/>
        <v>0</v>
      </c>
      <c r="AJ289" s="864">
        <f t="shared" si="211"/>
        <v>0</v>
      </c>
      <c r="AK289" s="365"/>
      <c r="AL289" s="865">
        <f t="shared" si="200"/>
        <v>0</v>
      </c>
      <c r="AM289" s="866">
        <f t="shared" si="212"/>
        <v>0</v>
      </c>
      <c r="AN289" s="866">
        <f t="shared" si="213"/>
        <v>0</v>
      </c>
      <c r="AO289" s="866">
        <f t="shared" si="214"/>
        <v>0</v>
      </c>
      <c r="AP289" s="867">
        <f t="shared" si="215"/>
        <v>0</v>
      </c>
      <c r="AQ289" s="591">
        <f t="shared" si="201"/>
        <v>0</v>
      </c>
      <c r="AR289" s="868">
        <f>IF(AND($L289=0,$P289=0)=TRUE,VLOOKUP($E289,Plan3!$A$16:$CT$487,$E$7+3,0)/100,0)</f>
        <v>0</v>
      </c>
      <c r="AS289" s="868">
        <f>IF(AND($L289=0,$P289=0)=TRUE,VLOOKUP($E289,Plan3!$A$16:$CT$487,$E$7+6,0)/100,0)</f>
        <v>0</v>
      </c>
      <c r="AT289" s="868">
        <f>IF(AND($L289=0,$P289=0)=TRUE,VLOOKUP($E289,Plan3!$A$16:$CT$487,$E$7+9,0)/100,0)</f>
        <v>0</v>
      </c>
      <c r="AU289" s="868">
        <f>IF(AND($L289=0,$P289=0)=TRUE,VLOOKUP($E289,Plan3!$A$16:$CT$487,$E$7+12,0)/100,0)</f>
        <v>0</v>
      </c>
      <c r="AV289" s="841"/>
      <c r="AW289" s="869">
        <f t="shared" si="220"/>
        <v>0</v>
      </c>
      <c r="AX289" s="870">
        <f t="shared" si="221"/>
        <v>0</v>
      </c>
      <c r="AY289" s="871">
        <f t="shared" si="222"/>
        <v>0</v>
      </c>
      <c r="AZ289" s="237" t="str">
        <f t="shared" si="189"/>
        <v xml:space="preserve">16.000.000.010 </v>
      </c>
      <c r="BA289" s="365"/>
      <c r="BB289" s="365"/>
      <c r="BC289" s="365"/>
      <c r="BD289" s="365"/>
      <c r="BE289" s="365"/>
      <c r="BF289" s="365"/>
      <c r="BG289" s="365"/>
      <c r="BH289" s="365"/>
      <c r="BI289" s="365"/>
      <c r="BJ289" s="365"/>
      <c r="BK289" s="365"/>
      <c r="BL289" s="872">
        <f t="shared" si="190"/>
        <v>0</v>
      </c>
      <c r="BM289" s="873">
        <f t="shared" si="191"/>
        <v>0</v>
      </c>
      <c r="BN289" s="874">
        <f t="shared" si="216"/>
        <v>0</v>
      </c>
      <c r="BO289" s="875">
        <f t="shared" si="192"/>
        <v>0</v>
      </c>
      <c r="BP289" s="875">
        <f t="shared" si="193"/>
        <v>0</v>
      </c>
      <c r="BQ289" s="876">
        <f t="shared" si="217"/>
        <v>0</v>
      </c>
      <c r="BR289" s="877">
        <f t="shared" si="218"/>
        <v>0</v>
      </c>
      <c r="BS289" s="875">
        <f t="shared" si="194"/>
        <v>0</v>
      </c>
      <c r="BT289" s="875">
        <f t="shared" si="195"/>
        <v>0</v>
      </c>
      <c r="BU289" s="878">
        <f t="shared" si="219"/>
        <v>0</v>
      </c>
      <c r="CE289" s="486">
        <v>276</v>
      </c>
    </row>
    <row r="290" spans="1:83" s="177" customFormat="1" ht="21.95" customHeight="1" x14ac:dyDescent="0.2">
      <c r="A290" s="237">
        <f t="shared" si="196"/>
        <v>0</v>
      </c>
      <c r="B290" s="237">
        <f t="shared" si="197"/>
        <v>0</v>
      </c>
      <c r="C290" s="393">
        <f t="shared" si="182"/>
        <v>0</v>
      </c>
      <c r="D290" s="393" t="str">
        <f t="shared" si="183"/>
        <v xml:space="preserve">16 </v>
      </c>
      <c r="E290" s="959" t="s">
        <v>687</v>
      </c>
      <c r="F290" s="959" t="s">
        <v>2304</v>
      </c>
      <c r="G290" s="959" t="s">
        <v>8</v>
      </c>
      <c r="H290" s="960">
        <v>2</v>
      </c>
      <c r="I290" s="961">
        <v>98672.976500000004</v>
      </c>
      <c r="J290" s="972">
        <v>197345.95</v>
      </c>
      <c r="K290" s="367">
        <v>0</v>
      </c>
      <c r="L290" s="367">
        <f>IF($H290="",0,VLOOKUP($E290,Plan3!$A$16:$CT$384,$E$7,0)%)</f>
        <v>0</v>
      </c>
      <c r="M290" s="368">
        <f t="shared" si="202"/>
        <v>0</v>
      </c>
      <c r="N290" s="368">
        <f t="shared" si="203"/>
        <v>0</v>
      </c>
      <c r="O290" s="367">
        <v>0</v>
      </c>
      <c r="P290" s="367">
        <f>VLOOKUP($E290,Plan3!$A$492:$P$858,13,0)%</f>
        <v>0</v>
      </c>
      <c r="Q290" s="368">
        <f t="shared" si="204"/>
        <v>0</v>
      </c>
      <c r="R290" s="368">
        <f t="shared" si="205"/>
        <v>0</v>
      </c>
      <c r="S290" s="880">
        <v>199635.16302000004</v>
      </c>
      <c r="T290" s="880">
        <f t="shared" si="206"/>
        <v>0</v>
      </c>
      <c r="U290" s="880">
        <f>IF($I290="",0,($S290-$T290)*(1+('Econômico Macro'!$R$12/100)))</f>
        <v>203088.85134024607</v>
      </c>
      <c r="V290" s="880">
        <f t="shared" si="207"/>
        <v>203088.85134024607</v>
      </c>
      <c r="W290" s="880">
        <f t="shared" si="208"/>
        <v>0</v>
      </c>
      <c r="X290" s="367">
        <f t="shared" si="184"/>
        <v>0</v>
      </c>
      <c r="Y290" s="367">
        <f t="shared" si="185"/>
        <v>0</v>
      </c>
      <c r="Z290" s="367">
        <f t="shared" si="186"/>
        <v>0</v>
      </c>
      <c r="AA290" s="367">
        <f t="shared" si="187"/>
        <v>0</v>
      </c>
      <c r="AB290" s="369" t="str">
        <f t="shared" si="188"/>
        <v>Não Iniciada</v>
      </c>
      <c r="AC290" s="365"/>
      <c r="AD290" s="368">
        <v>1</v>
      </c>
      <c r="AE290" s="368">
        <f t="shared" si="209"/>
        <v>-1</v>
      </c>
      <c r="AF290" s="365"/>
      <c r="AG290" s="863">
        <f t="shared" si="198"/>
        <v>0</v>
      </c>
      <c r="AH290" s="864">
        <f t="shared" si="210"/>
        <v>0</v>
      </c>
      <c r="AI290" s="863">
        <f t="shared" si="199"/>
        <v>0</v>
      </c>
      <c r="AJ290" s="864">
        <f t="shared" si="211"/>
        <v>0</v>
      </c>
      <c r="AK290" s="365"/>
      <c r="AL290" s="865">
        <f t="shared" si="200"/>
        <v>0</v>
      </c>
      <c r="AM290" s="866">
        <f t="shared" si="212"/>
        <v>0</v>
      </c>
      <c r="AN290" s="866">
        <f t="shared" si="213"/>
        <v>0</v>
      </c>
      <c r="AO290" s="866">
        <f t="shared" si="214"/>
        <v>0</v>
      </c>
      <c r="AP290" s="867">
        <f t="shared" si="215"/>
        <v>0</v>
      </c>
      <c r="AQ290" s="591">
        <f t="shared" si="201"/>
        <v>0</v>
      </c>
      <c r="AR290" s="868">
        <f>IF(AND($L290=0,$P290=0)=TRUE,VLOOKUP($E290,Plan3!$A$16:$CT$487,$E$7+3,0)/100,0)</f>
        <v>0</v>
      </c>
      <c r="AS290" s="868">
        <f>IF(AND($L290=0,$P290=0)=TRUE,VLOOKUP($E290,Plan3!$A$16:$CT$487,$E$7+6,0)/100,0)</f>
        <v>0</v>
      </c>
      <c r="AT290" s="868">
        <f>IF(AND($L290=0,$P290=0)=TRUE,VLOOKUP($E290,Plan3!$A$16:$CT$487,$E$7+9,0)/100,0)</f>
        <v>0</v>
      </c>
      <c r="AU290" s="868">
        <f>IF(AND($L290=0,$P290=0)=TRUE,VLOOKUP($E290,Plan3!$A$16:$CT$487,$E$7+12,0)/100,0)</f>
        <v>0</v>
      </c>
      <c r="AV290" s="841"/>
      <c r="AW290" s="869">
        <f t="shared" si="220"/>
        <v>0</v>
      </c>
      <c r="AX290" s="870">
        <f t="shared" si="221"/>
        <v>0</v>
      </c>
      <c r="AY290" s="871">
        <f t="shared" si="222"/>
        <v>0</v>
      </c>
      <c r="AZ290" s="237" t="str">
        <f t="shared" si="189"/>
        <v xml:space="preserve">16.000.000.011 </v>
      </c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872">
        <f t="shared" si="190"/>
        <v>0</v>
      </c>
      <c r="BM290" s="873">
        <f t="shared" si="191"/>
        <v>0</v>
      </c>
      <c r="BN290" s="874">
        <f t="shared" si="216"/>
        <v>0</v>
      </c>
      <c r="BO290" s="875">
        <f t="shared" si="192"/>
        <v>0</v>
      </c>
      <c r="BP290" s="875">
        <f t="shared" si="193"/>
        <v>0</v>
      </c>
      <c r="BQ290" s="876">
        <f t="shared" si="217"/>
        <v>0</v>
      </c>
      <c r="BR290" s="877">
        <f t="shared" si="218"/>
        <v>0</v>
      </c>
      <c r="BS290" s="875">
        <f t="shared" si="194"/>
        <v>0</v>
      </c>
      <c r="BT290" s="875">
        <f t="shared" si="195"/>
        <v>0</v>
      </c>
      <c r="BU290" s="878">
        <f t="shared" si="219"/>
        <v>0</v>
      </c>
      <c r="CE290" s="486">
        <v>277</v>
      </c>
    </row>
    <row r="291" spans="1:83" s="177" customFormat="1" ht="21.95" customHeight="1" x14ac:dyDescent="0.2">
      <c r="A291" s="237">
        <f t="shared" si="196"/>
        <v>0</v>
      </c>
      <c r="B291" s="237">
        <f t="shared" si="197"/>
        <v>0</v>
      </c>
      <c r="C291" s="393">
        <f t="shared" si="182"/>
        <v>0</v>
      </c>
      <c r="D291" s="393" t="str">
        <f t="shared" si="183"/>
        <v xml:space="preserve">16 </v>
      </c>
      <c r="E291" s="959" t="s">
        <v>688</v>
      </c>
      <c r="F291" s="959" t="s">
        <v>413</v>
      </c>
      <c r="G291" s="959" t="s">
        <v>7</v>
      </c>
      <c r="H291" s="960">
        <v>1</v>
      </c>
      <c r="I291" s="963">
        <v>3000</v>
      </c>
      <c r="J291" s="964">
        <v>3000</v>
      </c>
      <c r="K291" s="367">
        <v>0</v>
      </c>
      <c r="L291" s="367">
        <f>IF($H291="",0,VLOOKUP($E291,Plan3!$A$16:$CT$384,$E$7,0)%)</f>
        <v>0</v>
      </c>
      <c r="M291" s="368">
        <f t="shared" si="202"/>
        <v>0</v>
      </c>
      <c r="N291" s="368">
        <f t="shared" si="203"/>
        <v>0</v>
      </c>
      <c r="O291" s="367">
        <v>0</v>
      </c>
      <c r="P291" s="367">
        <f>VLOOKUP($E291,Plan3!$A$492:$P$858,13,0)%</f>
        <v>0</v>
      </c>
      <c r="Q291" s="368">
        <f t="shared" si="204"/>
        <v>0</v>
      </c>
      <c r="R291" s="368">
        <f t="shared" si="205"/>
        <v>0</v>
      </c>
      <c r="S291" s="880">
        <v>3034.8</v>
      </c>
      <c r="T291" s="880">
        <f t="shared" si="206"/>
        <v>0</v>
      </c>
      <c r="U291" s="880">
        <f>IF($I291="",0,($S291-$T291)*(1+('Econômico Macro'!$R$12/100)))</f>
        <v>3087.3020400000005</v>
      </c>
      <c r="V291" s="880">
        <f t="shared" si="207"/>
        <v>3087.3020400000005</v>
      </c>
      <c r="W291" s="880">
        <f t="shared" si="208"/>
        <v>0</v>
      </c>
      <c r="X291" s="367">
        <f t="shared" si="184"/>
        <v>0</v>
      </c>
      <c r="Y291" s="367">
        <f t="shared" si="185"/>
        <v>0</v>
      </c>
      <c r="Z291" s="367">
        <f t="shared" si="186"/>
        <v>0</v>
      </c>
      <c r="AA291" s="367">
        <f t="shared" si="187"/>
        <v>0</v>
      </c>
      <c r="AB291" s="369" t="str">
        <f t="shared" si="188"/>
        <v>Não Iniciada</v>
      </c>
      <c r="AC291" s="365"/>
      <c r="AD291" s="368">
        <v>1</v>
      </c>
      <c r="AE291" s="368">
        <f t="shared" si="209"/>
        <v>-1</v>
      </c>
      <c r="AF291" s="365"/>
      <c r="AG291" s="863">
        <f t="shared" si="198"/>
        <v>0</v>
      </c>
      <c r="AH291" s="864">
        <f t="shared" si="210"/>
        <v>0</v>
      </c>
      <c r="AI291" s="863">
        <f t="shared" si="199"/>
        <v>0</v>
      </c>
      <c r="AJ291" s="864">
        <f t="shared" si="211"/>
        <v>0</v>
      </c>
      <c r="AK291" s="365"/>
      <c r="AL291" s="865">
        <f t="shared" si="200"/>
        <v>0</v>
      </c>
      <c r="AM291" s="866">
        <f t="shared" si="212"/>
        <v>0</v>
      </c>
      <c r="AN291" s="866">
        <f t="shared" si="213"/>
        <v>0</v>
      </c>
      <c r="AO291" s="866">
        <f t="shared" si="214"/>
        <v>0</v>
      </c>
      <c r="AP291" s="867">
        <f t="shared" si="215"/>
        <v>0</v>
      </c>
      <c r="AQ291" s="591">
        <f t="shared" si="201"/>
        <v>0</v>
      </c>
      <c r="AR291" s="868">
        <f>IF(AND($L291=0,$P291=0)=TRUE,VLOOKUP($E291,Plan3!$A$16:$CT$487,$E$7+3,0)/100,0)</f>
        <v>0</v>
      </c>
      <c r="AS291" s="868">
        <f>IF(AND($L291=0,$P291=0)=TRUE,VLOOKUP($E291,Plan3!$A$16:$CT$487,$E$7+6,0)/100,0)</f>
        <v>0</v>
      </c>
      <c r="AT291" s="868">
        <f>IF(AND($L291=0,$P291=0)=TRUE,VLOOKUP($E291,Plan3!$A$16:$CT$487,$E$7+9,0)/100,0)</f>
        <v>0</v>
      </c>
      <c r="AU291" s="868">
        <f>IF(AND($L291=0,$P291=0)=TRUE,VLOOKUP($E291,Plan3!$A$16:$CT$487,$E$7+12,0)/100,0)</f>
        <v>0</v>
      </c>
      <c r="AV291" s="841"/>
      <c r="AW291" s="869">
        <f t="shared" si="220"/>
        <v>0</v>
      </c>
      <c r="AX291" s="870">
        <f t="shared" si="221"/>
        <v>0</v>
      </c>
      <c r="AY291" s="871">
        <f t="shared" si="222"/>
        <v>0</v>
      </c>
      <c r="AZ291" s="237" t="str">
        <f t="shared" si="189"/>
        <v xml:space="preserve">16.000.000.012 </v>
      </c>
      <c r="BA291" s="365"/>
      <c r="BB291" s="365"/>
      <c r="BC291" s="365"/>
      <c r="BD291" s="365"/>
      <c r="BE291" s="365"/>
      <c r="BF291" s="365"/>
      <c r="BG291" s="365"/>
      <c r="BH291" s="365"/>
      <c r="BI291" s="365"/>
      <c r="BJ291" s="365"/>
      <c r="BK291" s="365"/>
      <c r="BL291" s="872">
        <f t="shared" si="190"/>
        <v>0</v>
      </c>
      <c r="BM291" s="873">
        <f t="shared" si="191"/>
        <v>0</v>
      </c>
      <c r="BN291" s="874">
        <f t="shared" si="216"/>
        <v>0</v>
      </c>
      <c r="BO291" s="875">
        <f t="shared" si="192"/>
        <v>0</v>
      </c>
      <c r="BP291" s="875">
        <f t="shared" si="193"/>
        <v>0</v>
      </c>
      <c r="BQ291" s="876">
        <f t="shared" si="217"/>
        <v>0</v>
      </c>
      <c r="BR291" s="877">
        <f t="shared" si="218"/>
        <v>0</v>
      </c>
      <c r="BS291" s="875">
        <f t="shared" si="194"/>
        <v>0</v>
      </c>
      <c r="BT291" s="875">
        <f t="shared" si="195"/>
        <v>0</v>
      </c>
      <c r="BU291" s="878">
        <f t="shared" si="219"/>
        <v>0</v>
      </c>
      <c r="CE291" s="486">
        <v>278</v>
      </c>
    </row>
    <row r="292" spans="1:83" s="177" customFormat="1" ht="21.95" customHeight="1" x14ac:dyDescent="0.2">
      <c r="A292" s="237">
        <f t="shared" si="196"/>
        <v>0</v>
      </c>
      <c r="B292" s="237">
        <f t="shared" si="197"/>
        <v>0</v>
      </c>
      <c r="C292" s="393">
        <f t="shared" si="182"/>
        <v>0</v>
      </c>
      <c r="D292" s="393" t="str">
        <f t="shared" si="183"/>
        <v xml:space="preserve">16 </v>
      </c>
      <c r="E292" s="959" t="s">
        <v>689</v>
      </c>
      <c r="F292" s="959" t="s">
        <v>791</v>
      </c>
      <c r="G292" s="959" t="s">
        <v>7</v>
      </c>
      <c r="H292" s="960">
        <v>1</v>
      </c>
      <c r="I292" s="961">
        <v>15000</v>
      </c>
      <c r="J292" s="962">
        <v>15000</v>
      </c>
      <c r="K292" s="367">
        <v>0</v>
      </c>
      <c r="L292" s="367">
        <f>IF($H292="",0,VLOOKUP($E292,Plan3!$A$16:$CT$384,$E$7,0)%)</f>
        <v>0</v>
      </c>
      <c r="M292" s="368">
        <f t="shared" si="202"/>
        <v>0</v>
      </c>
      <c r="N292" s="368">
        <f t="shared" si="203"/>
        <v>0</v>
      </c>
      <c r="O292" s="367">
        <v>0</v>
      </c>
      <c r="P292" s="367">
        <f>VLOOKUP($E292,Plan3!$A$492:$P$858,13,0)%</f>
        <v>0</v>
      </c>
      <c r="Q292" s="368">
        <f t="shared" si="204"/>
        <v>0</v>
      </c>
      <c r="R292" s="368">
        <f t="shared" si="205"/>
        <v>0</v>
      </c>
      <c r="S292" s="880">
        <v>15174</v>
      </c>
      <c r="T292" s="880">
        <f t="shared" si="206"/>
        <v>0</v>
      </c>
      <c r="U292" s="880">
        <f>IF($I292="",0,($S292-$T292)*(1+('Econômico Macro'!$R$12/100)))</f>
        <v>15436.510200000001</v>
      </c>
      <c r="V292" s="880">
        <f t="shared" si="207"/>
        <v>15436.510200000001</v>
      </c>
      <c r="W292" s="880">
        <f t="shared" si="208"/>
        <v>0</v>
      </c>
      <c r="X292" s="367">
        <f t="shared" si="184"/>
        <v>0</v>
      </c>
      <c r="Y292" s="367">
        <f t="shared" si="185"/>
        <v>0</v>
      </c>
      <c r="Z292" s="367">
        <f t="shared" si="186"/>
        <v>0</v>
      </c>
      <c r="AA292" s="367">
        <f t="shared" si="187"/>
        <v>0</v>
      </c>
      <c r="AB292" s="369" t="str">
        <f t="shared" si="188"/>
        <v>Não Iniciada</v>
      </c>
      <c r="AC292" s="365"/>
      <c r="AD292" s="368">
        <v>1</v>
      </c>
      <c r="AE292" s="368">
        <f t="shared" si="209"/>
        <v>-1</v>
      </c>
      <c r="AF292" s="365"/>
      <c r="AG292" s="863">
        <f t="shared" si="198"/>
        <v>0</v>
      </c>
      <c r="AH292" s="864">
        <f t="shared" si="210"/>
        <v>0</v>
      </c>
      <c r="AI292" s="863">
        <f t="shared" si="199"/>
        <v>0</v>
      </c>
      <c r="AJ292" s="864">
        <f t="shared" si="211"/>
        <v>0</v>
      </c>
      <c r="AK292" s="365"/>
      <c r="AL292" s="865">
        <f t="shared" si="200"/>
        <v>0</v>
      </c>
      <c r="AM292" s="866">
        <f t="shared" si="212"/>
        <v>0</v>
      </c>
      <c r="AN292" s="866">
        <f t="shared" si="213"/>
        <v>0</v>
      </c>
      <c r="AO292" s="866">
        <f t="shared" si="214"/>
        <v>0</v>
      </c>
      <c r="AP292" s="867">
        <f t="shared" si="215"/>
        <v>0</v>
      </c>
      <c r="AQ292" s="591">
        <f t="shared" si="201"/>
        <v>0</v>
      </c>
      <c r="AR292" s="868">
        <f>IF(AND($L292=0,$P292=0)=TRUE,VLOOKUP($E292,Plan3!$A$16:$CT$487,$E$7+3,0)/100,0)</f>
        <v>0</v>
      </c>
      <c r="AS292" s="868">
        <f>IF(AND($L292=0,$P292=0)=TRUE,VLOOKUP($E292,Plan3!$A$16:$CT$487,$E$7+6,0)/100,0)</f>
        <v>0</v>
      </c>
      <c r="AT292" s="868">
        <f>IF(AND($L292=0,$P292=0)=TRUE,VLOOKUP($E292,Plan3!$A$16:$CT$487,$E$7+9,0)/100,0)</f>
        <v>0</v>
      </c>
      <c r="AU292" s="868">
        <f>IF(AND($L292=0,$P292=0)=TRUE,VLOOKUP($E292,Plan3!$A$16:$CT$487,$E$7+12,0)/100,0)</f>
        <v>0</v>
      </c>
      <c r="AV292" s="841"/>
      <c r="AW292" s="869">
        <f t="shared" si="220"/>
        <v>0</v>
      </c>
      <c r="AX292" s="870">
        <f t="shared" si="221"/>
        <v>0</v>
      </c>
      <c r="AY292" s="871">
        <f t="shared" si="222"/>
        <v>0</v>
      </c>
      <c r="AZ292" s="237" t="str">
        <f t="shared" si="189"/>
        <v xml:space="preserve">16.000.000.013 </v>
      </c>
      <c r="BA292" s="365"/>
      <c r="BB292" s="365"/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872">
        <f t="shared" si="190"/>
        <v>0</v>
      </c>
      <c r="BM292" s="873">
        <f t="shared" si="191"/>
        <v>0</v>
      </c>
      <c r="BN292" s="874">
        <f t="shared" si="216"/>
        <v>0</v>
      </c>
      <c r="BO292" s="875">
        <f t="shared" si="192"/>
        <v>0</v>
      </c>
      <c r="BP292" s="875">
        <f t="shared" si="193"/>
        <v>0</v>
      </c>
      <c r="BQ292" s="876">
        <f t="shared" si="217"/>
        <v>0</v>
      </c>
      <c r="BR292" s="877">
        <f t="shared" si="218"/>
        <v>0</v>
      </c>
      <c r="BS292" s="875">
        <f t="shared" si="194"/>
        <v>0</v>
      </c>
      <c r="BT292" s="875">
        <f t="shared" si="195"/>
        <v>0</v>
      </c>
      <c r="BU292" s="878">
        <f t="shared" si="219"/>
        <v>0</v>
      </c>
      <c r="CE292" s="486">
        <v>279</v>
      </c>
    </row>
    <row r="293" spans="1:83" s="177" customFormat="1" ht="21.95" customHeight="1" x14ac:dyDescent="0.2">
      <c r="A293" s="237">
        <f t="shared" si="196"/>
        <v>0</v>
      </c>
      <c r="B293" s="237">
        <f t="shared" si="197"/>
        <v>0</v>
      </c>
      <c r="C293" s="393">
        <f t="shared" si="182"/>
        <v>0</v>
      </c>
      <c r="D293" s="393" t="str">
        <f t="shared" si="183"/>
        <v xml:space="preserve">16 </v>
      </c>
      <c r="E293" s="959" t="s">
        <v>690</v>
      </c>
      <c r="F293" s="959" t="s">
        <v>2305</v>
      </c>
      <c r="G293" s="959" t="s">
        <v>7</v>
      </c>
      <c r="H293" s="960">
        <v>1</v>
      </c>
      <c r="I293" s="961">
        <v>10000</v>
      </c>
      <c r="J293" s="962">
        <v>10000</v>
      </c>
      <c r="K293" s="367">
        <v>0</v>
      </c>
      <c r="L293" s="367">
        <f>IF($H293="",0,VLOOKUP($E293,Plan3!$A$16:$CT$384,$E$7,0)%)</f>
        <v>0</v>
      </c>
      <c r="M293" s="368">
        <f t="shared" si="202"/>
        <v>0</v>
      </c>
      <c r="N293" s="368">
        <f t="shared" si="203"/>
        <v>0</v>
      </c>
      <c r="O293" s="367">
        <v>0</v>
      </c>
      <c r="P293" s="367">
        <f>VLOOKUP($E293,Plan3!$A$492:$P$858,13,0)%</f>
        <v>0</v>
      </c>
      <c r="Q293" s="368">
        <f t="shared" si="204"/>
        <v>0</v>
      </c>
      <c r="R293" s="368">
        <f t="shared" si="205"/>
        <v>0</v>
      </c>
      <c r="S293" s="880">
        <v>10116</v>
      </c>
      <c r="T293" s="880">
        <f t="shared" si="206"/>
        <v>0</v>
      </c>
      <c r="U293" s="880">
        <f>IF($I293="",0,($S293-$T293)*(1+('Econômico Macro'!$R$12/100)))</f>
        <v>10291.006800000001</v>
      </c>
      <c r="V293" s="880">
        <f t="shared" si="207"/>
        <v>10291.006800000001</v>
      </c>
      <c r="W293" s="880">
        <f t="shared" si="208"/>
        <v>0</v>
      </c>
      <c r="X293" s="367">
        <f t="shared" si="184"/>
        <v>0</v>
      </c>
      <c r="Y293" s="367">
        <f t="shared" si="185"/>
        <v>0</v>
      </c>
      <c r="Z293" s="367">
        <f t="shared" si="186"/>
        <v>0</v>
      </c>
      <c r="AA293" s="367">
        <f t="shared" si="187"/>
        <v>0</v>
      </c>
      <c r="AB293" s="369" t="str">
        <f t="shared" si="188"/>
        <v>Não Iniciada</v>
      </c>
      <c r="AC293" s="365"/>
      <c r="AD293" s="368">
        <v>1</v>
      </c>
      <c r="AE293" s="368">
        <f t="shared" si="209"/>
        <v>-1</v>
      </c>
      <c r="AF293" s="365"/>
      <c r="AG293" s="863">
        <f t="shared" si="198"/>
        <v>0</v>
      </c>
      <c r="AH293" s="864">
        <f t="shared" si="210"/>
        <v>0</v>
      </c>
      <c r="AI293" s="863">
        <f t="shared" si="199"/>
        <v>0</v>
      </c>
      <c r="AJ293" s="864">
        <f t="shared" si="211"/>
        <v>0</v>
      </c>
      <c r="AK293" s="365"/>
      <c r="AL293" s="865">
        <f t="shared" si="200"/>
        <v>0</v>
      </c>
      <c r="AM293" s="866">
        <f t="shared" si="212"/>
        <v>0</v>
      </c>
      <c r="AN293" s="866">
        <f t="shared" si="213"/>
        <v>0</v>
      </c>
      <c r="AO293" s="866">
        <f t="shared" si="214"/>
        <v>0</v>
      </c>
      <c r="AP293" s="867">
        <f t="shared" si="215"/>
        <v>0</v>
      </c>
      <c r="AQ293" s="591">
        <f t="shared" si="201"/>
        <v>0</v>
      </c>
      <c r="AR293" s="868">
        <f>IF(AND($L293=0,$P293=0)=TRUE,VLOOKUP($E293,Plan3!$A$16:$CT$487,$E$7+3,0)/100,0)</f>
        <v>0</v>
      </c>
      <c r="AS293" s="868">
        <f>IF(AND($L293=0,$P293=0)=TRUE,VLOOKUP($E293,Plan3!$A$16:$CT$487,$E$7+6,0)/100,0)</f>
        <v>0</v>
      </c>
      <c r="AT293" s="868">
        <f>IF(AND($L293=0,$P293=0)=TRUE,VLOOKUP($E293,Plan3!$A$16:$CT$487,$E$7+9,0)/100,0)</f>
        <v>0</v>
      </c>
      <c r="AU293" s="868">
        <f>IF(AND($L293=0,$P293=0)=TRUE,VLOOKUP($E293,Plan3!$A$16:$CT$487,$E$7+12,0)/100,0)</f>
        <v>0</v>
      </c>
      <c r="AV293" s="841"/>
      <c r="AW293" s="869">
        <f t="shared" si="220"/>
        <v>0</v>
      </c>
      <c r="AX293" s="870">
        <f t="shared" si="221"/>
        <v>0</v>
      </c>
      <c r="AY293" s="871">
        <f t="shared" si="222"/>
        <v>0</v>
      </c>
      <c r="AZ293" s="237" t="str">
        <f t="shared" si="189"/>
        <v xml:space="preserve">16.000.000.014 </v>
      </c>
      <c r="BA293" s="365"/>
      <c r="BB293" s="365"/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872">
        <f t="shared" si="190"/>
        <v>0</v>
      </c>
      <c r="BM293" s="873">
        <f t="shared" si="191"/>
        <v>0</v>
      </c>
      <c r="BN293" s="874">
        <f t="shared" si="216"/>
        <v>0</v>
      </c>
      <c r="BO293" s="875">
        <f t="shared" si="192"/>
        <v>0</v>
      </c>
      <c r="BP293" s="875">
        <f t="shared" si="193"/>
        <v>0</v>
      </c>
      <c r="BQ293" s="876">
        <f t="shared" si="217"/>
        <v>0</v>
      </c>
      <c r="BR293" s="877">
        <f t="shared" si="218"/>
        <v>0</v>
      </c>
      <c r="BS293" s="875">
        <f t="shared" si="194"/>
        <v>0</v>
      </c>
      <c r="BT293" s="875">
        <f t="shared" si="195"/>
        <v>0</v>
      </c>
      <c r="BU293" s="878">
        <f t="shared" si="219"/>
        <v>0</v>
      </c>
      <c r="CE293" s="486">
        <v>280</v>
      </c>
    </row>
    <row r="294" spans="1:83" s="177" customFormat="1" ht="21.95" customHeight="1" x14ac:dyDescent="0.2">
      <c r="A294" s="237">
        <f t="shared" si="196"/>
        <v>0</v>
      </c>
      <c r="B294" s="237">
        <f t="shared" si="197"/>
        <v>0</v>
      </c>
      <c r="C294" s="393">
        <f t="shared" si="182"/>
        <v>0</v>
      </c>
      <c r="D294" s="393" t="str">
        <f t="shared" si="183"/>
        <v xml:space="preserve">16 </v>
      </c>
      <c r="E294" s="959" t="s">
        <v>1370</v>
      </c>
      <c r="F294" s="959" t="s">
        <v>2127</v>
      </c>
      <c r="G294" s="959" t="s">
        <v>2035</v>
      </c>
      <c r="H294" s="970">
        <v>62</v>
      </c>
      <c r="I294" s="965">
        <v>200</v>
      </c>
      <c r="J294" s="962">
        <v>12400</v>
      </c>
      <c r="K294" s="367">
        <v>0</v>
      </c>
      <c r="L294" s="367">
        <f>IF($H294="",0,VLOOKUP($E294,Plan3!$A$16:$CT$384,$E$7,0)%)</f>
        <v>0</v>
      </c>
      <c r="M294" s="368">
        <f t="shared" si="202"/>
        <v>0</v>
      </c>
      <c r="N294" s="368">
        <f t="shared" si="203"/>
        <v>0</v>
      </c>
      <c r="O294" s="367">
        <v>0</v>
      </c>
      <c r="P294" s="367">
        <f>VLOOKUP($E294,Plan3!$A$492:$P$858,13,0)%</f>
        <v>0</v>
      </c>
      <c r="Q294" s="368">
        <f t="shared" si="204"/>
        <v>0</v>
      </c>
      <c r="R294" s="368">
        <f t="shared" si="205"/>
        <v>0</v>
      </c>
      <c r="S294" s="880">
        <v>12543.84</v>
      </c>
      <c r="T294" s="880">
        <f t="shared" si="206"/>
        <v>0</v>
      </c>
      <c r="U294" s="880">
        <f>IF($I294="",0,($S294-$T294)*(1+('Econômico Macro'!$R$12/100)))</f>
        <v>12760.848432000001</v>
      </c>
      <c r="V294" s="880">
        <f t="shared" si="207"/>
        <v>12760.848432000001</v>
      </c>
      <c r="W294" s="880">
        <f t="shared" si="208"/>
        <v>0</v>
      </c>
      <c r="X294" s="367">
        <f t="shared" si="184"/>
        <v>0</v>
      </c>
      <c r="Y294" s="367">
        <f t="shared" si="185"/>
        <v>0</v>
      </c>
      <c r="Z294" s="367">
        <f t="shared" si="186"/>
        <v>0</v>
      </c>
      <c r="AA294" s="367">
        <f t="shared" si="187"/>
        <v>0</v>
      </c>
      <c r="AB294" s="369" t="str">
        <f t="shared" si="188"/>
        <v>Não Iniciada</v>
      </c>
      <c r="AC294" s="365"/>
      <c r="AD294" s="368">
        <v>1</v>
      </c>
      <c r="AE294" s="368">
        <f t="shared" si="209"/>
        <v>-1</v>
      </c>
      <c r="AF294" s="365"/>
      <c r="AG294" s="863">
        <f t="shared" si="198"/>
        <v>0</v>
      </c>
      <c r="AH294" s="864">
        <f t="shared" si="210"/>
        <v>0</v>
      </c>
      <c r="AI294" s="863">
        <f t="shared" si="199"/>
        <v>0</v>
      </c>
      <c r="AJ294" s="864">
        <f t="shared" si="211"/>
        <v>0</v>
      </c>
      <c r="AK294" s="365"/>
      <c r="AL294" s="865">
        <f t="shared" si="200"/>
        <v>0</v>
      </c>
      <c r="AM294" s="866">
        <f t="shared" si="212"/>
        <v>0</v>
      </c>
      <c r="AN294" s="866">
        <f t="shared" si="213"/>
        <v>0</v>
      </c>
      <c r="AO294" s="866">
        <f t="shared" si="214"/>
        <v>0</v>
      </c>
      <c r="AP294" s="867">
        <f t="shared" si="215"/>
        <v>0</v>
      </c>
      <c r="AQ294" s="591">
        <f t="shared" si="201"/>
        <v>0</v>
      </c>
      <c r="AR294" s="868">
        <f>IF(AND($L294=0,$P294=0)=TRUE,VLOOKUP($E294,Plan3!$A$16:$CT$487,$E$7+3,0)/100,0)</f>
        <v>0</v>
      </c>
      <c r="AS294" s="868">
        <f>IF(AND($L294=0,$P294=0)=TRUE,VLOOKUP($E294,Plan3!$A$16:$CT$487,$E$7+6,0)/100,0)</f>
        <v>0</v>
      </c>
      <c r="AT294" s="868">
        <f>IF(AND($L294=0,$P294=0)=TRUE,VLOOKUP($E294,Plan3!$A$16:$CT$487,$E$7+9,0)/100,0)</f>
        <v>0</v>
      </c>
      <c r="AU294" s="868">
        <f>IF(AND($L294=0,$P294=0)=TRUE,VLOOKUP($E294,Plan3!$A$16:$CT$487,$E$7+12,0)/100,0)</f>
        <v>0</v>
      </c>
      <c r="AV294" s="841"/>
      <c r="AW294" s="869">
        <f t="shared" si="220"/>
        <v>0</v>
      </c>
      <c r="AX294" s="870">
        <f t="shared" si="221"/>
        <v>0</v>
      </c>
      <c r="AY294" s="871">
        <f t="shared" si="222"/>
        <v>0</v>
      </c>
      <c r="AZ294" s="237" t="str">
        <f t="shared" si="189"/>
        <v xml:space="preserve">16.000.000.015 </v>
      </c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872">
        <f t="shared" si="190"/>
        <v>0</v>
      </c>
      <c r="BM294" s="873">
        <f t="shared" si="191"/>
        <v>0</v>
      </c>
      <c r="BN294" s="874">
        <f t="shared" si="216"/>
        <v>0</v>
      </c>
      <c r="BO294" s="875">
        <f t="shared" si="192"/>
        <v>0</v>
      </c>
      <c r="BP294" s="875">
        <f t="shared" si="193"/>
        <v>0</v>
      </c>
      <c r="BQ294" s="876">
        <f t="shared" si="217"/>
        <v>0</v>
      </c>
      <c r="BR294" s="877">
        <f t="shared" si="218"/>
        <v>0</v>
      </c>
      <c r="BS294" s="875">
        <f t="shared" si="194"/>
        <v>0</v>
      </c>
      <c r="BT294" s="875">
        <f t="shared" si="195"/>
        <v>0</v>
      </c>
      <c r="BU294" s="878">
        <f t="shared" si="219"/>
        <v>0</v>
      </c>
      <c r="CE294" s="486">
        <v>281</v>
      </c>
    </row>
    <row r="295" spans="1:83" s="177" customFormat="1" ht="21.95" customHeight="1" x14ac:dyDescent="0.2">
      <c r="A295" s="237">
        <f t="shared" si="196"/>
        <v>0</v>
      </c>
      <c r="B295" s="237">
        <f t="shared" si="197"/>
        <v>0</v>
      </c>
      <c r="C295" s="393">
        <f t="shared" si="182"/>
        <v>0</v>
      </c>
      <c r="D295" s="393" t="str">
        <f t="shared" si="183"/>
        <v xml:space="preserve">16 </v>
      </c>
      <c r="E295" s="959" t="s">
        <v>1970</v>
      </c>
      <c r="F295" s="959" t="s">
        <v>2306</v>
      </c>
      <c r="G295" s="959" t="s">
        <v>8</v>
      </c>
      <c r="H295" s="970">
        <v>29</v>
      </c>
      <c r="I295" s="965">
        <v>165</v>
      </c>
      <c r="J295" s="964">
        <v>4785</v>
      </c>
      <c r="K295" s="367">
        <v>0</v>
      </c>
      <c r="L295" s="367">
        <f>IF($H295="",0,VLOOKUP($E295,Plan3!$A$16:$CT$384,$E$7,0)%)</f>
        <v>0</v>
      </c>
      <c r="M295" s="368">
        <f t="shared" si="202"/>
        <v>0</v>
      </c>
      <c r="N295" s="368">
        <f t="shared" si="203"/>
        <v>0</v>
      </c>
      <c r="O295" s="367">
        <v>0</v>
      </c>
      <c r="P295" s="367">
        <f>VLOOKUP($E295,Plan3!$A$492:$P$858,13,0)%</f>
        <v>0</v>
      </c>
      <c r="Q295" s="368">
        <f t="shared" si="204"/>
        <v>0</v>
      </c>
      <c r="R295" s="368">
        <f t="shared" si="205"/>
        <v>0</v>
      </c>
      <c r="S295" s="880">
        <v>4840.5060000000003</v>
      </c>
      <c r="T295" s="880">
        <f t="shared" si="206"/>
        <v>0</v>
      </c>
      <c r="U295" s="880">
        <f>IF($I295="",0,($S295-$T295)*(1+('Econômico Macro'!$R$12/100)))</f>
        <v>4924.246753800001</v>
      </c>
      <c r="V295" s="880">
        <f t="shared" si="207"/>
        <v>4924.246753800001</v>
      </c>
      <c r="W295" s="880">
        <f t="shared" si="208"/>
        <v>0</v>
      </c>
      <c r="X295" s="367">
        <f t="shared" si="184"/>
        <v>0</v>
      </c>
      <c r="Y295" s="367">
        <f t="shared" si="185"/>
        <v>0</v>
      </c>
      <c r="Z295" s="367">
        <f t="shared" si="186"/>
        <v>0</v>
      </c>
      <c r="AA295" s="367">
        <f t="shared" si="187"/>
        <v>0</v>
      </c>
      <c r="AB295" s="369" t="str">
        <f t="shared" si="188"/>
        <v>Não Iniciada</v>
      </c>
      <c r="AC295" s="365"/>
      <c r="AD295" s="368">
        <v>1</v>
      </c>
      <c r="AE295" s="368">
        <f t="shared" si="209"/>
        <v>-1</v>
      </c>
      <c r="AF295" s="365"/>
      <c r="AG295" s="863">
        <f t="shared" si="198"/>
        <v>0</v>
      </c>
      <c r="AH295" s="864">
        <f t="shared" si="210"/>
        <v>0</v>
      </c>
      <c r="AI295" s="863">
        <f t="shared" si="199"/>
        <v>0</v>
      </c>
      <c r="AJ295" s="864">
        <f t="shared" si="211"/>
        <v>0</v>
      </c>
      <c r="AK295" s="365"/>
      <c r="AL295" s="865">
        <f t="shared" si="200"/>
        <v>0</v>
      </c>
      <c r="AM295" s="866">
        <f t="shared" si="212"/>
        <v>0</v>
      </c>
      <c r="AN295" s="866">
        <f t="shared" si="213"/>
        <v>0</v>
      </c>
      <c r="AO295" s="866">
        <f t="shared" si="214"/>
        <v>0</v>
      </c>
      <c r="AP295" s="867">
        <f t="shared" si="215"/>
        <v>0</v>
      </c>
      <c r="AQ295" s="591">
        <f t="shared" si="201"/>
        <v>0</v>
      </c>
      <c r="AR295" s="868">
        <f>IF(AND($L295=0,$P295=0)=TRUE,VLOOKUP($E295,Plan3!$A$16:$CT$487,$E$7+3,0)/100,0)</f>
        <v>0</v>
      </c>
      <c r="AS295" s="868">
        <f>IF(AND($L295=0,$P295=0)=TRUE,VLOOKUP($E295,Plan3!$A$16:$CT$487,$E$7+6,0)/100,0)</f>
        <v>0</v>
      </c>
      <c r="AT295" s="868">
        <f>IF(AND($L295=0,$P295=0)=TRUE,VLOOKUP($E295,Plan3!$A$16:$CT$487,$E$7+9,0)/100,0)</f>
        <v>0</v>
      </c>
      <c r="AU295" s="868">
        <f>IF(AND($L295=0,$P295=0)=TRUE,VLOOKUP($E295,Plan3!$A$16:$CT$487,$E$7+12,0)/100,0)</f>
        <v>0</v>
      </c>
      <c r="AV295" s="841"/>
      <c r="AW295" s="869">
        <f t="shared" si="220"/>
        <v>0</v>
      </c>
      <c r="AX295" s="870">
        <f t="shared" si="221"/>
        <v>0</v>
      </c>
      <c r="AY295" s="871">
        <f t="shared" si="222"/>
        <v>0</v>
      </c>
      <c r="AZ295" s="237" t="str">
        <f t="shared" si="189"/>
        <v xml:space="preserve">16.000.000.016 </v>
      </c>
      <c r="BA295" s="365"/>
      <c r="BB295" s="365"/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872">
        <f t="shared" si="190"/>
        <v>0</v>
      </c>
      <c r="BM295" s="873">
        <f t="shared" si="191"/>
        <v>0</v>
      </c>
      <c r="BN295" s="874">
        <f t="shared" si="216"/>
        <v>0</v>
      </c>
      <c r="BO295" s="875">
        <f t="shared" si="192"/>
        <v>0</v>
      </c>
      <c r="BP295" s="875">
        <f t="shared" si="193"/>
        <v>0</v>
      </c>
      <c r="BQ295" s="876">
        <f t="shared" si="217"/>
        <v>0</v>
      </c>
      <c r="BR295" s="877">
        <f t="shared" si="218"/>
        <v>0</v>
      </c>
      <c r="BS295" s="875">
        <f t="shared" si="194"/>
        <v>0</v>
      </c>
      <c r="BT295" s="875">
        <f t="shared" si="195"/>
        <v>0</v>
      </c>
      <c r="BU295" s="878">
        <f t="shared" si="219"/>
        <v>0</v>
      </c>
      <c r="CE295" s="486">
        <v>282</v>
      </c>
    </row>
    <row r="296" spans="1:83" s="177" customFormat="1" ht="21.95" customHeight="1" x14ac:dyDescent="0.2">
      <c r="A296" s="237">
        <f t="shared" si="196"/>
        <v>0</v>
      </c>
      <c r="B296" s="237">
        <f t="shared" si="197"/>
        <v>0</v>
      </c>
      <c r="C296" s="393">
        <f t="shared" si="182"/>
        <v>0</v>
      </c>
      <c r="D296" s="393" t="str">
        <f t="shared" si="183"/>
        <v xml:space="preserve">16 </v>
      </c>
      <c r="E296" s="959" t="s">
        <v>1971</v>
      </c>
      <c r="F296" s="959" t="s">
        <v>2307</v>
      </c>
      <c r="G296" s="959" t="s">
        <v>7</v>
      </c>
      <c r="H296" s="960">
        <v>1</v>
      </c>
      <c r="I296" s="963">
        <v>1000</v>
      </c>
      <c r="J296" s="964">
        <v>1000</v>
      </c>
      <c r="K296" s="367">
        <v>0</v>
      </c>
      <c r="L296" s="367">
        <f>IF($H296="",0,VLOOKUP($E296,Plan3!$A$16:$CT$384,$E$7,0)%)</f>
        <v>0</v>
      </c>
      <c r="M296" s="368">
        <f t="shared" si="202"/>
        <v>0</v>
      </c>
      <c r="N296" s="368">
        <f t="shared" si="203"/>
        <v>0</v>
      </c>
      <c r="O296" s="367">
        <v>0</v>
      </c>
      <c r="P296" s="367">
        <f>VLOOKUP($E296,Plan3!$A$492:$P$858,13,0)%</f>
        <v>0</v>
      </c>
      <c r="Q296" s="368">
        <f t="shared" si="204"/>
        <v>0</v>
      </c>
      <c r="R296" s="368">
        <f t="shared" si="205"/>
        <v>0</v>
      </c>
      <c r="S296" s="880">
        <v>1011.6</v>
      </c>
      <c r="T296" s="880">
        <f t="shared" si="206"/>
        <v>0</v>
      </c>
      <c r="U296" s="880">
        <f>IF($I296="",0,($S296-$T296)*(1+('Econômico Macro'!$R$12/100)))</f>
        <v>1029.10068</v>
      </c>
      <c r="V296" s="880">
        <f t="shared" si="207"/>
        <v>1029.10068</v>
      </c>
      <c r="W296" s="880">
        <f t="shared" si="208"/>
        <v>0</v>
      </c>
      <c r="X296" s="367">
        <f t="shared" si="184"/>
        <v>0</v>
      </c>
      <c r="Y296" s="367">
        <f t="shared" si="185"/>
        <v>0</v>
      </c>
      <c r="Z296" s="367">
        <f t="shared" si="186"/>
        <v>0</v>
      </c>
      <c r="AA296" s="367">
        <f t="shared" si="187"/>
        <v>0</v>
      </c>
      <c r="AB296" s="369" t="str">
        <f t="shared" si="188"/>
        <v>Não Iniciada</v>
      </c>
      <c r="AC296" s="365"/>
      <c r="AD296" s="368">
        <v>1</v>
      </c>
      <c r="AE296" s="368">
        <f t="shared" si="209"/>
        <v>-1</v>
      </c>
      <c r="AF296" s="365"/>
      <c r="AG296" s="863">
        <f t="shared" si="198"/>
        <v>0</v>
      </c>
      <c r="AH296" s="864">
        <f t="shared" si="210"/>
        <v>0</v>
      </c>
      <c r="AI296" s="863">
        <f t="shared" si="199"/>
        <v>0</v>
      </c>
      <c r="AJ296" s="864">
        <f t="shared" si="211"/>
        <v>0</v>
      </c>
      <c r="AK296" s="365"/>
      <c r="AL296" s="865">
        <f t="shared" si="200"/>
        <v>0</v>
      </c>
      <c r="AM296" s="866">
        <f t="shared" si="212"/>
        <v>0</v>
      </c>
      <c r="AN296" s="866">
        <f t="shared" si="213"/>
        <v>0</v>
      </c>
      <c r="AO296" s="866">
        <f t="shared" si="214"/>
        <v>0</v>
      </c>
      <c r="AP296" s="867">
        <f t="shared" si="215"/>
        <v>0</v>
      </c>
      <c r="AQ296" s="591">
        <f t="shared" si="201"/>
        <v>0</v>
      </c>
      <c r="AR296" s="868">
        <f>IF(AND($L296=0,$P296=0)=TRUE,VLOOKUP($E296,Plan3!$A$16:$CT$487,$E$7+3,0)/100,0)</f>
        <v>0</v>
      </c>
      <c r="AS296" s="868">
        <f>IF(AND($L296=0,$P296=0)=TRUE,VLOOKUP($E296,Plan3!$A$16:$CT$487,$E$7+6,0)/100,0)</f>
        <v>0</v>
      </c>
      <c r="AT296" s="868">
        <f>IF(AND($L296=0,$P296=0)=TRUE,VLOOKUP($E296,Plan3!$A$16:$CT$487,$E$7+9,0)/100,0)</f>
        <v>0</v>
      </c>
      <c r="AU296" s="868">
        <f>IF(AND($L296=0,$P296=0)=TRUE,VLOOKUP($E296,Plan3!$A$16:$CT$487,$E$7+12,0)/100,0)</f>
        <v>0</v>
      </c>
      <c r="AV296" s="841"/>
      <c r="AW296" s="869">
        <f t="shared" si="220"/>
        <v>0</v>
      </c>
      <c r="AX296" s="870">
        <f t="shared" si="221"/>
        <v>0</v>
      </c>
      <c r="AY296" s="871">
        <f t="shared" si="222"/>
        <v>0</v>
      </c>
      <c r="AZ296" s="237" t="str">
        <f t="shared" si="189"/>
        <v xml:space="preserve">16.000.000.017 </v>
      </c>
      <c r="BA296" s="365"/>
      <c r="BB296" s="365"/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872">
        <f t="shared" si="190"/>
        <v>0</v>
      </c>
      <c r="BM296" s="873">
        <f t="shared" si="191"/>
        <v>0</v>
      </c>
      <c r="BN296" s="874">
        <f t="shared" si="216"/>
        <v>0</v>
      </c>
      <c r="BO296" s="875">
        <f t="shared" si="192"/>
        <v>0</v>
      </c>
      <c r="BP296" s="875">
        <f t="shared" si="193"/>
        <v>0</v>
      </c>
      <c r="BQ296" s="876">
        <f t="shared" si="217"/>
        <v>0</v>
      </c>
      <c r="BR296" s="877">
        <f t="shared" si="218"/>
        <v>0</v>
      </c>
      <c r="BS296" s="875">
        <f t="shared" si="194"/>
        <v>0</v>
      </c>
      <c r="BT296" s="875">
        <f t="shared" si="195"/>
        <v>0</v>
      </c>
      <c r="BU296" s="878">
        <f t="shared" si="219"/>
        <v>0</v>
      </c>
      <c r="CE296" s="486">
        <v>283</v>
      </c>
    </row>
    <row r="297" spans="1:83" s="177" customFormat="1" ht="21.95" customHeight="1" x14ac:dyDescent="0.2">
      <c r="A297" s="237">
        <f t="shared" si="196"/>
        <v>0</v>
      </c>
      <c r="B297" s="237">
        <f t="shared" si="197"/>
        <v>0</v>
      </c>
      <c r="C297" s="393">
        <f t="shared" si="182"/>
        <v>0</v>
      </c>
      <c r="D297" s="393" t="str">
        <f t="shared" si="183"/>
        <v xml:space="preserve">16 </v>
      </c>
      <c r="E297" s="959" t="s">
        <v>2126</v>
      </c>
      <c r="F297" s="959" t="s">
        <v>2308</v>
      </c>
      <c r="G297" s="959" t="s">
        <v>7</v>
      </c>
      <c r="H297" s="960">
        <v>1</v>
      </c>
      <c r="I297" s="961">
        <v>25000</v>
      </c>
      <c r="J297" s="962">
        <v>25000</v>
      </c>
      <c r="K297" s="367">
        <v>0</v>
      </c>
      <c r="L297" s="367">
        <f>IF($H297="",0,VLOOKUP($E297,Plan3!$A$16:$CT$384,$E$7,0)%)</f>
        <v>0</v>
      </c>
      <c r="M297" s="368">
        <f t="shared" si="202"/>
        <v>0</v>
      </c>
      <c r="N297" s="368">
        <f t="shared" si="203"/>
        <v>0</v>
      </c>
      <c r="O297" s="367">
        <v>0</v>
      </c>
      <c r="P297" s="367">
        <f>VLOOKUP($E297,Plan3!$A$492:$P$858,13,0)%</f>
        <v>0</v>
      </c>
      <c r="Q297" s="368">
        <f t="shared" si="204"/>
        <v>0</v>
      </c>
      <c r="R297" s="368">
        <f t="shared" si="205"/>
        <v>0</v>
      </c>
      <c r="S297" s="880">
        <v>25290</v>
      </c>
      <c r="T297" s="880">
        <f t="shared" si="206"/>
        <v>0</v>
      </c>
      <c r="U297" s="880">
        <f>IF($I297="",0,($S297-$T297)*(1+('Econômico Macro'!$R$12/100)))</f>
        <v>25727.517000000003</v>
      </c>
      <c r="V297" s="880">
        <f t="shared" si="207"/>
        <v>25727.517000000003</v>
      </c>
      <c r="W297" s="880">
        <f t="shared" si="208"/>
        <v>0</v>
      </c>
      <c r="X297" s="367">
        <f t="shared" si="184"/>
        <v>0</v>
      </c>
      <c r="Y297" s="367">
        <f t="shared" si="185"/>
        <v>0</v>
      </c>
      <c r="Z297" s="367">
        <f t="shared" si="186"/>
        <v>0</v>
      </c>
      <c r="AA297" s="367">
        <f t="shared" si="187"/>
        <v>0</v>
      </c>
      <c r="AB297" s="369" t="str">
        <f t="shared" si="188"/>
        <v>Não Iniciada</v>
      </c>
      <c r="AC297" s="365"/>
      <c r="AD297" s="368">
        <v>1</v>
      </c>
      <c r="AE297" s="368">
        <f t="shared" si="209"/>
        <v>-1</v>
      </c>
      <c r="AF297" s="365"/>
      <c r="AG297" s="863">
        <f t="shared" si="198"/>
        <v>0</v>
      </c>
      <c r="AH297" s="864">
        <f t="shared" si="210"/>
        <v>0</v>
      </c>
      <c r="AI297" s="863">
        <f t="shared" si="199"/>
        <v>0</v>
      </c>
      <c r="AJ297" s="864">
        <f t="shared" si="211"/>
        <v>0</v>
      </c>
      <c r="AK297" s="365"/>
      <c r="AL297" s="865">
        <f t="shared" si="200"/>
        <v>0</v>
      </c>
      <c r="AM297" s="866">
        <f t="shared" si="212"/>
        <v>0</v>
      </c>
      <c r="AN297" s="866">
        <f t="shared" si="213"/>
        <v>0</v>
      </c>
      <c r="AO297" s="866">
        <f t="shared" si="214"/>
        <v>0</v>
      </c>
      <c r="AP297" s="867">
        <f t="shared" si="215"/>
        <v>0</v>
      </c>
      <c r="AQ297" s="591">
        <f t="shared" si="201"/>
        <v>0</v>
      </c>
      <c r="AR297" s="868">
        <f>IF(AND($L297=0,$P297=0)=TRUE,VLOOKUP($E297,Plan3!$A$16:$CT$487,$E$7+3,0)/100,0)</f>
        <v>0</v>
      </c>
      <c r="AS297" s="868">
        <f>IF(AND($L297=0,$P297=0)=TRUE,VLOOKUP($E297,Plan3!$A$16:$CT$487,$E$7+6,0)/100,0)</f>
        <v>0</v>
      </c>
      <c r="AT297" s="868">
        <f>IF(AND($L297=0,$P297=0)=TRUE,VLOOKUP($E297,Plan3!$A$16:$CT$487,$E$7+9,0)/100,0)</f>
        <v>0</v>
      </c>
      <c r="AU297" s="868">
        <f>IF(AND($L297=0,$P297=0)=TRUE,VLOOKUP($E297,Plan3!$A$16:$CT$487,$E$7+12,0)/100,0)</f>
        <v>0</v>
      </c>
      <c r="AV297" s="841"/>
      <c r="AW297" s="869">
        <f t="shared" si="220"/>
        <v>0</v>
      </c>
      <c r="AX297" s="870">
        <f t="shared" si="221"/>
        <v>0</v>
      </c>
      <c r="AY297" s="871">
        <f t="shared" si="222"/>
        <v>0</v>
      </c>
      <c r="AZ297" s="237" t="str">
        <f t="shared" si="189"/>
        <v xml:space="preserve">16.000.000.018 </v>
      </c>
      <c r="BA297" s="365"/>
      <c r="BB297" s="365"/>
      <c r="BC297" s="365"/>
      <c r="BD297" s="365"/>
      <c r="BE297" s="365"/>
      <c r="BF297" s="365"/>
      <c r="BG297" s="365"/>
      <c r="BH297" s="365"/>
      <c r="BI297" s="365"/>
      <c r="BJ297" s="365"/>
      <c r="BK297" s="365"/>
      <c r="BL297" s="872">
        <f t="shared" si="190"/>
        <v>0</v>
      </c>
      <c r="BM297" s="873">
        <f t="shared" si="191"/>
        <v>0</v>
      </c>
      <c r="BN297" s="874">
        <f t="shared" si="216"/>
        <v>0</v>
      </c>
      <c r="BO297" s="875">
        <f t="shared" si="192"/>
        <v>0</v>
      </c>
      <c r="BP297" s="875">
        <f t="shared" si="193"/>
        <v>0</v>
      </c>
      <c r="BQ297" s="876">
        <f t="shared" si="217"/>
        <v>0</v>
      </c>
      <c r="BR297" s="877">
        <f t="shared" si="218"/>
        <v>0</v>
      </c>
      <c r="BS297" s="875">
        <f t="shared" si="194"/>
        <v>0</v>
      </c>
      <c r="BT297" s="875">
        <f t="shared" si="195"/>
        <v>0</v>
      </c>
      <c r="BU297" s="878">
        <f t="shared" si="219"/>
        <v>0</v>
      </c>
      <c r="CE297" s="486">
        <v>284</v>
      </c>
    </row>
    <row r="298" spans="1:83" s="177" customFormat="1" ht="21.95" customHeight="1" x14ac:dyDescent="0.2">
      <c r="A298" s="237">
        <f t="shared" si="196"/>
        <v>0</v>
      </c>
      <c r="B298" s="237">
        <f t="shared" si="197"/>
        <v>0</v>
      </c>
      <c r="C298" s="393" t="str">
        <f t="shared" si="182"/>
        <v xml:space="preserve">17 </v>
      </c>
      <c r="D298" s="393" t="str">
        <f t="shared" si="183"/>
        <v xml:space="preserve">17 </v>
      </c>
      <c r="E298" s="161" t="s">
        <v>147</v>
      </c>
      <c r="F298" s="161" t="s">
        <v>693</v>
      </c>
      <c r="G298" s="162"/>
      <c r="H298" s="162"/>
      <c r="I298" s="162"/>
      <c r="J298" s="163">
        <v>83170.31</v>
      </c>
      <c r="K298" s="164">
        <v>0</v>
      </c>
      <c r="L298" s="164">
        <f t="array" ref="L298">SUM(IF($D299:$D$379=$E298,$L299:$L$379*$J299:$J$379))/$J298</f>
        <v>0</v>
      </c>
      <c r="M298" s="163"/>
      <c r="N298" s="163">
        <f>$L298*$J298</f>
        <v>0</v>
      </c>
      <c r="O298" s="164">
        <v>0</v>
      </c>
      <c r="P298" s="164">
        <f t="array" ref="P298">SUM(IF($D299:$D$379=$E298,$P299:$P$379*$J299:$J$379))/$J298</f>
        <v>0</v>
      </c>
      <c r="Q298" s="163">
        <f>$P298*$H298</f>
        <v>0</v>
      </c>
      <c r="R298" s="163">
        <f>$P298*$J298</f>
        <v>0</v>
      </c>
      <c r="S298" s="163">
        <v>84135.085596000004</v>
      </c>
      <c r="T298" s="163">
        <f>SUM(T299:T302)</f>
        <v>0</v>
      </c>
      <c r="U298" s="163"/>
      <c r="V298" s="163">
        <f t="shared" ref="V298:W298" si="224">SUM(V299:V302)</f>
        <v>85590.622576810798</v>
      </c>
      <c r="W298" s="163">
        <f t="shared" si="224"/>
        <v>0</v>
      </c>
      <c r="X298" s="164">
        <f t="shared" si="184"/>
        <v>0</v>
      </c>
      <c r="Y298" s="164">
        <f t="shared" si="185"/>
        <v>0</v>
      </c>
      <c r="Z298" s="164">
        <f t="shared" si="186"/>
        <v>0</v>
      </c>
      <c r="AA298" s="164">
        <f t="shared" si="187"/>
        <v>0</v>
      </c>
      <c r="AB298" s="201" t="str">
        <f t="shared" si="188"/>
        <v>Não Iniciada</v>
      </c>
      <c r="AC298" s="155" t="s">
        <v>763</v>
      </c>
      <c r="AD298" s="689">
        <v>0</v>
      </c>
      <c r="AE298" s="835">
        <f>Q298-AD298</f>
        <v>0</v>
      </c>
      <c r="AF298" s="155"/>
      <c r="AG298" s="207"/>
      <c r="AH298" s="208"/>
      <c r="AI298" s="207"/>
      <c r="AJ298" s="208"/>
      <c r="AK298" s="155"/>
      <c r="AL298" s="212"/>
      <c r="AM298" s="209"/>
      <c r="AN298" s="209"/>
      <c r="AO298" s="209"/>
      <c r="AP298" s="213"/>
      <c r="AQ298" s="401"/>
      <c r="AR298" s="247"/>
      <c r="AS298" s="247"/>
      <c r="AT298" s="247"/>
      <c r="AU298" s="247"/>
      <c r="AV298" s="155"/>
      <c r="AW298" s="250"/>
      <c r="AX298" s="248"/>
      <c r="AY298" s="402"/>
      <c r="AZ298" s="237" t="str">
        <f t="shared" si="189"/>
        <v xml:space="preserve">17 </v>
      </c>
      <c r="BA298" s="155"/>
      <c r="BB298" s="155"/>
      <c r="BC298" s="155"/>
      <c r="BD298" s="155"/>
      <c r="BE298" s="155"/>
      <c r="BF298" s="155"/>
      <c r="BG298" s="155"/>
      <c r="BH298" s="155"/>
      <c r="BI298" s="155"/>
      <c r="BJ298" s="155"/>
      <c r="BK298" s="155"/>
      <c r="BL298" s="666" t="str">
        <f t="shared" si="190"/>
        <v xml:space="preserve">17 </v>
      </c>
      <c r="BM298" s="667">
        <f t="shared" si="191"/>
        <v>0</v>
      </c>
      <c r="BN298" s="668">
        <f>IF($BQ298=0,0,RANK($BQ298,$BQ$12:$BQ$379))</f>
        <v>0</v>
      </c>
      <c r="BO298" s="669">
        <f t="shared" si="192"/>
        <v>0</v>
      </c>
      <c r="BP298" s="669">
        <f t="shared" si="193"/>
        <v>0</v>
      </c>
      <c r="BQ298" s="670">
        <f>IF($BP298=0,0,$BP298/$BP$380)</f>
        <v>0</v>
      </c>
      <c r="BR298" s="671">
        <f>IF($BU298=0,0,RANK($BU298,$BU$12:$BU$379))</f>
        <v>0</v>
      </c>
      <c r="BS298" s="669">
        <f t="shared" si="194"/>
        <v>0</v>
      </c>
      <c r="BT298" s="669">
        <f t="shared" si="195"/>
        <v>0</v>
      </c>
      <c r="BU298" s="672">
        <f>IF($BT298=0,0,$BT298/$BT$380)</f>
        <v>0</v>
      </c>
      <c r="CE298" s="486">
        <v>285</v>
      </c>
    </row>
    <row r="299" spans="1:83" s="177" customFormat="1" ht="21.95" customHeight="1" x14ac:dyDescent="0.2">
      <c r="A299" s="237">
        <f t="shared" si="196"/>
        <v>0</v>
      </c>
      <c r="B299" s="237">
        <f t="shared" si="197"/>
        <v>0</v>
      </c>
      <c r="C299" s="393">
        <f t="shared" si="182"/>
        <v>0</v>
      </c>
      <c r="D299" s="393" t="str">
        <f t="shared" si="183"/>
        <v xml:space="preserve">17 </v>
      </c>
      <c r="E299" s="959" t="s">
        <v>254</v>
      </c>
      <c r="F299" s="959" t="s">
        <v>491</v>
      </c>
      <c r="G299" s="959" t="s">
        <v>90</v>
      </c>
      <c r="H299" s="970">
        <v>63.19</v>
      </c>
      <c r="I299" s="965">
        <v>676.79819999999995</v>
      </c>
      <c r="J299" s="962">
        <v>42766.879999999997</v>
      </c>
      <c r="K299" s="367">
        <v>0</v>
      </c>
      <c r="L299" s="367">
        <f>IF($H299="",0,VLOOKUP($E299,Plan3!$A$16:$CT$384,$E$7,0)%)</f>
        <v>0</v>
      </c>
      <c r="M299" s="368">
        <f t="shared" si="202"/>
        <v>0</v>
      </c>
      <c r="N299" s="368">
        <f t="shared" si="203"/>
        <v>0</v>
      </c>
      <c r="O299" s="367">
        <v>0</v>
      </c>
      <c r="P299" s="367">
        <f>VLOOKUP($E299,Plan3!$A$492:$P$858,13,0)%</f>
        <v>0</v>
      </c>
      <c r="Q299" s="368">
        <f t="shared" si="204"/>
        <v>0</v>
      </c>
      <c r="R299" s="368">
        <f t="shared" si="205"/>
        <v>0</v>
      </c>
      <c r="S299" s="880">
        <v>43262.975808000003</v>
      </c>
      <c r="T299" s="880">
        <f t="shared" si="206"/>
        <v>0</v>
      </c>
      <c r="U299" s="880">
        <f>IF($I299="",0,($S299-$T299)*(1+('Econômico Macro'!$R$12/100)))</f>
        <v>44011.425289478408</v>
      </c>
      <c r="V299" s="880">
        <f t="shared" si="207"/>
        <v>44011.425289478408</v>
      </c>
      <c r="W299" s="880">
        <f t="shared" si="208"/>
        <v>0</v>
      </c>
      <c r="X299" s="367">
        <f t="shared" si="184"/>
        <v>0</v>
      </c>
      <c r="Y299" s="367">
        <f t="shared" si="185"/>
        <v>0</v>
      </c>
      <c r="Z299" s="367">
        <f t="shared" si="186"/>
        <v>0</v>
      </c>
      <c r="AA299" s="367">
        <f t="shared" si="187"/>
        <v>0</v>
      </c>
      <c r="AB299" s="369" t="str">
        <f t="shared" si="188"/>
        <v>Não Iniciada</v>
      </c>
      <c r="AC299" s="365"/>
      <c r="AD299" s="368">
        <v>1</v>
      </c>
      <c r="AE299" s="368">
        <f t="shared" si="209"/>
        <v>-1</v>
      </c>
      <c r="AF299" s="365"/>
      <c r="AG299" s="863">
        <f t="shared" si="198"/>
        <v>0</v>
      </c>
      <c r="AH299" s="864">
        <f t="shared" si="210"/>
        <v>0</v>
      </c>
      <c r="AI299" s="863">
        <f t="shared" si="199"/>
        <v>0</v>
      </c>
      <c r="AJ299" s="864">
        <f t="shared" si="211"/>
        <v>0</v>
      </c>
      <c r="AK299" s="365"/>
      <c r="AL299" s="865">
        <f t="shared" si="200"/>
        <v>0</v>
      </c>
      <c r="AM299" s="866">
        <f t="shared" si="212"/>
        <v>0</v>
      </c>
      <c r="AN299" s="866">
        <f t="shared" si="213"/>
        <v>0</v>
      </c>
      <c r="AO299" s="866">
        <f t="shared" si="214"/>
        <v>0</v>
      </c>
      <c r="AP299" s="867">
        <f t="shared" si="215"/>
        <v>0</v>
      </c>
      <c r="AQ299" s="591">
        <f t="shared" si="201"/>
        <v>0</v>
      </c>
      <c r="AR299" s="868">
        <f>IF(AND($L299=0,$P299=0)=TRUE,VLOOKUP($E299,Plan3!$A$16:$CT$487,$E$7+3,0)/100,0)</f>
        <v>0</v>
      </c>
      <c r="AS299" s="868">
        <f>IF(AND($L299=0,$P299=0)=TRUE,VLOOKUP($E299,Plan3!$A$16:$CT$487,$E$7+6,0)/100,0)</f>
        <v>0</v>
      </c>
      <c r="AT299" s="868">
        <f>IF(AND($L299=0,$P299=0)=TRUE,VLOOKUP($E299,Plan3!$A$16:$CT$487,$E$7+9,0)/100,0)</f>
        <v>0</v>
      </c>
      <c r="AU299" s="868">
        <f>IF(AND($L299=0,$P299=0)=TRUE,VLOOKUP($E299,Plan3!$A$16:$CT$487,$E$7+12,0)/100,0)</f>
        <v>0</v>
      </c>
      <c r="AV299" s="841"/>
      <c r="AW299" s="869">
        <f t="shared" si="220"/>
        <v>0</v>
      </c>
      <c r="AX299" s="870">
        <f t="shared" si="221"/>
        <v>0</v>
      </c>
      <c r="AY299" s="871">
        <f t="shared" si="222"/>
        <v>0</v>
      </c>
      <c r="AZ299" s="237" t="str">
        <f t="shared" si="189"/>
        <v xml:space="preserve">17.000.000.001 </v>
      </c>
      <c r="BA299" s="365"/>
      <c r="BB299" s="365"/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872">
        <f t="shared" si="190"/>
        <v>0</v>
      </c>
      <c r="BM299" s="873">
        <f t="shared" si="191"/>
        <v>0</v>
      </c>
      <c r="BN299" s="874">
        <f t="shared" si="216"/>
        <v>0</v>
      </c>
      <c r="BO299" s="875">
        <f t="shared" si="192"/>
        <v>0</v>
      </c>
      <c r="BP299" s="875">
        <f t="shared" si="193"/>
        <v>0</v>
      </c>
      <c r="BQ299" s="876">
        <f t="shared" si="217"/>
        <v>0</v>
      </c>
      <c r="BR299" s="877">
        <f t="shared" si="218"/>
        <v>0</v>
      </c>
      <c r="BS299" s="875">
        <f t="shared" si="194"/>
        <v>0</v>
      </c>
      <c r="BT299" s="875">
        <f t="shared" si="195"/>
        <v>0</v>
      </c>
      <c r="BU299" s="878">
        <f t="shared" si="219"/>
        <v>0</v>
      </c>
      <c r="CE299" s="486">
        <v>286</v>
      </c>
    </row>
    <row r="300" spans="1:83" s="177" customFormat="1" ht="21.95" customHeight="1" x14ac:dyDescent="0.2">
      <c r="A300" s="237">
        <f t="shared" si="196"/>
        <v>0</v>
      </c>
      <c r="B300" s="237">
        <f t="shared" si="197"/>
        <v>0</v>
      </c>
      <c r="C300" s="393">
        <f t="shared" si="182"/>
        <v>0</v>
      </c>
      <c r="D300" s="393" t="str">
        <f t="shared" si="183"/>
        <v xml:space="preserve">17 </v>
      </c>
      <c r="E300" s="959" t="s">
        <v>255</v>
      </c>
      <c r="F300" s="959" t="s">
        <v>2309</v>
      </c>
      <c r="G300" s="959" t="s">
        <v>90</v>
      </c>
      <c r="H300" s="960">
        <v>3.78</v>
      </c>
      <c r="I300" s="965">
        <v>645.44880000000001</v>
      </c>
      <c r="J300" s="964">
        <v>2439.8000000000002</v>
      </c>
      <c r="K300" s="367">
        <v>0</v>
      </c>
      <c r="L300" s="367">
        <f>IF($H300="",0,VLOOKUP($E300,Plan3!$A$16:$CT$384,$E$7,0)%)</f>
        <v>0</v>
      </c>
      <c r="M300" s="368">
        <f t="shared" si="202"/>
        <v>0</v>
      </c>
      <c r="N300" s="368">
        <f t="shared" si="203"/>
        <v>0</v>
      </c>
      <c r="O300" s="367">
        <v>0</v>
      </c>
      <c r="P300" s="367">
        <f>VLOOKUP($E300,Plan3!$A$492:$P$858,13,0)%</f>
        <v>0</v>
      </c>
      <c r="Q300" s="368">
        <f t="shared" si="204"/>
        <v>0</v>
      </c>
      <c r="R300" s="368">
        <f t="shared" si="205"/>
        <v>0</v>
      </c>
      <c r="S300" s="880">
        <v>2468.1016800000002</v>
      </c>
      <c r="T300" s="880">
        <f t="shared" si="206"/>
        <v>0</v>
      </c>
      <c r="U300" s="880">
        <f>IF($I300="",0,($S300-$T300)*(1+('Econômico Macro'!$R$12/100)))</f>
        <v>2510.7998390640005</v>
      </c>
      <c r="V300" s="880">
        <f t="shared" si="207"/>
        <v>2510.7998390640005</v>
      </c>
      <c r="W300" s="880">
        <f t="shared" si="208"/>
        <v>0</v>
      </c>
      <c r="X300" s="367">
        <f t="shared" si="184"/>
        <v>0</v>
      </c>
      <c r="Y300" s="367">
        <f t="shared" si="185"/>
        <v>0</v>
      </c>
      <c r="Z300" s="367">
        <f t="shared" si="186"/>
        <v>0</v>
      </c>
      <c r="AA300" s="367">
        <f t="shared" si="187"/>
        <v>0</v>
      </c>
      <c r="AB300" s="369" t="str">
        <f t="shared" si="188"/>
        <v>Não Iniciada</v>
      </c>
      <c r="AC300" s="365"/>
      <c r="AD300" s="368">
        <v>1</v>
      </c>
      <c r="AE300" s="368">
        <f t="shared" si="209"/>
        <v>-1</v>
      </c>
      <c r="AF300" s="365"/>
      <c r="AG300" s="863">
        <f t="shared" si="198"/>
        <v>0</v>
      </c>
      <c r="AH300" s="864">
        <f t="shared" si="210"/>
        <v>0</v>
      </c>
      <c r="AI300" s="863">
        <f t="shared" si="199"/>
        <v>0</v>
      </c>
      <c r="AJ300" s="864">
        <f t="shared" si="211"/>
        <v>0</v>
      </c>
      <c r="AK300" s="365"/>
      <c r="AL300" s="865">
        <f t="shared" si="200"/>
        <v>0</v>
      </c>
      <c r="AM300" s="866">
        <f t="shared" si="212"/>
        <v>0</v>
      </c>
      <c r="AN300" s="866">
        <f t="shared" si="213"/>
        <v>0</v>
      </c>
      <c r="AO300" s="866">
        <f t="shared" si="214"/>
        <v>0</v>
      </c>
      <c r="AP300" s="867">
        <f t="shared" si="215"/>
        <v>0</v>
      </c>
      <c r="AQ300" s="591">
        <f t="shared" si="201"/>
        <v>0</v>
      </c>
      <c r="AR300" s="868">
        <f>IF(AND($L300=0,$P300=0)=TRUE,VLOOKUP($E300,Plan3!$A$16:$CT$487,$E$7+3,0)/100,0)</f>
        <v>0</v>
      </c>
      <c r="AS300" s="868">
        <f>IF(AND($L300=0,$P300=0)=TRUE,VLOOKUP($E300,Plan3!$A$16:$CT$487,$E$7+6,0)/100,0)</f>
        <v>0</v>
      </c>
      <c r="AT300" s="868">
        <f>IF(AND($L300=0,$P300=0)=TRUE,VLOOKUP($E300,Plan3!$A$16:$CT$487,$E$7+9,0)/100,0)</f>
        <v>0</v>
      </c>
      <c r="AU300" s="868">
        <f>IF(AND($L300=0,$P300=0)=TRUE,VLOOKUP($E300,Plan3!$A$16:$CT$487,$E$7+12,0)/100,0)</f>
        <v>0</v>
      </c>
      <c r="AV300" s="841"/>
      <c r="AW300" s="869">
        <f t="shared" si="220"/>
        <v>0</v>
      </c>
      <c r="AX300" s="870">
        <f t="shared" si="221"/>
        <v>0</v>
      </c>
      <c r="AY300" s="871">
        <f t="shared" si="222"/>
        <v>0</v>
      </c>
      <c r="AZ300" s="237" t="str">
        <f t="shared" si="189"/>
        <v xml:space="preserve">17.000.000.002 </v>
      </c>
      <c r="BA300" s="365"/>
      <c r="BB300" s="365"/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872">
        <f t="shared" si="190"/>
        <v>0</v>
      </c>
      <c r="BM300" s="873">
        <f t="shared" si="191"/>
        <v>0</v>
      </c>
      <c r="BN300" s="874">
        <f t="shared" si="216"/>
        <v>0</v>
      </c>
      <c r="BO300" s="875">
        <f t="shared" si="192"/>
        <v>0</v>
      </c>
      <c r="BP300" s="875">
        <f t="shared" si="193"/>
        <v>0</v>
      </c>
      <c r="BQ300" s="876">
        <f t="shared" si="217"/>
        <v>0</v>
      </c>
      <c r="BR300" s="877">
        <f t="shared" si="218"/>
        <v>0</v>
      </c>
      <c r="BS300" s="875">
        <f t="shared" si="194"/>
        <v>0</v>
      </c>
      <c r="BT300" s="875">
        <f t="shared" si="195"/>
        <v>0</v>
      </c>
      <c r="BU300" s="878">
        <f t="shared" si="219"/>
        <v>0</v>
      </c>
      <c r="CE300" s="486">
        <v>287</v>
      </c>
    </row>
    <row r="301" spans="1:83" s="177" customFormat="1" ht="21.95" customHeight="1" x14ac:dyDescent="0.2">
      <c r="A301" s="237">
        <f t="shared" si="196"/>
        <v>0</v>
      </c>
      <c r="B301" s="237">
        <f t="shared" si="197"/>
        <v>0</v>
      </c>
      <c r="C301" s="393">
        <f t="shared" si="182"/>
        <v>0</v>
      </c>
      <c r="D301" s="393" t="str">
        <f t="shared" si="183"/>
        <v xml:space="preserve">17 </v>
      </c>
      <c r="E301" s="959" t="s">
        <v>256</v>
      </c>
      <c r="F301" s="959" t="s">
        <v>2310</v>
      </c>
      <c r="G301" s="959" t="s">
        <v>90</v>
      </c>
      <c r="H301" s="970">
        <v>25.64</v>
      </c>
      <c r="I301" s="963">
        <v>1068.7845</v>
      </c>
      <c r="J301" s="962">
        <v>27403.63</v>
      </c>
      <c r="K301" s="367">
        <v>0</v>
      </c>
      <c r="L301" s="367">
        <f>IF($H301="",0,VLOOKUP($E301,Plan3!$A$16:$CT$384,$E$7,0)%)</f>
        <v>0</v>
      </c>
      <c r="M301" s="368">
        <f t="shared" si="202"/>
        <v>0</v>
      </c>
      <c r="N301" s="368">
        <f t="shared" si="203"/>
        <v>0</v>
      </c>
      <c r="O301" s="367">
        <v>0</v>
      </c>
      <c r="P301" s="367">
        <f>VLOOKUP($E301,Plan3!$A$492:$P$858,13,0)%</f>
        <v>0</v>
      </c>
      <c r="Q301" s="368">
        <f t="shared" si="204"/>
        <v>0</v>
      </c>
      <c r="R301" s="368">
        <f t="shared" si="205"/>
        <v>0</v>
      </c>
      <c r="S301" s="880">
        <v>27721.512108000003</v>
      </c>
      <c r="T301" s="880">
        <f t="shared" si="206"/>
        <v>0</v>
      </c>
      <c r="U301" s="880">
        <f>IF($I301="",0,($S301-$T301)*(1+('Econômico Macro'!$R$12/100)))</f>
        <v>28201.094267468405</v>
      </c>
      <c r="V301" s="880">
        <f t="shared" si="207"/>
        <v>28201.094267468405</v>
      </c>
      <c r="W301" s="880">
        <f t="shared" si="208"/>
        <v>0</v>
      </c>
      <c r="X301" s="367">
        <f t="shared" si="184"/>
        <v>0</v>
      </c>
      <c r="Y301" s="367">
        <f t="shared" si="185"/>
        <v>0</v>
      </c>
      <c r="Z301" s="367">
        <f t="shared" si="186"/>
        <v>0</v>
      </c>
      <c r="AA301" s="367">
        <f t="shared" si="187"/>
        <v>0</v>
      </c>
      <c r="AB301" s="369" t="str">
        <f t="shared" si="188"/>
        <v>Não Iniciada</v>
      </c>
      <c r="AC301" s="365"/>
      <c r="AD301" s="368">
        <v>1</v>
      </c>
      <c r="AE301" s="368">
        <f t="shared" si="209"/>
        <v>-1</v>
      </c>
      <c r="AF301" s="365"/>
      <c r="AG301" s="863">
        <f t="shared" si="198"/>
        <v>0</v>
      </c>
      <c r="AH301" s="864">
        <f t="shared" si="210"/>
        <v>0</v>
      </c>
      <c r="AI301" s="863">
        <f t="shared" si="199"/>
        <v>0</v>
      </c>
      <c r="AJ301" s="864">
        <f t="shared" si="211"/>
        <v>0</v>
      </c>
      <c r="AK301" s="365"/>
      <c r="AL301" s="865">
        <f t="shared" si="200"/>
        <v>0</v>
      </c>
      <c r="AM301" s="866">
        <f t="shared" si="212"/>
        <v>0</v>
      </c>
      <c r="AN301" s="866">
        <f t="shared" si="213"/>
        <v>0</v>
      </c>
      <c r="AO301" s="866">
        <f t="shared" si="214"/>
        <v>0</v>
      </c>
      <c r="AP301" s="867">
        <f t="shared" si="215"/>
        <v>0</v>
      </c>
      <c r="AQ301" s="591">
        <f t="shared" si="201"/>
        <v>0</v>
      </c>
      <c r="AR301" s="868">
        <f>IF(AND($L301=0,$P301=0)=TRUE,VLOOKUP($E301,Plan3!$A$16:$CT$487,$E$7+3,0)/100,0)</f>
        <v>0</v>
      </c>
      <c r="AS301" s="868">
        <f>IF(AND($L301=0,$P301=0)=TRUE,VLOOKUP($E301,Plan3!$A$16:$CT$487,$E$7+6,0)/100,0)</f>
        <v>0</v>
      </c>
      <c r="AT301" s="868">
        <f>IF(AND($L301=0,$P301=0)=TRUE,VLOOKUP($E301,Plan3!$A$16:$CT$487,$E$7+9,0)/100,0)</f>
        <v>0</v>
      </c>
      <c r="AU301" s="868">
        <f>IF(AND($L301=0,$P301=0)=TRUE,VLOOKUP($E301,Plan3!$A$16:$CT$487,$E$7+12,0)/100,0)</f>
        <v>0</v>
      </c>
      <c r="AV301" s="841"/>
      <c r="AW301" s="869">
        <f t="shared" si="220"/>
        <v>0</v>
      </c>
      <c r="AX301" s="870">
        <f t="shared" si="221"/>
        <v>0</v>
      </c>
      <c r="AY301" s="871">
        <f t="shared" si="222"/>
        <v>0</v>
      </c>
      <c r="AZ301" s="237" t="str">
        <f t="shared" si="189"/>
        <v xml:space="preserve">17.000.000.003 </v>
      </c>
      <c r="BA301" s="365"/>
      <c r="BB301" s="365"/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872">
        <f t="shared" si="190"/>
        <v>0</v>
      </c>
      <c r="BM301" s="873">
        <f t="shared" si="191"/>
        <v>0</v>
      </c>
      <c r="BN301" s="874">
        <f t="shared" si="216"/>
        <v>0</v>
      </c>
      <c r="BO301" s="875">
        <f t="shared" si="192"/>
        <v>0</v>
      </c>
      <c r="BP301" s="875">
        <f t="shared" si="193"/>
        <v>0</v>
      </c>
      <c r="BQ301" s="876">
        <f t="shared" si="217"/>
        <v>0</v>
      </c>
      <c r="BR301" s="877">
        <f t="shared" si="218"/>
        <v>0</v>
      </c>
      <c r="BS301" s="875">
        <f t="shared" si="194"/>
        <v>0</v>
      </c>
      <c r="BT301" s="875">
        <f t="shared" si="195"/>
        <v>0</v>
      </c>
      <c r="BU301" s="878">
        <f t="shared" si="219"/>
        <v>0</v>
      </c>
      <c r="CE301" s="486">
        <v>288</v>
      </c>
    </row>
    <row r="302" spans="1:83" s="177" customFormat="1" ht="21.95" customHeight="1" x14ac:dyDescent="0.2">
      <c r="A302" s="237">
        <f t="shared" si="196"/>
        <v>0</v>
      </c>
      <c r="B302" s="237">
        <f t="shared" si="197"/>
        <v>0</v>
      </c>
      <c r="C302" s="393">
        <f t="shared" si="182"/>
        <v>0</v>
      </c>
      <c r="D302" s="393" t="str">
        <f t="shared" si="183"/>
        <v xml:space="preserve">17 </v>
      </c>
      <c r="E302" s="959" t="s">
        <v>692</v>
      </c>
      <c r="F302" s="959" t="s">
        <v>417</v>
      </c>
      <c r="G302" s="959" t="s">
        <v>8</v>
      </c>
      <c r="H302" s="965">
        <v>110</v>
      </c>
      <c r="I302" s="970">
        <v>96</v>
      </c>
      <c r="J302" s="962">
        <v>10560</v>
      </c>
      <c r="K302" s="367">
        <v>0</v>
      </c>
      <c r="L302" s="367">
        <f>IF($H302="",0,VLOOKUP($E302,Plan3!$A$16:$CT$384,$E$7,0)%)</f>
        <v>0</v>
      </c>
      <c r="M302" s="368">
        <f t="shared" si="202"/>
        <v>0</v>
      </c>
      <c r="N302" s="368">
        <f t="shared" si="203"/>
        <v>0</v>
      </c>
      <c r="O302" s="367">
        <v>0</v>
      </c>
      <c r="P302" s="367">
        <f>VLOOKUP($E302,Plan3!$A$492:$P$858,13,0)%</f>
        <v>0</v>
      </c>
      <c r="Q302" s="368">
        <f t="shared" si="204"/>
        <v>0</v>
      </c>
      <c r="R302" s="368">
        <f t="shared" si="205"/>
        <v>0</v>
      </c>
      <c r="S302" s="880">
        <v>10682.496000000001</v>
      </c>
      <c r="T302" s="880">
        <f t="shared" si="206"/>
        <v>0</v>
      </c>
      <c r="U302" s="880">
        <f>IF($I302="",0,($S302-$T302)*(1+('Econômico Macro'!$R$12/100)))</f>
        <v>10867.303180800001</v>
      </c>
      <c r="V302" s="880">
        <f t="shared" si="207"/>
        <v>10867.303180800001</v>
      </c>
      <c r="W302" s="880">
        <f t="shared" si="208"/>
        <v>0</v>
      </c>
      <c r="X302" s="367">
        <f t="shared" si="184"/>
        <v>0</v>
      </c>
      <c r="Y302" s="367">
        <f t="shared" si="185"/>
        <v>0</v>
      </c>
      <c r="Z302" s="367">
        <f t="shared" si="186"/>
        <v>0</v>
      </c>
      <c r="AA302" s="367">
        <f t="shared" si="187"/>
        <v>0</v>
      </c>
      <c r="AB302" s="369" t="str">
        <f t="shared" si="188"/>
        <v>Não Iniciada</v>
      </c>
      <c r="AC302" s="365"/>
      <c r="AD302" s="368">
        <v>1</v>
      </c>
      <c r="AE302" s="368">
        <f t="shared" si="209"/>
        <v>-1</v>
      </c>
      <c r="AF302" s="365"/>
      <c r="AG302" s="863">
        <f t="shared" si="198"/>
        <v>0</v>
      </c>
      <c r="AH302" s="864">
        <f t="shared" si="210"/>
        <v>0</v>
      </c>
      <c r="AI302" s="863">
        <f t="shared" si="199"/>
        <v>0</v>
      </c>
      <c r="AJ302" s="864">
        <f t="shared" si="211"/>
        <v>0</v>
      </c>
      <c r="AK302" s="365"/>
      <c r="AL302" s="865">
        <f t="shared" si="200"/>
        <v>0</v>
      </c>
      <c r="AM302" s="866">
        <f t="shared" si="212"/>
        <v>0</v>
      </c>
      <c r="AN302" s="866">
        <f t="shared" si="213"/>
        <v>0</v>
      </c>
      <c r="AO302" s="866">
        <f t="shared" si="214"/>
        <v>0</v>
      </c>
      <c r="AP302" s="867">
        <f t="shared" si="215"/>
        <v>0</v>
      </c>
      <c r="AQ302" s="591">
        <f t="shared" si="201"/>
        <v>0</v>
      </c>
      <c r="AR302" s="868">
        <f>IF(AND($L302=0,$P302=0)=TRUE,VLOOKUP($E302,Plan3!$A$16:$CT$487,$E$7+3,0)/100,0)</f>
        <v>0</v>
      </c>
      <c r="AS302" s="868">
        <f>IF(AND($L302=0,$P302=0)=TRUE,VLOOKUP($E302,Plan3!$A$16:$CT$487,$E$7+6,0)/100,0)</f>
        <v>0</v>
      </c>
      <c r="AT302" s="868">
        <f>IF(AND($L302=0,$P302=0)=TRUE,VLOOKUP($E302,Plan3!$A$16:$CT$487,$E$7+9,0)/100,0)</f>
        <v>0</v>
      </c>
      <c r="AU302" s="868">
        <f>IF(AND($L302=0,$P302=0)=TRUE,VLOOKUP($E302,Plan3!$A$16:$CT$487,$E$7+12,0)/100,0)</f>
        <v>0</v>
      </c>
      <c r="AV302" s="841"/>
      <c r="AW302" s="869">
        <f t="shared" si="220"/>
        <v>0</v>
      </c>
      <c r="AX302" s="870">
        <f t="shared" si="221"/>
        <v>0</v>
      </c>
      <c r="AY302" s="871">
        <f t="shared" si="222"/>
        <v>0</v>
      </c>
      <c r="AZ302" s="237" t="str">
        <f t="shared" si="189"/>
        <v xml:space="preserve">17.000.000.004 </v>
      </c>
      <c r="BA302" s="365"/>
      <c r="BB302" s="365"/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872">
        <f t="shared" si="190"/>
        <v>0</v>
      </c>
      <c r="BM302" s="873">
        <f t="shared" si="191"/>
        <v>0</v>
      </c>
      <c r="BN302" s="874">
        <f t="shared" si="216"/>
        <v>0</v>
      </c>
      <c r="BO302" s="875">
        <f t="shared" si="192"/>
        <v>0</v>
      </c>
      <c r="BP302" s="875">
        <f t="shared" si="193"/>
        <v>0</v>
      </c>
      <c r="BQ302" s="876">
        <f t="shared" si="217"/>
        <v>0</v>
      </c>
      <c r="BR302" s="877">
        <f t="shared" si="218"/>
        <v>0</v>
      </c>
      <c r="BS302" s="875">
        <f t="shared" si="194"/>
        <v>0</v>
      </c>
      <c r="BT302" s="875">
        <f t="shared" si="195"/>
        <v>0</v>
      </c>
      <c r="BU302" s="878">
        <f t="shared" si="219"/>
        <v>0</v>
      </c>
      <c r="CE302" s="486">
        <v>289</v>
      </c>
    </row>
    <row r="303" spans="1:83" s="177" customFormat="1" ht="21.95" customHeight="1" x14ac:dyDescent="0.2">
      <c r="A303" s="237">
        <f t="shared" si="196"/>
        <v>0</v>
      </c>
      <c r="B303" s="237">
        <f t="shared" si="197"/>
        <v>0</v>
      </c>
      <c r="C303" s="393" t="str">
        <f t="shared" si="182"/>
        <v xml:space="preserve">18 </v>
      </c>
      <c r="D303" s="393" t="str">
        <f t="shared" si="183"/>
        <v xml:space="preserve">18 </v>
      </c>
      <c r="E303" s="161" t="s">
        <v>148</v>
      </c>
      <c r="F303" s="161" t="s">
        <v>694</v>
      </c>
      <c r="G303" s="162"/>
      <c r="H303" s="162"/>
      <c r="I303" s="162"/>
      <c r="J303" s="163">
        <v>111578.37</v>
      </c>
      <c r="K303" s="164">
        <v>0</v>
      </c>
      <c r="L303" s="164">
        <f t="array" ref="L303">SUM(IF($D304:$D$379=$E303,$L304:$L$379*$J304:$J$379))/$J303</f>
        <v>0</v>
      </c>
      <c r="M303" s="163"/>
      <c r="N303" s="163">
        <f>$L303*$J303</f>
        <v>0</v>
      </c>
      <c r="O303" s="164">
        <v>0</v>
      </c>
      <c r="P303" s="164">
        <f t="array" ref="P303">SUM(IF($D304:$D$379=$E303,$P304:$P$379*$J304:$J$379))/$J303</f>
        <v>0</v>
      </c>
      <c r="Q303" s="163">
        <f>$P303*$H303</f>
        <v>0</v>
      </c>
      <c r="R303" s="163">
        <f>$P303*$J303</f>
        <v>0</v>
      </c>
      <c r="S303" s="163">
        <v>112872.67909200002</v>
      </c>
      <c r="T303" s="163">
        <f>SUM(T304:T328)</f>
        <v>0</v>
      </c>
      <c r="U303" s="163"/>
      <c r="V303" s="163">
        <f t="shared" ref="V303:W303" si="225">SUM(V304:V328)</f>
        <v>114825.3764402916</v>
      </c>
      <c r="W303" s="163">
        <f t="shared" si="225"/>
        <v>0</v>
      </c>
      <c r="X303" s="164">
        <f t="shared" si="184"/>
        <v>0</v>
      </c>
      <c r="Y303" s="164">
        <f t="shared" si="185"/>
        <v>0</v>
      </c>
      <c r="Z303" s="164">
        <f t="shared" si="186"/>
        <v>0</v>
      </c>
      <c r="AA303" s="164">
        <f t="shared" si="187"/>
        <v>0</v>
      </c>
      <c r="AB303" s="201" t="str">
        <f t="shared" si="188"/>
        <v>Não Iniciada</v>
      </c>
      <c r="AC303" s="155" t="s">
        <v>763</v>
      </c>
      <c r="AD303" s="689">
        <v>0</v>
      </c>
      <c r="AE303" s="835">
        <f>Q303-AD303</f>
        <v>0</v>
      </c>
      <c r="AF303" s="155"/>
      <c r="AG303" s="207"/>
      <c r="AH303" s="208"/>
      <c r="AI303" s="207"/>
      <c r="AJ303" s="208"/>
      <c r="AK303" s="155"/>
      <c r="AL303" s="212"/>
      <c r="AM303" s="209"/>
      <c r="AN303" s="209"/>
      <c r="AO303" s="209"/>
      <c r="AP303" s="213"/>
      <c r="AQ303" s="401"/>
      <c r="AR303" s="247"/>
      <c r="AS303" s="247"/>
      <c r="AT303" s="247"/>
      <c r="AU303" s="247"/>
      <c r="AV303" s="155"/>
      <c r="AW303" s="250"/>
      <c r="AX303" s="248"/>
      <c r="AY303" s="402"/>
      <c r="AZ303" s="237" t="str">
        <f t="shared" si="189"/>
        <v xml:space="preserve">18 </v>
      </c>
      <c r="BA303" s="155"/>
      <c r="BB303" s="155"/>
      <c r="BC303" s="155"/>
      <c r="BD303" s="155"/>
      <c r="BE303" s="155"/>
      <c r="BF303" s="155"/>
      <c r="BG303" s="155"/>
      <c r="BH303" s="155"/>
      <c r="BI303" s="155"/>
      <c r="BJ303" s="155"/>
      <c r="BK303" s="155"/>
      <c r="BL303" s="666" t="str">
        <f t="shared" si="190"/>
        <v xml:space="preserve">18 </v>
      </c>
      <c r="BM303" s="667">
        <f t="shared" si="191"/>
        <v>0</v>
      </c>
      <c r="BN303" s="668">
        <f>IF($BQ303=0,0,RANK($BQ303,$BQ$12:$BQ$379))</f>
        <v>0</v>
      </c>
      <c r="BO303" s="669">
        <f t="shared" si="192"/>
        <v>0</v>
      </c>
      <c r="BP303" s="669">
        <f t="shared" si="193"/>
        <v>0</v>
      </c>
      <c r="BQ303" s="670">
        <f>IF($BP303=0,0,$BP303/$BP$380)</f>
        <v>0</v>
      </c>
      <c r="BR303" s="671">
        <f>IF($BU303=0,0,RANK($BU303,$BU$12:$BU$379))</f>
        <v>0</v>
      </c>
      <c r="BS303" s="669">
        <f t="shared" si="194"/>
        <v>0</v>
      </c>
      <c r="BT303" s="669">
        <f t="shared" si="195"/>
        <v>0</v>
      </c>
      <c r="BU303" s="672">
        <f>IF($BT303=0,0,$BT303/$BT$380)</f>
        <v>0</v>
      </c>
      <c r="CE303" s="486">
        <v>290</v>
      </c>
    </row>
    <row r="304" spans="1:83" s="177" customFormat="1" ht="21.95" customHeight="1" x14ac:dyDescent="0.2">
      <c r="A304" s="237">
        <f t="shared" si="196"/>
        <v>0</v>
      </c>
      <c r="B304" s="237">
        <f t="shared" si="197"/>
        <v>0</v>
      </c>
      <c r="C304" s="393">
        <f t="shared" si="182"/>
        <v>0</v>
      </c>
      <c r="D304" s="393" t="str">
        <f t="shared" si="183"/>
        <v xml:space="preserve">18 </v>
      </c>
      <c r="E304" s="967" t="s">
        <v>792</v>
      </c>
      <c r="F304" s="967" t="s">
        <v>695</v>
      </c>
      <c r="G304" s="967"/>
      <c r="H304" s="968"/>
      <c r="I304" s="968"/>
      <c r="J304" s="969">
        <v>21453.14</v>
      </c>
      <c r="K304" s="367">
        <v>0</v>
      </c>
      <c r="L304" s="367">
        <f>IF($H304="",0,VLOOKUP($E304,Plan3!$A$16:$CT$384,$E$7,0)%)</f>
        <v>0</v>
      </c>
      <c r="M304" s="368">
        <f t="shared" si="202"/>
        <v>0</v>
      </c>
      <c r="N304" s="368">
        <f t="shared" si="203"/>
        <v>0</v>
      </c>
      <c r="O304" s="367">
        <v>0</v>
      </c>
      <c r="P304" s="367">
        <f>VLOOKUP($E304,Plan3!$A$492:$P$858,13,0)%</f>
        <v>0</v>
      </c>
      <c r="Q304" s="368">
        <f t="shared" si="204"/>
        <v>0</v>
      </c>
      <c r="R304" s="368">
        <f t="shared" si="205"/>
        <v>0</v>
      </c>
      <c r="S304" s="880">
        <v>0</v>
      </c>
      <c r="T304" s="880">
        <f t="shared" si="206"/>
        <v>0</v>
      </c>
      <c r="U304" s="880">
        <f>IF($I304="",0,($S304-$T304)*(1+('Econômico Macro'!$R$12/100)))</f>
        <v>0</v>
      </c>
      <c r="V304" s="880">
        <f t="shared" si="207"/>
        <v>0</v>
      </c>
      <c r="W304" s="880">
        <f t="shared" si="208"/>
        <v>0</v>
      </c>
      <c r="X304" s="367">
        <f t="shared" si="184"/>
        <v>0</v>
      </c>
      <c r="Y304" s="367">
        <f t="shared" si="185"/>
        <v>0</v>
      </c>
      <c r="Z304" s="367">
        <f t="shared" si="186"/>
        <v>0</v>
      </c>
      <c r="AA304" s="367">
        <f t="shared" si="187"/>
        <v>0</v>
      </c>
      <c r="AB304" s="369" t="str">
        <f t="shared" si="188"/>
        <v>Não Iniciada</v>
      </c>
      <c r="AC304" s="365"/>
      <c r="AD304" s="368">
        <v>1</v>
      </c>
      <c r="AE304" s="368">
        <f t="shared" si="209"/>
        <v>-1</v>
      </c>
      <c r="AF304" s="365"/>
      <c r="AG304" s="863">
        <f t="shared" si="198"/>
        <v>0</v>
      </c>
      <c r="AH304" s="864">
        <f t="shared" si="210"/>
        <v>0</v>
      </c>
      <c r="AI304" s="863">
        <f t="shared" si="199"/>
        <v>0</v>
      </c>
      <c r="AJ304" s="864">
        <f t="shared" si="211"/>
        <v>0</v>
      </c>
      <c r="AK304" s="365"/>
      <c r="AL304" s="865">
        <f t="shared" si="200"/>
        <v>0</v>
      </c>
      <c r="AM304" s="866">
        <f t="shared" si="212"/>
        <v>0</v>
      </c>
      <c r="AN304" s="866">
        <f t="shared" si="213"/>
        <v>0</v>
      </c>
      <c r="AO304" s="866">
        <f t="shared" si="214"/>
        <v>0</v>
      </c>
      <c r="AP304" s="867">
        <f t="shared" si="215"/>
        <v>0</v>
      </c>
      <c r="AQ304" s="591"/>
      <c r="AR304" s="868"/>
      <c r="AS304" s="868"/>
      <c r="AT304" s="868"/>
      <c r="AU304" s="868"/>
      <c r="AV304" s="841"/>
      <c r="AW304" s="869"/>
      <c r="AX304" s="870"/>
      <c r="AY304" s="871"/>
      <c r="AZ304" s="237" t="str">
        <f t="shared" si="189"/>
        <v xml:space="preserve">18.001 </v>
      </c>
      <c r="BA304" s="365"/>
      <c r="BB304" s="365"/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872">
        <f t="shared" si="190"/>
        <v>0</v>
      </c>
      <c r="BM304" s="873">
        <f t="shared" si="191"/>
        <v>0</v>
      </c>
      <c r="BN304" s="874">
        <f t="shared" si="216"/>
        <v>0</v>
      </c>
      <c r="BO304" s="875">
        <f t="shared" si="192"/>
        <v>0</v>
      </c>
      <c r="BP304" s="875">
        <f t="shared" si="193"/>
        <v>0</v>
      </c>
      <c r="BQ304" s="876">
        <f t="shared" si="217"/>
        <v>0</v>
      </c>
      <c r="BR304" s="877">
        <f t="shared" si="218"/>
        <v>0</v>
      </c>
      <c r="BS304" s="875">
        <f t="shared" si="194"/>
        <v>0</v>
      </c>
      <c r="BT304" s="875">
        <f t="shared" si="195"/>
        <v>0</v>
      </c>
      <c r="BU304" s="878">
        <f t="shared" si="219"/>
        <v>0</v>
      </c>
      <c r="CE304" s="486">
        <v>291</v>
      </c>
    </row>
    <row r="305" spans="1:83" s="177" customFormat="1" ht="21.95" customHeight="1" x14ac:dyDescent="0.2">
      <c r="A305" s="237">
        <f t="shared" si="196"/>
        <v>0</v>
      </c>
      <c r="B305" s="237">
        <f t="shared" si="197"/>
        <v>0</v>
      </c>
      <c r="C305" s="393">
        <f t="shared" si="182"/>
        <v>0</v>
      </c>
      <c r="D305" s="393" t="str">
        <f t="shared" si="183"/>
        <v xml:space="preserve">18 </v>
      </c>
      <c r="E305" s="959" t="s">
        <v>793</v>
      </c>
      <c r="F305" s="959" t="s">
        <v>1508</v>
      </c>
      <c r="G305" s="959" t="s">
        <v>8</v>
      </c>
      <c r="H305" s="970">
        <v>51</v>
      </c>
      <c r="I305" s="965">
        <v>357.27140000000003</v>
      </c>
      <c r="J305" s="962">
        <v>18220.84</v>
      </c>
      <c r="K305" s="367">
        <v>0</v>
      </c>
      <c r="L305" s="367">
        <f>IF($H305="",0,VLOOKUP($E305,Plan3!$A$16:$CT$384,$E$7,0)%)</f>
        <v>0</v>
      </c>
      <c r="M305" s="368">
        <f t="shared" si="202"/>
        <v>0</v>
      </c>
      <c r="N305" s="368">
        <f t="shared" si="203"/>
        <v>0</v>
      </c>
      <c r="O305" s="367">
        <v>0</v>
      </c>
      <c r="P305" s="367">
        <f>VLOOKUP($E305,Plan3!$A$492:$P$858,13,0)%</f>
        <v>0</v>
      </c>
      <c r="Q305" s="368">
        <f t="shared" si="204"/>
        <v>0</v>
      </c>
      <c r="R305" s="368">
        <f t="shared" si="205"/>
        <v>0</v>
      </c>
      <c r="S305" s="880">
        <v>18432.201744000002</v>
      </c>
      <c r="T305" s="880">
        <f t="shared" si="206"/>
        <v>0</v>
      </c>
      <c r="U305" s="880">
        <f>IF($I305="",0,($S305-$T305)*(1+('Econômico Macro'!$R$12/100)))</f>
        <v>18751.078834171203</v>
      </c>
      <c r="V305" s="880">
        <f t="shared" si="207"/>
        <v>18751.078834171203</v>
      </c>
      <c r="W305" s="880">
        <f t="shared" si="208"/>
        <v>0</v>
      </c>
      <c r="X305" s="367">
        <f t="shared" si="184"/>
        <v>0</v>
      </c>
      <c r="Y305" s="367">
        <f t="shared" si="185"/>
        <v>0</v>
      </c>
      <c r="Z305" s="367">
        <f t="shared" si="186"/>
        <v>0</v>
      </c>
      <c r="AA305" s="367">
        <f t="shared" si="187"/>
        <v>0</v>
      </c>
      <c r="AB305" s="369" t="str">
        <f t="shared" si="188"/>
        <v>Não Iniciada</v>
      </c>
      <c r="AC305" s="365"/>
      <c r="AD305" s="368">
        <v>1</v>
      </c>
      <c r="AE305" s="368">
        <f t="shared" si="209"/>
        <v>-1</v>
      </c>
      <c r="AF305" s="365"/>
      <c r="AG305" s="863">
        <f t="shared" si="198"/>
        <v>0</v>
      </c>
      <c r="AH305" s="864">
        <f t="shared" si="210"/>
        <v>0</v>
      </c>
      <c r="AI305" s="863">
        <f t="shared" si="199"/>
        <v>0</v>
      </c>
      <c r="AJ305" s="864">
        <f t="shared" si="211"/>
        <v>0</v>
      </c>
      <c r="AK305" s="365"/>
      <c r="AL305" s="865">
        <f t="shared" si="200"/>
        <v>0</v>
      </c>
      <c r="AM305" s="866">
        <f t="shared" si="212"/>
        <v>0</v>
      </c>
      <c r="AN305" s="866">
        <f t="shared" si="213"/>
        <v>0</v>
      </c>
      <c r="AO305" s="866">
        <f t="shared" si="214"/>
        <v>0</v>
      </c>
      <c r="AP305" s="867">
        <f t="shared" si="215"/>
        <v>0</v>
      </c>
      <c r="AQ305" s="591">
        <f t="shared" si="201"/>
        <v>0</v>
      </c>
      <c r="AR305" s="868">
        <f>IF(AND($L305=0,$P305=0)=TRUE,VLOOKUP($E305,Plan3!$A$16:$CT$487,$E$7+3,0)/100,0)</f>
        <v>0</v>
      </c>
      <c r="AS305" s="868">
        <f>IF(AND($L305=0,$P305=0)=TRUE,VLOOKUP($E305,Plan3!$A$16:$CT$487,$E$7+6,0)/100,0)</f>
        <v>0</v>
      </c>
      <c r="AT305" s="868">
        <f>IF(AND($L305=0,$P305=0)=TRUE,VLOOKUP($E305,Plan3!$A$16:$CT$487,$E$7+9,0)/100,0)</f>
        <v>0</v>
      </c>
      <c r="AU305" s="868">
        <f>IF(AND($L305=0,$P305=0)=TRUE,VLOOKUP($E305,Plan3!$A$16:$CT$487,$E$7+12,0)/100,0)</f>
        <v>0</v>
      </c>
      <c r="AV305" s="841"/>
      <c r="AW305" s="869">
        <f t="shared" si="220"/>
        <v>0</v>
      </c>
      <c r="AX305" s="870">
        <f t="shared" si="221"/>
        <v>0</v>
      </c>
      <c r="AY305" s="871">
        <f t="shared" si="222"/>
        <v>0</v>
      </c>
      <c r="AZ305" s="237" t="str">
        <f t="shared" si="189"/>
        <v xml:space="preserve">18.001.000.001 </v>
      </c>
      <c r="BA305" s="365"/>
      <c r="BB305" s="365"/>
      <c r="BC305" s="365"/>
      <c r="BD305" s="365"/>
      <c r="BE305" s="365"/>
      <c r="BF305" s="365"/>
      <c r="BG305" s="365"/>
      <c r="BH305" s="365"/>
      <c r="BI305" s="365"/>
      <c r="BJ305" s="365"/>
      <c r="BK305" s="365"/>
      <c r="BL305" s="872">
        <f t="shared" si="190"/>
        <v>0</v>
      </c>
      <c r="BM305" s="873">
        <f t="shared" si="191"/>
        <v>0</v>
      </c>
      <c r="BN305" s="874">
        <f t="shared" si="216"/>
        <v>0</v>
      </c>
      <c r="BO305" s="875">
        <f t="shared" si="192"/>
        <v>0</v>
      </c>
      <c r="BP305" s="875">
        <f t="shared" si="193"/>
        <v>0</v>
      </c>
      <c r="BQ305" s="876">
        <f t="shared" si="217"/>
        <v>0</v>
      </c>
      <c r="BR305" s="877">
        <f t="shared" si="218"/>
        <v>0</v>
      </c>
      <c r="BS305" s="875">
        <f t="shared" si="194"/>
        <v>0</v>
      </c>
      <c r="BT305" s="875">
        <f t="shared" si="195"/>
        <v>0</v>
      </c>
      <c r="BU305" s="878">
        <f t="shared" si="219"/>
        <v>0</v>
      </c>
      <c r="CE305" s="486">
        <v>292</v>
      </c>
    </row>
    <row r="306" spans="1:83" s="177" customFormat="1" ht="21.95" customHeight="1" x14ac:dyDescent="0.2">
      <c r="A306" s="237">
        <f t="shared" si="196"/>
        <v>0</v>
      </c>
      <c r="B306" s="237">
        <f t="shared" si="197"/>
        <v>0</v>
      </c>
      <c r="C306" s="393">
        <f t="shared" si="182"/>
        <v>0</v>
      </c>
      <c r="D306" s="393" t="str">
        <f t="shared" si="183"/>
        <v xml:space="preserve">18 </v>
      </c>
      <c r="E306" s="959" t="s">
        <v>794</v>
      </c>
      <c r="F306" s="959" t="s">
        <v>1972</v>
      </c>
      <c r="G306" s="959" t="s">
        <v>8</v>
      </c>
      <c r="H306" s="970">
        <v>13</v>
      </c>
      <c r="I306" s="965">
        <v>194.92140000000001</v>
      </c>
      <c r="J306" s="964">
        <v>2533.98</v>
      </c>
      <c r="K306" s="367">
        <v>0</v>
      </c>
      <c r="L306" s="367">
        <f>IF($H306="",0,VLOOKUP($E306,Plan3!$A$16:$CT$384,$E$7,0)%)</f>
        <v>0</v>
      </c>
      <c r="M306" s="368">
        <f t="shared" si="202"/>
        <v>0</v>
      </c>
      <c r="N306" s="368">
        <f t="shared" si="203"/>
        <v>0</v>
      </c>
      <c r="O306" s="367">
        <v>0</v>
      </c>
      <c r="P306" s="367">
        <f>VLOOKUP($E306,Plan3!$A$492:$P$858,13,0)%</f>
        <v>0</v>
      </c>
      <c r="Q306" s="368">
        <f t="shared" si="204"/>
        <v>0</v>
      </c>
      <c r="R306" s="368">
        <f t="shared" si="205"/>
        <v>0</v>
      </c>
      <c r="S306" s="880">
        <v>2563.3741680000003</v>
      </c>
      <c r="T306" s="880">
        <f t="shared" si="206"/>
        <v>0</v>
      </c>
      <c r="U306" s="880">
        <f>IF($I306="",0,($S306-$T306)*(1+('Econômico Macro'!$R$12/100)))</f>
        <v>2607.7205411064006</v>
      </c>
      <c r="V306" s="880">
        <f t="shared" si="207"/>
        <v>2607.7205411064006</v>
      </c>
      <c r="W306" s="880">
        <f t="shared" si="208"/>
        <v>0</v>
      </c>
      <c r="X306" s="367">
        <f t="shared" si="184"/>
        <v>0</v>
      </c>
      <c r="Y306" s="367">
        <f t="shared" si="185"/>
        <v>0</v>
      </c>
      <c r="Z306" s="367">
        <f t="shared" si="186"/>
        <v>0</v>
      </c>
      <c r="AA306" s="367">
        <f t="shared" si="187"/>
        <v>0</v>
      </c>
      <c r="AB306" s="369" t="str">
        <f t="shared" si="188"/>
        <v>Não Iniciada</v>
      </c>
      <c r="AC306" s="365"/>
      <c r="AD306" s="368">
        <v>1</v>
      </c>
      <c r="AE306" s="368">
        <f t="shared" si="209"/>
        <v>-1</v>
      </c>
      <c r="AF306" s="365"/>
      <c r="AG306" s="863">
        <f t="shared" si="198"/>
        <v>0</v>
      </c>
      <c r="AH306" s="864">
        <f t="shared" si="210"/>
        <v>0</v>
      </c>
      <c r="AI306" s="863">
        <f t="shared" si="199"/>
        <v>0</v>
      </c>
      <c r="AJ306" s="864">
        <f t="shared" si="211"/>
        <v>0</v>
      </c>
      <c r="AK306" s="365"/>
      <c r="AL306" s="865">
        <f t="shared" si="200"/>
        <v>0</v>
      </c>
      <c r="AM306" s="866">
        <f t="shared" si="212"/>
        <v>0</v>
      </c>
      <c r="AN306" s="866">
        <f t="shared" si="213"/>
        <v>0</v>
      </c>
      <c r="AO306" s="866">
        <f t="shared" si="214"/>
        <v>0</v>
      </c>
      <c r="AP306" s="867">
        <f t="shared" si="215"/>
        <v>0</v>
      </c>
      <c r="AQ306" s="591">
        <f t="shared" si="201"/>
        <v>0</v>
      </c>
      <c r="AR306" s="868">
        <f>IF(AND($L306=0,$P306=0)=TRUE,VLOOKUP($E306,Plan3!$A$16:$CT$487,$E$7+3,0)/100,0)</f>
        <v>0</v>
      </c>
      <c r="AS306" s="868">
        <f>IF(AND($L306=0,$P306=0)=TRUE,VLOOKUP($E306,Plan3!$A$16:$CT$487,$E$7+6,0)/100,0)</f>
        <v>0</v>
      </c>
      <c r="AT306" s="868">
        <f>IF(AND($L306=0,$P306=0)=TRUE,VLOOKUP($E306,Plan3!$A$16:$CT$487,$E$7+9,0)/100,0)</f>
        <v>0</v>
      </c>
      <c r="AU306" s="868">
        <f>IF(AND($L306=0,$P306=0)=TRUE,VLOOKUP($E306,Plan3!$A$16:$CT$487,$E$7+12,0)/100,0)</f>
        <v>0</v>
      </c>
      <c r="AV306" s="841"/>
      <c r="AW306" s="869">
        <f t="shared" si="220"/>
        <v>0</v>
      </c>
      <c r="AX306" s="870">
        <f t="shared" si="221"/>
        <v>0</v>
      </c>
      <c r="AY306" s="871">
        <f t="shared" si="222"/>
        <v>0</v>
      </c>
      <c r="AZ306" s="237" t="str">
        <f t="shared" si="189"/>
        <v xml:space="preserve">18.001.000.002 </v>
      </c>
      <c r="BA306" s="365"/>
      <c r="BB306" s="365"/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872">
        <f t="shared" si="190"/>
        <v>0</v>
      </c>
      <c r="BM306" s="873">
        <f t="shared" si="191"/>
        <v>0</v>
      </c>
      <c r="BN306" s="874">
        <f t="shared" si="216"/>
        <v>0</v>
      </c>
      <c r="BO306" s="875">
        <f t="shared" si="192"/>
        <v>0</v>
      </c>
      <c r="BP306" s="875">
        <f t="shared" si="193"/>
        <v>0</v>
      </c>
      <c r="BQ306" s="876">
        <f t="shared" si="217"/>
        <v>0</v>
      </c>
      <c r="BR306" s="877">
        <f t="shared" si="218"/>
        <v>0</v>
      </c>
      <c r="BS306" s="875">
        <f t="shared" si="194"/>
        <v>0</v>
      </c>
      <c r="BT306" s="875">
        <f t="shared" si="195"/>
        <v>0</v>
      </c>
      <c r="BU306" s="878">
        <f t="shared" si="219"/>
        <v>0</v>
      </c>
      <c r="CE306" s="486">
        <v>293</v>
      </c>
    </row>
    <row r="307" spans="1:83" s="177" customFormat="1" ht="21.95" customHeight="1" x14ac:dyDescent="0.2">
      <c r="A307" s="237">
        <f t="shared" si="196"/>
        <v>0</v>
      </c>
      <c r="B307" s="237">
        <f t="shared" si="197"/>
        <v>0</v>
      </c>
      <c r="C307" s="393">
        <f t="shared" si="182"/>
        <v>0</v>
      </c>
      <c r="D307" s="393" t="str">
        <f t="shared" si="183"/>
        <v xml:space="preserve">18 </v>
      </c>
      <c r="E307" s="959" t="s">
        <v>795</v>
      </c>
      <c r="F307" s="959" t="s">
        <v>796</v>
      </c>
      <c r="G307" s="959" t="s">
        <v>8</v>
      </c>
      <c r="H307" s="960">
        <v>1</v>
      </c>
      <c r="I307" s="965">
        <v>698.32140000000004</v>
      </c>
      <c r="J307" s="966">
        <v>698.32</v>
      </c>
      <c r="K307" s="367">
        <v>0</v>
      </c>
      <c r="L307" s="367">
        <f>IF($H307="",0,VLOOKUP($E307,Plan3!$A$16:$CT$384,$E$7,0)%)</f>
        <v>0</v>
      </c>
      <c r="M307" s="368">
        <f t="shared" si="202"/>
        <v>0</v>
      </c>
      <c r="N307" s="368">
        <f t="shared" si="203"/>
        <v>0</v>
      </c>
      <c r="O307" s="367">
        <v>0</v>
      </c>
      <c r="P307" s="367">
        <f>VLOOKUP($E307,Plan3!$A$492:$P$858,13,0)%</f>
        <v>0</v>
      </c>
      <c r="Q307" s="368">
        <f t="shared" si="204"/>
        <v>0</v>
      </c>
      <c r="R307" s="368">
        <f t="shared" si="205"/>
        <v>0</v>
      </c>
      <c r="S307" s="880">
        <v>706.42051200000014</v>
      </c>
      <c r="T307" s="880">
        <f t="shared" si="206"/>
        <v>0</v>
      </c>
      <c r="U307" s="880">
        <f>IF($I307="",0,($S307-$T307)*(1+('Econômico Macro'!$R$12/100)))</f>
        <v>718.64158685760026</v>
      </c>
      <c r="V307" s="880">
        <f t="shared" si="207"/>
        <v>718.64158685760026</v>
      </c>
      <c r="W307" s="880">
        <f t="shared" si="208"/>
        <v>0</v>
      </c>
      <c r="X307" s="367">
        <f t="shared" si="184"/>
        <v>0</v>
      </c>
      <c r="Y307" s="367">
        <f t="shared" si="185"/>
        <v>0</v>
      </c>
      <c r="Z307" s="367">
        <f t="shared" si="186"/>
        <v>0</v>
      </c>
      <c r="AA307" s="367">
        <f t="shared" si="187"/>
        <v>0</v>
      </c>
      <c r="AB307" s="369" t="str">
        <f t="shared" si="188"/>
        <v>Não Iniciada</v>
      </c>
      <c r="AC307" s="365"/>
      <c r="AD307" s="368">
        <v>1</v>
      </c>
      <c r="AE307" s="368">
        <f t="shared" si="209"/>
        <v>-1</v>
      </c>
      <c r="AF307" s="365"/>
      <c r="AG307" s="863">
        <f t="shared" si="198"/>
        <v>0</v>
      </c>
      <c r="AH307" s="864">
        <f t="shared" si="210"/>
        <v>0</v>
      </c>
      <c r="AI307" s="863">
        <f t="shared" si="199"/>
        <v>0</v>
      </c>
      <c r="AJ307" s="864">
        <f t="shared" si="211"/>
        <v>0</v>
      </c>
      <c r="AK307" s="365"/>
      <c r="AL307" s="865">
        <f t="shared" si="200"/>
        <v>0</v>
      </c>
      <c r="AM307" s="866">
        <f t="shared" si="212"/>
        <v>0</v>
      </c>
      <c r="AN307" s="866">
        <f t="shared" si="213"/>
        <v>0</v>
      </c>
      <c r="AO307" s="866">
        <f t="shared" si="214"/>
        <v>0</v>
      </c>
      <c r="AP307" s="867">
        <f t="shared" si="215"/>
        <v>0</v>
      </c>
      <c r="AQ307" s="591">
        <f t="shared" si="201"/>
        <v>0</v>
      </c>
      <c r="AR307" s="868">
        <f>IF(AND($L307=0,$P307=0)=TRUE,VLOOKUP($E307,Plan3!$A$16:$CT$487,$E$7+3,0)/100,0)</f>
        <v>0</v>
      </c>
      <c r="AS307" s="868">
        <f>IF(AND($L307=0,$P307=0)=TRUE,VLOOKUP($E307,Plan3!$A$16:$CT$487,$E$7+6,0)/100,0)</f>
        <v>0</v>
      </c>
      <c r="AT307" s="868">
        <f>IF(AND($L307=0,$P307=0)=TRUE,VLOOKUP($E307,Plan3!$A$16:$CT$487,$E$7+9,0)/100,0)</f>
        <v>0</v>
      </c>
      <c r="AU307" s="868">
        <f>IF(AND($L307=0,$P307=0)=TRUE,VLOOKUP($E307,Plan3!$A$16:$CT$487,$E$7+12,0)/100,0)</f>
        <v>0</v>
      </c>
      <c r="AV307" s="841"/>
      <c r="AW307" s="869">
        <f t="shared" si="220"/>
        <v>0</v>
      </c>
      <c r="AX307" s="870">
        <f t="shared" si="221"/>
        <v>0</v>
      </c>
      <c r="AY307" s="871">
        <f t="shared" si="222"/>
        <v>0</v>
      </c>
      <c r="AZ307" s="237" t="str">
        <f t="shared" si="189"/>
        <v xml:space="preserve">18.001.000.003 </v>
      </c>
      <c r="BA307" s="365"/>
      <c r="BB307" s="365"/>
      <c r="BC307" s="365"/>
      <c r="BD307" s="365"/>
      <c r="BE307" s="365"/>
      <c r="BF307" s="365"/>
      <c r="BG307" s="365"/>
      <c r="BH307" s="365"/>
      <c r="BI307" s="365"/>
      <c r="BJ307" s="365"/>
      <c r="BK307" s="365"/>
      <c r="BL307" s="872">
        <f t="shared" si="190"/>
        <v>0</v>
      </c>
      <c r="BM307" s="873">
        <f t="shared" si="191"/>
        <v>0</v>
      </c>
      <c r="BN307" s="874">
        <f t="shared" si="216"/>
        <v>0</v>
      </c>
      <c r="BO307" s="875">
        <f t="shared" si="192"/>
        <v>0</v>
      </c>
      <c r="BP307" s="875">
        <f t="shared" si="193"/>
        <v>0</v>
      </c>
      <c r="BQ307" s="876">
        <f t="shared" si="217"/>
        <v>0</v>
      </c>
      <c r="BR307" s="877">
        <f t="shared" si="218"/>
        <v>0</v>
      </c>
      <c r="BS307" s="875">
        <f t="shared" si="194"/>
        <v>0</v>
      </c>
      <c r="BT307" s="875">
        <f t="shared" si="195"/>
        <v>0</v>
      </c>
      <c r="BU307" s="878">
        <f t="shared" si="219"/>
        <v>0</v>
      </c>
      <c r="CE307" s="486">
        <v>294</v>
      </c>
    </row>
    <row r="308" spans="1:83" s="177" customFormat="1" ht="21.95" customHeight="1" x14ac:dyDescent="0.2">
      <c r="A308" s="237">
        <f t="shared" si="196"/>
        <v>0</v>
      </c>
      <c r="B308" s="237">
        <f t="shared" si="197"/>
        <v>0</v>
      </c>
      <c r="C308" s="393">
        <f t="shared" si="182"/>
        <v>0</v>
      </c>
      <c r="D308" s="393" t="str">
        <f t="shared" si="183"/>
        <v xml:space="preserve">18 </v>
      </c>
      <c r="E308" s="967" t="s">
        <v>797</v>
      </c>
      <c r="F308" s="967" t="s">
        <v>696</v>
      </c>
      <c r="G308" s="967"/>
      <c r="H308" s="968"/>
      <c r="I308" s="968"/>
      <c r="J308" s="969">
        <v>21601.7</v>
      </c>
      <c r="K308" s="367">
        <v>0</v>
      </c>
      <c r="L308" s="367">
        <f>IF($H308="",0,VLOOKUP($E308,Plan3!$A$16:$CT$384,$E$7,0)%)</f>
        <v>0</v>
      </c>
      <c r="M308" s="368">
        <f t="shared" si="202"/>
        <v>0</v>
      </c>
      <c r="N308" s="368">
        <f t="shared" si="203"/>
        <v>0</v>
      </c>
      <c r="O308" s="367">
        <v>0</v>
      </c>
      <c r="P308" s="367">
        <f>VLOOKUP($E308,Plan3!$A$492:$P$858,13,0)%</f>
        <v>0</v>
      </c>
      <c r="Q308" s="368">
        <f t="shared" si="204"/>
        <v>0</v>
      </c>
      <c r="R308" s="368">
        <f t="shared" si="205"/>
        <v>0</v>
      </c>
      <c r="S308" s="880">
        <v>0</v>
      </c>
      <c r="T308" s="880">
        <f t="shared" si="206"/>
        <v>0</v>
      </c>
      <c r="U308" s="880">
        <f>IF($I308="",0,($S308-$T308)*(1+('Econômico Macro'!$R$12/100)))</f>
        <v>0</v>
      </c>
      <c r="V308" s="880">
        <f t="shared" si="207"/>
        <v>0</v>
      </c>
      <c r="W308" s="880">
        <f t="shared" si="208"/>
        <v>0</v>
      </c>
      <c r="X308" s="367">
        <f t="shared" si="184"/>
        <v>0</v>
      </c>
      <c r="Y308" s="367">
        <f t="shared" si="185"/>
        <v>0</v>
      </c>
      <c r="Z308" s="367">
        <f t="shared" si="186"/>
        <v>0</v>
      </c>
      <c r="AA308" s="367">
        <f t="shared" si="187"/>
        <v>0</v>
      </c>
      <c r="AB308" s="369" t="str">
        <f t="shared" si="188"/>
        <v>Não Iniciada</v>
      </c>
      <c r="AC308" s="365"/>
      <c r="AD308" s="368">
        <v>1</v>
      </c>
      <c r="AE308" s="368">
        <f t="shared" si="209"/>
        <v>-1</v>
      </c>
      <c r="AF308" s="365"/>
      <c r="AG308" s="863">
        <f t="shared" si="198"/>
        <v>0</v>
      </c>
      <c r="AH308" s="864">
        <f t="shared" si="210"/>
        <v>0</v>
      </c>
      <c r="AI308" s="863">
        <f t="shared" si="199"/>
        <v>0</v>
      </c>
      <c r="AJ308" s="864">
        <f t="shared" si="211"/>
        <v>0</v>
      </c>
      <c r="AK308" s="365"/>
      <c r="AL308" s="865">
        <f t="shared" si="200"/>
        <v>0</v>
      </c>
      <c r="AM308" s="866">
        <f t="shared" si="212"/>
        <v>0</v>
      </c>
      <c r="AN308" s="866">
        <f t="shared" si="213"/>
        <v>0</v>
      </c>
      <c r="AO308" s="866">
        <f t="shared" si="214"/>
        <v>0</v>
      </c>
      <c r="AP308" s="867">
        <f t="shared" si="215"/>
        <v>0</v>
      </c>
      <c r="AQ308" s="591"/>
      <c r="AR308" s="868"/>
      <c r="AS308" s="868"/>
      <c r="AT308" s="868"/>
      <c r="AU308" s="868"/>
      <c r="AV308" s="841"/>
      <c r="AW308" s="869"/>
      <c r="AX308" s="870"/>
      <c r="AY308" s="871"/>
      <c r="AZ308" s="237" t="str">
        <f t="shared" si="189"/>
        <v xml:space="preserve">18.002 </v>
      </c>
      <c r="BA308" s="365"/>
      <c r="BB308" s="365"/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872">
        <f t="shared" si="190"/>
        <v>0</v>
      </c>
      <c r="BM308" s="873">
        <f t="shared" si="191"/>
        <v>0</v>
      </c>
      <c r="BN308" s="874">
        <f t="shared" si="216"/>
        <v>0</v>
      </c>
      <c r="BO308" s="875">
        <f t="shared" si="192"/>
        <v>0</v>
      </c>
      <c r="BP308" s="875">
        <f t="shared" si="193"/>
        <v>0</v>
      </c>
      <c r="BQ308" s="876">
        <f t="shared" si="217"/>
        <v>0</v>
      </c>
      <c r="BR308" s="877">
        <f t="shared" si="218"/>
        <v>0</v>
      </c>
      <c r="BS308" s="875">
        <f t="shared" si="194"/>
        <v>0</v>
      </c>
      <c r="BT308" s="875">
        <f t="shared" si="195"/>
        <v>0</v>
      </c>
      <c r="BU308" s="878">
        <f t="shared" si="219"/>
        <v>0</v>
      </c>
      <c r="CE308" s="486">
        <v>294</v>
      </c>
    </row>
    <row r="309" spans="1:83" s="177" customFormat="1" ht="21.95" customHeight="1" x14ac:dyDescent="0.2">
      <c r="A309" s="237">
        <f t="shared" si="196"/>
        <v>0</v>
      </c>
      <c r="B309" s="237">
        <f t="shared" si="197"/>
        <v>0</v>
      </c>
      <c r="C309" s="393">
        <f t="shared" si="182"/>
        <v>0</v>
      </c>
      <c r="D309" s="393" t="str">
        <f t="shared" si="183"/>
        <v xml:space="preserve">18 </v>
      </c>
      <c r="E309" s="959" t="s">
        <v>798</v>
      </c>
      <c r="F309" s="959" t="s">
        <v>2128</v>
      </c>
      <c r="G309" s="959" t="s">
        <v>8</v>
      </c>
      <c r="H309" s="970">
        <v>15</v>
      </c>
      <c r="I309" s="965">
        <v>263.14</v>
      </c>
      <c r="J309" s="964">
        <v>3947.1</v>
      </c>
      <c r="K309" s="367">
        <v>0</v>
      </c>
      <c r="L309" s="367">
        <f>IF($H309="",0,VLOOKUP($E309,Plan3!$A$16:$CT$384,$E$7,0)%)</f>
        <v>0</v>
      </c>
      <c r="M309" s="368">
        <f t="shared" si="202"/>
        <v>0</v>
      </c>
      <c r="N309" s="368">
        <f t="shared" si="203"/>
        <v>0</v>
      </c>
      <c r="O309" s="367">
        <v>0</v>
      </c>
      <c r="P309" s="367">
        <f>VLOOKUP($E309,Plan3!$A$492:$P$858,13,0)%</f>
        <v>0</v>
      </c>
      <c r="Q309" s="368">
        <f t="shared" si="204"/>
        <v>0</v>
      </c>
      <c r="R309" s="368">
        <f t="shared" si="205"/>
        <v>0</v>
      </c>
      <c r="S309" s="880">
        <v>3992.88636</v>
      </c>
      <c r="T309" s="880">
        <f t="shared" si="206"/>
        <v>0</v>
      </c>
      <c r="U309" s="880">
        <f>IF($I309="",0,($S309-$T309)*(1+('Econômico Macro'!$R$12/100)))</f>
        <v>4061.9632940280003</v>
      </c>
      <c r="V309" s="880">
        <f t="shared" si="207"/>
        <v>4061.9632940280003</v>
      </c>
      <c r="W309" s="880">
        <f t="shared" si="208"/>
        <v>0</v>
      </c>
      <c r="X309" s="367">
        <f t="shared" si="184"/>
        <v>0</v>
      </c>
      <c r="Y309" s="367">
        <f t="shared" si="185"/>
        <v>0</v>
      </c>
      <c r="Z309" s="367">
        <f t="shared" si="186"/>
        <v>0</v>
      </c>
      <c r="AA309" s="367">
        <f t="shared" si="187"/>
        <v>0</v>
      </c>
      <c r="AB309" s="369" t="str">
        <f t="shared" si="188"/>
        <v>Não Iniciada</v>
      </c>
      <c r="AC309" s="365"/>
      <c r="AD309" s="368">
        <v>1</v>
      </c>
      <c r="AE309" s="368">
        <f t="shared" si="209"/>
        <v>-1</v>
      </c>
      <c r="AF309" s="365"/>
      <c r="AG309" s="863">
        <f t="shared" si="198"/>
        <v>0</v>
      </c>
      <c r="AH309" s="864">
        <f t="shared" si="210"/>
        <v>0</v>
      </c>
      <c r="AI309" s="863">
        <f t="shared" si="199"/>
        <v>0</v>
      </c>
      <c r="AJ309" s="864">
        <f t="shared" si="211"/>
        <v>0</v>
      </c>
      <c r="AK309" s="365"/>
      <c r="AL309" s="865">
        <f t="shared" si="200"/>
        <v>0</v>
      </c>
      <c r="AM309" s="866">
        <f t="shared" si="212"/>
        <v>0</v>
      </c>
      <c r="AN309" s="866">
        <f t="shared" si="213"/>
        <v>0</v>
      </c>
      <c r="AO309" s="866">
        <f t="shared" si="214"/>
        <v>0</v>
      </c>
      <c r="AP309" s="867">
        <f t="shared" si="215"/>
        <v>0</v>
      </c>
      <c r="AQ309" s="591">
        <f t="shared" si="201"/>
        <v>0</v>
      </c>
      <c r="AR309" s="868">
        <f>IF(AND($L309=0,$P309=0)=TRUE,VLOOKUP($E309,Plan3!$A$16:$CT$487,$E$7+3,0)/100,0)</f>
        <v>0</v>
      </c>
      <c r="AS309" s="868">
        <f>IF(AND($L309=0,$P309=0)=TRUE,VLOOKUP($E309,Plan3!$A$16:$CT$487,$E$7+6,0)/100,0)</f>
        <v>0</v>
      </c>
      <c r="AT309" s="868">
        <f>IF(AND($L309=0,$P309=0)=TRUE,VLOOKUP($E309,Plan3!$A$16:$CT$487,$E$7+9,0)/100,0)</f>
        <v>0</v>
      </c>
      <c r="AU309" s="868">
        <f>IF(AND($L309=0,$P309=0)=TRUE,VLOOKUP($E309,Plan3!$A$16:$CT$487,$E$7+12,0)/100,0)</f>
        <v>0</v>
      </c>
      <c r="AV309" s="841"/>
      <c r="AW309" s="869">
        <f t="shared" si="220"/>
        <v>0</v>
      </c>
      <c r="AX309" s="870">
        <f t="shared" si="221"/>
        <v>0</v>
      </c>
      <c r="AY309" s="871">
        <f t="shared" si="222"/>
        <v>0</v>
      </c>
      <c r="AZ309" s="237" t="str">
        <f t="shared" si="189"/>
        <v xml:space="preserve">18.002.000.001 </v>
      </c>
      <c r="BA309" s="365"/>
      <c r="BB309" s="365"/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872">
        <f t="shared" si="190"/>
        <v>0</v>
      </c>
      <c r="BM309" s="873">
        <f t="shared" si="191"/>
        <v>0</v>
      </c>
      <c r="BN309" s="874">
        <f t="shared" si="216"/>
        <v>0</v>
      </c>
      <c r="BO309" s="875">
        <f t="shared" si="192"/>
        <v>0</v>
      </c>
      <c r="BP309" s="875">
        <f t="shared" si="193"/>
        <v>0</v>
      </c>
      <c r="BQ309" s="876">
        <f t="shared" si="217"/>
        <v>0</v>
      </c>
      <c r="BR309" s="877">
        <f t="shared" si="218"/>
        <v>0</v>
      </c>
      <c r="BS309" s="875">
        <f t="shared" si="194"/>
        <v>0</v>
      </c>
      <c r="BT309" s="875">
        <f t="shared" si="195"/>
        <v>0</v>
      </c>
      <c r="BU309" s="878">
        <f t="shared" si="219"/>
        <v>0</v>
      </c>
      <c r="CE309" s="486">
        <v>295</v>
      </c>
    </row>
    <row r="310" spans="1:83" s="177" customFormat="1" ht="21.95" customHeight="1" x14ac:dyDescent="0.2">
      <c r="A310" s="237">
        <f t="shared" si="196"/>
        <v>0</v>
      </c>
      <c r="B310" s="237">
        <f t="shared" si="197"/>
        <v>0</v>
      </c>
      <c r="C310" s="393">
        <f t="shared" si="182"/>
        <v>0</v>
      </c>
      <c r="D310" s="393" t="str">
        <f t="shared" si="183"/>
        <v xml:space="preserve">18 </v>
      </c>
      <c r="E310" s="959" t="s">
        <v>799</v>
      </c>
      <c r="F310" s="959" t="s">
        <v>2129</v>
      </c>
      <c r="G310" s="959" t="s">
        <v>8</v>
      </c>
      <c r="H310" s="970">
        <v>15</v>
      </c>
      <c r="I310" s="965">
        <v>166.8218</v>
      </c>
      <c r="J310" s="964">
        <v>2502.33</v>
      </c>
      <c r="K310" s="367">
        <v>0</v>
      </c>
      <c r="L310" s="367">
        <f>IF($H310="",0,VLOOKUP($E310,Plan3!$A$16:$CT$384,$E$7,0)%)</f>
        <v>0</v>
      </c>
      <c r="M310" s="368">
        <f t="shared" si="202"/>
        <v>0</v>
      </c>
      <c r="N310" s="368">
        <f t="shared" si="203"/>
        <v>0</v>
      </c>
      <c r="O310" s="367">
        <v>0</v>
      </c>
      <c r="P310" s="367">
        <f>VLOOKUP($E310,Plan3!$A$492:$P$858,13,0)%</f>
        <v>0</v>
      </c>
      <c r="Q310" s="368">
        <f t="shared" si="204"/>
        <v>0</v>
      </c>
      <c r="R310" s="368">
        <f t="shared" si="205"/>
        <v>0</v>
      </c>
      <c r="S310" s="880">
        <v>2531.3570279999999</v>
      </c>
      <c r="T310" s="880">
        <f t="shared" si="206"/>
        <v>0</v>
      </c>
      <c r="U310" s="880">
        <f>IF($I310="",0,($S310-$T310)*(1+('Econômico Macro'!$R$12/100)))</f>
        <v>2575.1495045844003</v>
      </c>
      <c r="V310" s="880">
        <f t="shared" si="207"/>
        <v>2575.1495045844003</v>
      </c>
      <c r="W310" s="880">
        <f t="shared" si="208"/>
        <v>0</v>
      </c>
      <c r="X310" s="367">
        <f t="shared" si="184"/>
        <v>0</v>
      </c>
      <c r="Y310" s="367">
        <f t="shared" si="185"/>
        <v>0</v>
      </c>
      <c r="Z310" s="367">
        <f t="shared" si="186"/>
        <v>0</v>
      </c>
      <c r="AA310" s="367">
        <f t="shared" si="187"/>
        <v>0</v>
      </c>
      <c r="AB310" s="369" t="str">
        <f t="shared" si="188"/>
        <v>Não Iniciada</v>
      </c>
      <c r="AC310" s="365"/>
      <c r="AD310" s="368">
        <v>1</v>
      </c>
      <c r="AE310" s="368">
        <f t="shared" si="209"/>
        <v>-1</v>
      </c>
      <c r="AF310" s="365"/>
      <c r="AG310" s="863">
        <f t="shared" si="198"/>
        <v>0</v>
      </c>
      <c r="AH310" s="864">
        <f t="shared" si="210"/>
        <v>0</v>
      </c>
      <c r="AI310" s="863">
        <f t="shared" si="199"/>
        <v>0</v>
      </c>
      <c r="AJ310" s="864">
        <f t="shared" si="211"/>
        <v>0</v>
      </c>
      <c r="AK310" s="365"/>
      <c r="AL310" s="865">
        <f t="shared" si="200"/>
        <v>0</v>
      </c>
      <c r="AM310" s="866">
        <f t="shared" si="212"/>
        <v>0</v>
      </c>
      <c r="AN310" s="866">
        <f t="shared" si="213"/>
        <v>0</v>
      </c>
      <c r="AO310" s="866">
        <f t="shared" si="214"/>
        <v>0</v>
      </c>
      <c r="AP310" s="867">
        <f t="shared" si="215"/>
        <v>0</v>
      </c>
      <c r="AQ310" s="591">
        <f t="shared" si="201"/>
        <v>0</v>
      </c>
      <c r="AR310" s="868">
        <f>IF(AND($L310=0,$P310=0)=TRUE,VLOOKUP($E310,Plan3!$A$16:$CT$487,$E$7+3,0)/100,0)</f>
        <v>0</v>
      </c>
      <c r="AS310" s="868">
        <f>IF(AND($L310=0,$P310=0)=TRUE,VLOOKUP($E310,Plan3!$A$16:$CT$487,$E$7+6,0)/100,0)</f>
        <v>0</v>
      </c>
      <c r="AT310" s="868">
        <f>IF(AND($L310=0,$P310=0)=TRUE,VLOOKUP($E310,Plan3!$A$16:$CT$487,$E$7+9,0)/100,0)</f>
        <v>0</v>
      </c>
      <c r="AU310" s="868">
        <f>IF(AND($L310=0,$P310=0)=TRUE,VLOOKUP($E310,Plan3!$A$16:$CT$487,$E$7+12,0)/100,0)</f>
        <v>0</v>
      </c>
      <c r="AV310" s="841"/>
      <c r="AW310" s="869">
        <f t="shared" si="220"/>
        <v>0</v>
      </c>
      <c r="AX310" s="870">
        <f t="shared" si="221"/>
        <v>0</v>
      </c>
      <c r="AY310" s="871">
        <f t="shared" si="222"/>
        <v>0</v>
      </c>
      <c r="AZ310" s="237" t="str">
        <f t="shared" si="189"/>
        <v xml:space="preserve">18.002.000.002 </v>
      </c>
      <c r="BA310" s="365"/>
      <c r="BB310" s="365"/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872">
        <f t="shared" si="190"/>
        <v>0</v>
      </c>
      <c r="BM310" s="873">
        <f t="shared" si="191"/>
        <v>0</v>
      </c>
      <c r="BN310" s="874">
        <f t="shared" si="216"/>
        <v>0</v>
      </c>
      <c r="BO310" s="875">
        <f t="shared" si="192"/>
        <v>0</v>
      </c>
      <c r="BP310" s="875">
        <f t="shared" si="193"/>
        <v>0</v>
      </c>
      <c r="BQ310" s="876">
        <f t="shared" si="217"/>
        <v>0</v>
      </c>
      <c r="BR310" s="877">
        <f t="shared" si="218"/>
        <v>0</v>
      </c>
      <c r="BS310" s="875">
        <f t="shared" si="194"/>
        <v>0</v>
      </c>
      <c r="BT310" s="875">
        <f t="shared" si="195"/>
        <v>0</v>
      </c>
      <c r="BU310" s="878">
        <f t="shared" si="219"/>
        <v>0</v>
      </c>
      <c r="CE310" s="486">
        <v>296</v>
      </c>
    </row>
    <row r="311" spans="1:83" s="177" customFormat="1" ht="21.95" customHeight="1" x14ac:dyDescent="0.2">
      <c r="A311" s="237">
        <f t="shared" si="196"/>
        <v>0</v>
      </c>
      <c r="B311" s="237">
        <f t="shared" si="197"/>
        <v>0</v>
      </c>
      <c r="C311" s="393">
        <f t="shared" si="182"/>
        <v>0</v>
      </c>
      <c r="D311" s="393" t="str">
        <f t="shared" si="183"/>
        <v xml:space="preserve">18 </v>
      </c>
      <c r="E311" s="959" t="s">
        <v>800</v>
      </c>
      <c r="F311" s="959" t="s">
        <v>2311</v>
      </c>
      <c r="G311" s="959" t="s">
        <v>8</v>
      </c>
      <c r="H311" s="970">
        <v>49</v>
      </c>
      <c r="I311" s="965">
        <v>309.23</v>
      </c>
      <c r="J311" s="962">
        <v>15152.27</v>
      </c>
      <c r="K311" s="367">
        <v>0</v>
      </c>
      <c r="L311" s="367">
        <f>IF($H311="",0,VLOOKUP($E311,Plan3!$A$16:$CT$384,$E$7,0)%)</f>
        <v>0</v>
      </c>
      <c r="M311" s="368">
        <f t="shared" si="202"/>
        <v>0</v>
      </c>
      <c r="N311" s="368">
        <f t="shared" si="203"/>
        <v>0</v>
      </c>
      <c r="O311" s="367">
        <v>0</v>
      </c>
      <c r="P311" s="367">
        <f>VLOOKUP($E311,Plan3!$A$492:$P$858,13,0)%</f>
        <v>0</v>
      </c>
      <c r="Q311" s="368">
        <f t="shared" si="204"/>
        <v>0</v>
      </c>
      <c r="R311" s="368">
        <f t="shared" si="205"/>
        <v>0</v>
      </c>
      <c r="S311" s="880">
        <v>15328.036332000001</v>
      </c>
      <c r="T311" s="880">
        <f t="shared" si="206"/>
        <v>0</v>
      </c>
      <c r="U311" s="880">
        <f>IF($I311="",0,($S311-$T311)*(1+('Econômico Macro'!$R$12/100)))</f>
        <v>15593.211360543602</v>
      </c>
      <c r="V311" s="880">
        <f t="shared" si="207"/>
        <v>15593.211360543602</v>
      </c>
      <c r="W311" s="880">
        <f t="shared" si="208"/>
        <v>0</v>
      </c>
      <c r="X311" s="367">
        <f t="shared" si="184"/>
        <v>0</v>
      </c>
      <c r="Y311" s="367">
        <f t="shared" si="185"/>
        <v>0</v>
      </c>
      <c r="Z311" s="367">
        <f t="shared" si="186"/>
        <v>0</v>
      </c>
      <c r="AA311" s="367">
        <f t="shared" si="187"/>
        <v>0</v>
      </c>
      <c r="AB311" s="369" t="str">
        <f t="shared" si="188"/>
        <v>Não Iniciada</v>
      </c>
      <c r="AC311" s="365"/>
      <c r="AD311" s="368">
        <v>1</v>
      </c>
      <c r="AE311" s="368">
        <f t="shared" si="209"/>
        <v>-1</v>
      </c>
      <c r="AF311" s="365"/>
      <c r="AG311" s="863">
        <f t="shared" si="198"/>
        <v>0</v>
      </c>
      <c r="AH311" s="864">
        <f t="shared" si="210"/>
        <v>0</v>
      </c>
      <c r="AI311" s="863">
        <f t="shared" si="199"/>
        <v>0</v>
      </c>
      <c r="AJ311" s="864">
        <f t="shared" si="211"/>
        <v>0</v>
      </c>
      <c r="AK311" s="365"/>
      <c r="AL311" s="865">
        <f t="shared" si="200"/>
        <v>0</v>
      </c>
      <c r="AM311" s="866">
        <f t="shared" si="212"/>
        <v>0</v>
      </c>
      <c r="AN311" s="866">
        <f t="shared" si="213"/>
        <v>0</v>
      </c>
      <c r="AO311" s="866">
        <f t="shared" si="214"/>
        <v>0</v>
      </c>
      <c r="AP311" s="867">
        <f t="shared" si="215"/>
        <v>0</v>
      </c>
      <c r="AQ311" s="591">
        <f t="shared" si="201"/>
        <v>0</v>
      </c>
      <c r="AR311" s="868">
        <f>IF(AND($L311=0,$P311=0)=TRUE,VLOOKUP($E311,Plan3!$A$16:$CT$487,$E$7+3,0)/100,0)</f>
        <v>0</v>
      </c>
      <c r="AS311" s="868">
        <f>IF(AND($L311=0,$P311=0)=TRUE,VLOOKUP($E311,Plan3!$A$16:$CT$487,$E$7+6,0)/100,0)</f>
        <v>0</v>
      </c>
      <c r="AT311" s="868">
        <f>IF(AND($L311=0,$P311=0)=TRUE,VLOOKUP($E311,Plan3!$A$16:$CT$487,$E$7+9,0)/100,0)</f>
        <v>0</v>
      </c>
      <c r="AU311" s="868">
        <f>IF(AND($L311=0,$P311=0)=TRUE,VLOOKUP($E311,Plan3!$A$16:$CT$487,$E$7+12,0)/100,0)</f>
        <v>0</v>
      </c>
      <c r="AV311" s="841"/>
      <c r="AW311" s="869">
        <f t="shared" si="220"/>
        <v>0</v>
      </c>
      <c r="AX311" s="870">
        <f t="shared" si="221"/>
        <v>0</v>
      </c>
      <c r="AY311" s="871">
        <f t="shared" si="222"/>
        <v>0</v>
      </c>
      <c r="AZ311" s="237" t="str">
        <f t="shared" si="189"/>
        <v xml:space="preserve">18.002.000.003 </v>
      </c>
      <c r="BA311" s="365"/>
      <c r="BB311" s="365"/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872">
        <f t="shared" si="190"/>
        <v>0</v>
      </c>
      <c r="BM311" s="873">
        <f t="shared" si="191"/>
        <v>0</v>
      </c>
      <c r="BN311" s="874">
        <f t="shared" si="216"/>
        <v>0</v>
      </c>
      <c r="BO311" s="875">
        <f t="shared" si="192"/>
        <v>0</v>
      </c>
      <c r="BP311" s="875">
        <f t="shared" si="193"/>
        <v>0</v>
      </c>
      <c r="BQ311" s="876">
        <f t="shared" si="217"/>
        <v>0</v>
      </c>
      <c r="BR311" s="877">
        <f t="shared" si="218"/>
        <v>0</v>
      </c>
      <c r="BS311" s="875">
        <f t="shared" si="194"/>
        <v>0</v>
      </c>
      <c r="BT311" s="875">
        <f t="shared" si="195"/>
        <v>0</v>
      </c>
      <c r="BU311" s="878">
        <f t="shared" si="219"/>
        <v>0</v>
      </c>
      <c r="CE311" s="486">
        <v>297</v>
      </c>
    </row>
    <row r="312" spans="1:83" s="177" customFormat="1" ht="21.95" customHeight="1" x14ac:dyDescent="0.2">
      <c r="A312" s="237">
        <f t="shared" si="196"/>
        <v>0</v>
      </c>
      <c r="B312" s="237">
        <f t="shared" si="197"/>
        <v>0</v>
      </c>
      <c r="C312" s="393">
        <f t="shared" si="182"/>
        <v>0</v>
      </c>
      <c r="D312" s="393" t="str">
        <f t="shared" si="183"/>
        <v xml:space="preserve">18 </v>
      </c>
      <c r="E312" s="967" t="s">
        <v>801</v>
      </c>
      <c r="F312" s="967" t="s">
        <v>698</v>
      </c>
      <c r="G312" s="967"/>
      <c r="H312" s="968"/>
      <c r="I312" s="968"/>
      <c r="J312" s="974">
        <v>2493.14</v>
      </c>
      <c r="K312" s="367">
        <v>0</v>
      </c>
      <c r="L312" s="367">
        <f>IF($H312="",0,VLOOKUP($E312,Plan3!$A$16:$CT$384,$E$7,0)%)</f>
        <v>0</v>
      </c>
      <c r="M312" s="368">
        <f t="shared" si="202"/>
        <v>0</v>
      </c>
      <c r="N312" s="368">
        <f t="shared" si="203"/>
        <v>0</v>
      </c>
      <c r="O312" s="367">
        <v>0</v>
      </c>
      <c r="P312" s="367">
        <f>VLOOKUP($E312,Plan3!$A$492:$P$858,13,0)%</f>
        <v>0</v>
      </c>
      <c r="Q312" s="368">
        <f t="shared" si="204"/>
        <v>0</v>
      </c>
      <c r="R312" s="368">
        <f t="shared" si="205"/>
        <v>0</v>
      </c>
      <c r="S312" s="880">
        <v>0</v>
      </c>
      <c r="T312" s="880">
        <f t="shared" si="206"/>
        <v>0</v>
      </c>
      <c r="U312" s="880">
        <f>IF($I312="",0,($S312-$T312)*(1+('Econômico Macro'!$R$12/100)))</f>
        <v>0</v>
      </c>
      <c r="V312" s="880">
        <f t="shared" si="207"/>
        <v>0</v>
      </c>
      <c r="W312" s="880">
        <f t="shared" si="208"/>
        <v>0</v>
      </c>
      <c r="X312" s="367">
        <f t="shared" si="184"/>
        <v>0</v>
      </c>
      <c r="Y312" s="367">
        <f t="shared" si="185"/>
        <v>0</v>
      </c>
      <c r="Z312" s="367">
        <f t="shared" si="186"/>
        <v>0</v>
      </c>
      <c r="AA312" s="367">
        <f t="shared" si="187"/>
        <v>0</v>
      </c>
      <c r="AB312" s="369" t="str">
        <f t="shared" si="188"/>
        <v>Não Iniciada</v>
      </c>
      <c r="AC312" s="365"/>
      <c r="AD312" s="368">
        <v>1</v>
      </c>
      <c r="AE312" s="368">
        <f t="shared" si="209"/>
        <v>-1</v>
      </c>
      <c r="AF312" s="365"/>
      <c r="AG312" s="863">
        <f t="shared" si="198"/>
        <v>0</v>
      </c>
      <c r="AH312" s="864">
        <f t="shared" si="210"/>
        <v>0</v>
      </c>
      <c r="AI312" s="863">
        <f t="shared" si="199"/>
        <v>0</v>
      </c>
      <c r="AJ312" s="864">
        <f t="shared" si="211"/>
        <v>0</v>
      </c>
      <c r="AK312" s="365"/>
      <c r="AL312" s="865">
        <f t="shared" si="200"/>
        <v>0</v>
      </c>
      <c r="AM312" s="866">
        <f t="shared" si="212"/>
        <v>0</v>
      </c>
      <c r="AN312" s="866">
        <f t="shared" si="213"/>
        <v>0</v>
      </c>
      <c r="AO312" s="866">
        <f t="shared" si="214"/>
        <v>0</v>
      </c>
      <c r="AP312" s="867">
        <f t="shared" si="215"/>
        <v>0</v>
      </c>
      <c r="AQ312" s="591"/>
      <c r="AR312" s="868"/>
      <c r="AS312" s="868"/>
      <c r="AT312" s="868"/>
      <c r="AU312" s="868"/>
      <c r="AV312" s="841"/>
      <c r="AW312" s="869"/>
      <c r="AX312" s="870"/>
      <c r="AY312" s="871"/>
      <c r="AZ312" s="237" t="str">
        <f t="shared" si="189"/>
        <v xml:space="preserve">18.003 </v>
      </c>
      <c r="BA312" s="365"/>
      <c r="BB312" s="365"/>
      <c r="BC312" s="365"/>
      <c r="BD312" s="365"/>
      <c r="BE312" s="365"/>
      <c r="BF312" s="365"/>
      <c r="BG312" s="365"/>
      <c r="BH312" s="365"/>
      <c r="BI312" s="365"/>
      <c r="BJ312" s="365"/>
      <c r="BK312" s="365"/>
      <c r="BL312" s="872">
        <f t="shared" si="190"/>
        <v>0</v>
      </c>
      <c r="BM312" s="873">
        <f t="shared" si="191"/>
        <v>0</v>
      </c>
      <c r="BN312" s="874">
        <f t="shared" si="216"/>
        <v>0</v>
      </c>
      <c r="BO312" s="875">
        <f t="shared" si="192"/>
        <v>0</v>
      </c>
      <c r="BP312" s="875">
        <f t="shared" si="193"/>
        <v>0</v>
      </c>
      <c r="BQ312" s="876">
        <f t="shared" si="217"/>
        <v>0</v>
      </c>
      <c r="BR312" s="877">
        <f t="shared" si="218"/>
        <v>0</v>
      </c>
      <c r="BS312" s="875">
        <f t="shared" si="194"/>
        <v>0</v>
      </c>
      <c r="BT312" s="875">
        <f t="shared" si="195"/>
        <v>0</v>
      </c>
      <c r="BU312" s="878">
        <f t="shared" si="219"/>
        <v>0</v>
      </c>
      <c r="CE312" s="486">
        <v>298</v>
      </c>
    </row>
    <row r="313" spans="1:83" s="177" customFormat="1" ht="21.95" customHeight="1" x14ac:dyDescent="0.2">
      <c r="A313" s="237">
        <f t="shared" si="196"/>
        <v>0</v>
      </c>
      <c r="B313" s="237">
        <f t="shared" si="197"/>
        <v>0</v>
      </c>
      <c r="C313" s="393">
        <f t="shared" si="182"/>
        <v>0</v>
      </c>
      <c r="D313" s="393" t="str">
        <f t="shared" si="183"/>
        <v xml:space="preserve">18 </v>
      </c>
      <c r="E313" s="959" t="s">
        <v>802</v>
      </c>
      <c r="F313" s="959" t="s">
        <v>2312</v>
      </c>
      <c r="G313" s="959" t="s">
        <v>8</v>
      </c>
      <c r="H313" s="970">
        <v>13</v>
      </c>
      <c r="I313" s="965">
        <v>191.78</v>
      </c>
      <c r="J313" s="964">
        <v>2493.14</v>
      </c>
      <c r="K313" s="367">
        <v>0</v>
      </c>
      <c r="L313" s="367">
        <f>IF($H313="",0,VLOOKUP($E313,Plan3!$A$16:$CT$384,$E$7,0)%)</f>
        <v>0</v>
      </c>
      <c r="M313" s="368">
        <f t="shared" si="202"/>
        <v>0</v>
      </c>
      <c r="N313" s="368">
        <f t="shared" si="203"/>
        <v>0</v>
      </c>
      <c r="O313" s="367">
        <v>0</v>
      </c>
      <c r="P313" s="367">
        <f>VLOOKUP($E313,Plan3!$A$492:$P$858,13,0)%</f>
        <v>0</v>
      </c>
      <c r="Q313" s="368">
        <f t="shared" si="204"/>
        <v>0</v>
      </c>
      <c r="R313" s="368">
        <f t="shared" si="205"/>
        <v>0</v>
      </c>
      <c r="S313" s="880">
        <v>2522.0604239999998</v>
      </c>
      <c r="T313" s="880">
        <f t="shared" si="206"/>
        <v>0</v>
      </c>
      <c r="U313" s="880">
        <f>IF($I313="",0,($S313-$T313)*(1+('Econômico Macro'!$R$12/100)))</f>
        <v>2565.6920693351999</v>
      </c>
      <c r="V313" s="880">
        <f t="shared" si="207"/>
        <v>2565.6920693351999</v>
      </c>
      <c r="W313" s="880">
        <f t="shared" si="208"/>
        <v>0</v>
      </c>
      <c r="X313" s="367">
        <f t="shared" si="184"/>
        <v>0</v>
      </c>
      <c r="Y313" s="367">
        <f t="shared" si="185"/>
        <v>0</v>
      </c>
      <c r="Z313" s="367">
        <f t="shared" si="186"/>
        <v>0</v>
      </c>
      <c r="AA313" s="367">
        <f t="shared" si="187"/>
        <v>0</v>
      </c>
      <c r="AB313" s="369" t="str">
        <f t="shared" si="188"/>
        <v>Não Iniciada</v>
      </c>
      <c r="AC313" s="365"/>
      <c r="AD313" s="368">
        <v>1</v>
      </c>
      <c r="AE313" s="368">
        <f t="shared" si="209"/>
        <v>-1</v>
      </c>
      <c r="AF313" s="365"/>
      <c r="AG313" s="863">
        <f t="shared" si="198"/>
        <v>0</v>
      </c>
      <c r="AH313" s="864">
        <f t="shared" si="210"/>
        <v>0</v>
      </c>
      <c r="AI313" s="863">
        <f t="shared" si="199"/>
        <v>0</v>
      </c>
      <c r="AJ313" s="864">
        <f t="shared" si="211"/>
        <v>0</v>
      </c>
      <c r="AK313" s="365"/>
      <c r="AL313" s="865">
        <f t="shared" si="200"/>
        <v>0</v>
      </c>
      <c r="AM313" s="866">
        <f t="shared" si="212"/>
        <v>0</v>
      </c>
      <c r="AN313" s="866">
        <f t="shared" si="213"/>
        <v>0</v>
      </c>
      <c r="AO313" s="866">
        <f t="shared" si="214"/>
        <v>0</v>
      </c>
      <c r="AP313" s="867">
        <f t="shared" si="215"/>
        <v>0</v>
      </c>
      <c r="AQ313" s="591">
        <f t="shared" si="201"/>
        <v>0</v>
      </c>
      <c r="AR313" s="868">
        <f>IF(AND($L313=0,$P313=0)=TRUE,VLOOKUP($E313,Plan3!$A$16:$CT$487,$E$7+3,0)/100,0)</f>
        <v>0</v>
      </c>
      <c r="AS313" s="868">
        <f>IF(AND($L313=0,$P313=0)=TRUE,VLOOKUP($E313,Plan3!$A$16:$CT$487,$E$7+6,0)/100,0)</f>
        <v>0</v>
      </c>
      <c r="AT313" s="868">
        <f>IF(AND($L313=0,$P313=0)=TRUE,VLOOKUP($E313,Plan3!$A$16:$CT$487,$E$7+9,0)/100,0)</f>
        <v>0</v>
      </c>
      <c r="AU313" s="868">
        <f>IF(AND($L313=0,$P313=0)=TRUE,VLOOKUP($E313,Plan3!$A$16:$CT$487,$E$7+12,0)/100,0)</f>
        <v>0</v>
      </c>
      <c r="AV313" s="841"/>
      <c r="AW313" s="869">
        <f t="shared" si="220"/>
        <v>0</v>
      </c>
      <c r="AX313" s="870">
        <f t="shared" si="221"/>
        <v>0</v>
      </c>
      <c r="AY313" s="871">
        <f t="shared" si="222"/>
        <v>0</v>
      </c>
      <c r="AZ313" s="237" t="str">
        <f t="shared" si="189"/>
        <v xml:space="preserve">18.003.000.001 </v>
      </c>
      <c r="BA313" s="365"/>
      <c r="BB313" s="365"/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872">
        <f t="shared" si="190"/>
        <v>0</v>
      </c>
      <c r="BM313" s="873">
        <f t="shared" si="191"/>
        <v>0</v>
      </c>
      <c r="BN313" s="874">
        <f t="shared" si="216"/>
        <v>0</v>
      </c>
      <c r="BO313" s="875">
        <f t="shared" si="192"/>
        <v>0</v>
      </c>
      <c r="BP313" s="875">
        <f t="shared" si="193"/>
        <v>0</v>
      </c>
      <c r="BQ313" s="876">
        <f t="shared" si="217"/>
        <v>0</v>
      </c>
      <c r="BR313" s="877">
        <f t="shared" si="218"/>
        <v>0</v>
      </c>
      <c r="BS313" s="875">
        <f t="shared" si="194"/>
        <v>0</v>
      </c>
      <c r="BT313" s="875">
        <f t="shared" si="195"/>
        <v>0</v>
      </c>
      <c r="BU313" s="878">
        <f t="shared" si="219"/>
        <v>0</v>
      </c>
      <c r="CE313" s="486">
        <v>299</v>
      </c>
    </row>
    <row r="314" spans="1:83" s="177" customFormat="1" ht="21.95" customHeight="1" x14ac:dyDescent="0.2">
      <c r="A314" s="237">
        <f t="shared" si="196"/>
        <v>0</v>
      </c>
      <c r="B314" s="237">
        <f t="shared" si="197"/>
        <v>0</v>
      </c>
      <c r="C314" s="393">
        <f t="shared" si="182"/>
        <v>0</v>
      </c>
      <c r="D314" s="393" t="str">
        <f t="shared" si="183"/>
        <v xml:space="preserve">18 </v>
      </c>
      <c r="E314" s="967" t="s">
        <v>803</v>
      </c>
      <c r="F314" s="967" t="s">
        <v>701</v>
      </c>
      <c r="G314" s="967"/>
      <c r="H314" s="968"/>
      <c r="I314" s="968"/>
      <c r="J314" s="975">
        <v>957.58</v>
      </c>
      <c r="K314" s="367">
        <v>0</v>
      </c>
      <c r="L314" s="367">
        <f>IF($H314="",0,VLOOKUP($E314,Plan3!$A$16:$CT$384,$E$7,0)%)</f>
        <v>0</v>
      </c>
      <c r="M314" s="368">
        <f t="shared" si="202"/>
        <v>0</v>
      </c>
      <c r="N314" s="368">
        <f t="shared" si="203"/>
        <v>0</v>
      </c>
      <c r="O314" s="367">
        <v>0</v>
      </c>
      <c r="P314" s="367">
        <f>VLOOKUP($E314,Plan3!$A$492:$P$858,13,0)%</f>
        <v>0</v>
      </c>
      <c r="Q314" s="368">
        <f t="shared" si="204"/>
        <v>0</v>
      </c>
      <c r="R314" s="368">
        <f t="shared" si="205"/>
        <v>0</v>
      </c>
      <c r="S314" s="880">
        <v>0</v>
      </c>
      <c r="T314" s="880">
        <f t="shared" si="206"/>
        <v>0</v>
      </c>
      <c r="U314" s="880">
        <f>IF($I314="",0,($S314-$T314)*(1+('Econômico Macro'!$R$12/100)))</f>
        <v>0</v>
      </c>
      <c r="V314" s="880">
        <f t="shared" si="207"/>
        <v>0</v>
      </c>
      <c r="W314" s="880">
        <f t="shared" si="208"/>
        <v>0</v>
      </c>
      <c r="X314" s="367">
        <f t="shared" si="184"/>
        <v>0</v>
      </c>
      <c r="Y314" s="367">
        <f t="shared" si="185"/>
        <v>0</v>
      </c>
      <c r="Z314" s="367">
        <f t="shared" si="186"/>
        <v>0</v>
      </c>
      <c r="AA314" s="367">
        <f t="shared" si="187"/>
        <v>0</v>
      </c>
      <c r="AB314" s="369" t="str">
        <f t="shared" si="188"/>
        <v>Não Iniciada</v>
      </c>
      <c r="AC314" s="365"/>
      <c r="AD314" s="368">
        <v>1</v>
      </c>
      <c r="AE314" s="368">
        <f t="shared" si="209"/>
        <v>-1</v>
      </c>
      <c r="AF314" s="365"/>
      <c r="AG314" s="863">
        <f t="shared" si="198"/>
        <v>0</v>
      </c>
      <c r="AH314" s="864">
        <f t="shared" si="210"/>
        <v>0</v>
      </c>
      <c r="AI314" s="863">
        <f t="shared" si="199"/>
        <v>0</v>
      </c>
      <c r="AJ314" s="864">
        <f t="shared" si="211"/>
        <v>0</v>
      </c>
      <c r="AK314" s="365"/>
      <c r="AL314" s="865">
        <f t="shared" si="200"/>
        <v>0</v>
      </c>
      <c r="AM314" s="866">
        <f t="shared" si="212"/>
        <v>0</v>
      </c>
      <c r="AN314" s="866">
        <f t="shared" si="213"/>
        <v>0</v>
      </c>
      <c r="AO314" s="866">
        <f t="shared" si="214"/>
        <v>0</v>
      </c>
      <c r="AP314" s="867">
        <f t="shared" si="215"/>
        <v>0</v>
      </c>
      <c r="AQ314" s="591"/>
      <c r="AR314" s="868"/>
      <c r="AS314" s="868"/>
      <c r="AT314" s="868"/>
      <c r="AU314" s="868"/>
      <c r="AV314" s="841"/>
      <c r="AW314" s="869"/>
      <c r="AX314" s="870"/>
      <c r="AY314" s="871"/>
      <c r="AZ314" s="237" t="str">
        <f t="shared" si="189"/>
        <v xml:space="preserve">18.004 </v>
      </c>
      <c r="BA314" s="365"/>
      <c r="BB314" s="365"/>
      <c r="BC314" s="365"/>
      <c r="BD314" s="365"/>
      <c r="BE314" s="365"/>
      <c r="BF314" s="365"/>
      <c r="BG314" s="365"/>
      <c r="BH314" s="365"/>
      <c r="BI314" s="365"/>
      <c r="BJ314" s="365"/>
      <c r="BK314" s="365"/>
      <c r="BL314" s="872">
        <f t="shared" si="190"/>
        <v>0</v>
      </c>
      <c r="BM314" s="873">
        <f t="shared" si="191"/>
        <v>0</v>
      </c>
      <c r="BN314" s="874">
        <f t="shared" si="216"/>
        <v>0</v>
      </c>
      <c r="BO314" s="875">
        <f t="shared" si="192"/>
        <v>0</v>
      </c>
      <c r="BP314" s="875">
        <f t="shared" si="193"/>
        <v>0</v>
      </c>
      <c r="BQ314" s="876">
        <f t="shared" si="217"/>
        <v>0</v>
      </c>
      <c r="BR314" s="877">
        <f t="shared" si="218"/>
        <v>0</v>
      </c>
      <c r="BS314" s="875">
        <f t="shared" si="194"/>
        <v>0</v>
      </c>
      <c r="BT314" s="875">
        <f t="shared" si="195"/>
        <v>0</v>
      </c>
      <c r="BU314" s="878">
        <f t="shared" si="219"/>
        <v>0</v>
      </c>
      <c r="CE314" s="486">
        <v>300</v>
      </c>
    </row>
    <row r="315" spans="1:83" s="177" customFormat="1" ht="21.95" customHeight="1" x14ac:dyDescent="0.2">
      <c r="A315" s="237">
        <f t="shared" si="196"/>
        <v>0</v>
      </c>
      <c r="B315" s="237">
        <f t="shared" si="197"/>
        <v>0</v>
      </c>
      <c r="C315" s="393">
        <f t="shared" si="182"/>
        <v>0</v>
      </c>
      <c r="D315" s="393" t="str">
        <f t="shared" si="183"/>
        <v xml:space="preserve">18 </v>
      </c>
      <c r="E315" s="959" t="s">
        <v>804</v>
      </c>
      <c r="F315" s="959" t="s">
        <v>2130</v>
      </c>
      <c r="G315" s="959" t="s">
        <v>8</v>
      </c>
      <c r="H315" s="970">
        <v>13</v>
      </c>
      <c r="I315" s="970">
        <v>73.66</v>
      </c>
      <c r="J315" s="966">
        <v>957.58</v>
      </c>
      <c r="K315" s="367">
        <v>0</v>
      </c>
      <c r="L315" s="367">
        <f>IF($H315="",0,VLOOKUP($E315,Plan3!$A$16:$CT$384,$E$7,0)%)</f>
        <v>0</v>
      </c>
      <c r="M315" s="368">
        <f t="shared" si="202"/>
        <v>0</v>
      </c>
      <c r="N315" s="368">
        <f t="shared" si="203"/>
        <v>0</v>
      </c>
      <c r="O315" s="367">
        <v>0</v>
      </c>
      <c r="P315" s="367">
        <f>VLOOKUP($E315,Plan3!$A$492:$P$858,13,0)%</f>
        <v>0</v>
      </c>
      <c r="Q315" s="368">
        <f t="shared" si="204"/>
        <v>0</v>
      </c>
      <c r="R315" s="368">
        <f t="shared" si="205"/>
        <v>0</v>
      </c>
      <c r="S315" s="880">
        <v>968.68792800000006</v>
      </c>
      <c r="T315" s="880">
        <f t="shared" si="206"/>
        <v>0</v>
      </c>
      <c r="U315" s="880">
        <f>IF($I315="",0,($S315-$T315)*(1+('Econômico Macro'!$R$12/100)))</f>
        <v>985.44622915440016</v>
      </c>
      <c r="V315" s="880">
        <f t="shared" si="207"/>
        <v>985.44622915440016</v>
      </c>
      <c r="W315" s="880">
        <f t="shared" si="208"/>
        <v>0</v>
      </c>
      <c r="X315" s="367">
        <f t="shared" si="184"/>
        <v>0</v>
      </c>
      <c r="Y315" s="367">
        <f t="shared" si="185"/>
        <v>0</v>
      </c>
      <c r="Z315" s="367">
        <f t="shared" si="186"/>
        <v>0</v>
      </c>
      <c r="AA315" s="367">
        <f t="shared" si="187"/>
        <v>0</v>
      </c>
      <c r="AB315" s="369" t="str">
        <f t="shared" si="188"/>
        <v>Não Iniciada</v>
      </c>
      <c r="AC315" s="365"/>
      <c r="AD315" s="368">
        <v>1</v>
      </c>
      <c r="AE315" s="368">
        <f t="shared" si="209"/>
        <v>-1</v>
      </c>
      <c r="AF315" s="365"/>
      <c r="AG315" s="863">
        <f t="shared" si="198"/>
        <v>0</v>
      </c>
      <c r="AH315" s="864">
        <f t="shared" si="210"/>
        <v>0</v>
      </c>
      <c r="AI315" s="863">
        <f t="shared" si="199"/>
        <v>0</v>
      </c>
      <c r="AJ315" s="864">
        <f t="shared" si="211"/>
        <v>0</v>
      </c>
      <c r="AK315" s="365"/>
      <c r="AL315" s="865">
        <f t="shared" si="200"/>
        <v>0</v>
      </c>
      <c r="AM315" s="866">
        <f t="shared" si="212"/>
        <v>0</v>
      </c>
      <c r="AN315" s="866">
        <f t="shared" si="213"/>
        <v>0</v>
      </c>
      <c r="AO315" s="866">
        <f t="shared" si="214"/>
        <v>0</v>
      </c>
      <c r="AP315" s="867">
        <f t="shared" si="215"/>
        <v>0</v>
      </c>
      <c r="AQ315" s="591">
        <f t="shared" si="201"/>
        <v>0</v>
      </c>
      <c r="AR315" s="868">
        <f>IF(AND($L315=0,$P315=0)=TRUE,VLOOKUP($E315,Plan3!$A$16:$CT$487,$E$7+3,0)/100,0)</f>
        <v>0</v>
      </c>
      <c r="AS315" s="868">
        <f>IF(AND($L315=0,$P315=0)=TRUE,VLOOKUP($E315,Plan3!$A$16:$CT$487,$E$7+6,0)/100,0)</f>
        <v>0</v>
      </c>
      <c r="AT315" s="868">
        <f>IF(AND($L315=0,$P315=0)=TRUE,VLOOKUP($E315,Plan3!$A$16:$CT$487,$E$7+9,0)/100,0)</f>
        <v>0</v>
      </c>
      <c r="AU315" s="868">
        <f>IF(AND($L315=0,$P315=0)=TRUE,VLOOKUP($E315,Plan3!$A$16:$CT$487,$E$7+12,0)/100,0)</f>
        <v>0</v>
      </c>
      <c r="AV315" s="841"/>
      <c r="AW315" s="869">
        <f t="shared" si="220"/>
        <v>0</v>
      </c>
      <c r="AX315" s="870">
        <f t="shared" si="221"/>
        <v>0</v>
      </c>
      <c r="AY315" s="871">
        <f t="shared" si="222"/>
        <v>0</v>
      </c>
      <c r="AZ315" s="237" t="str">
        <f t="shared" si="189"/>
        <v xml:space="preserve">18.004.000.001 </v>
      </c>
      <c r="BA315" s="365"/>
      <c r="BB315" s="365"/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872">
        <f t="shared" si="190"/>
        <v>0</v>
      </c>
      <c r="BM315" s="873">
        <f t="shared" si="191"/>
        <v>0</v>
      </c>
      <c r="BN315" s="874">
        <f t="shared" si="216"/>
        <v>0</v>
      </c>
      <c r="BO315" s="875">
        <f t="shared" si="192"/>
        <v>0</v>
      </c>
      <c r="BP315" s="875">
        <f t="shared" si="193"/>
        <v>0</v>
      </c>
      <c r="BQ315" s="876">
        <f t="shared" si="217"/>
        <v>0</v>
      </c>
      <c r="BR315" s="877">
        <f t="shared" si="218"/>
        <v>0</v>
      </c>
      <c r="BS315" s="875">
        <f t="shared" si="194"/>
        <v>0</v>
      </c>
      <c r="BT315" s="875">
        <f t="shared" si="195"/>
        <v>0</v>
      </c>
      <c r="BU315" s="878">
        <f t="shared" si="219"/>
        <v>0</v>
      </c>
      <c r="CE315" s="486">
        <v>301</v>
      </c>
    </row>
    <row r="316" spans="1:83" s="177" customFormat="1" ht="21.95" customHeight="1" x14ac:dyDescent="0.2">
      <c r="A316" s="237">
        <f t="shared" si="196"/>
        <v>0</v>
      </c>
      <c r="B316" s="237">
        <f t="shared" si="197"/>
        <v>0</v>
      </c>
      <c r="C316" s="393">
        <f t="shared" si="182"/>
        <v>0</v>
      </c>
      <c r="D316" s="393" t="str">
        <f t="shared" si="183"/>
        <v xml:space="preserve">18 </v>
      </c>
      <c r="E316" s="967" t="s">
        <v>805</v>
      </c>
      <c r="F316" s="967" t="s">
        <v>705</v>
      </c>
      <c r="G316" s="967"/>
      <c r="H316" s="968"/>
      <c r="I316" s="968"/>
      <c r="J316" s="969">
        <v>28776.17</v>
      </c>
      <c r="K316" s="367">
        <v>0</v>
      </c>
      <c r="L316" s="367">
        <f>IF($H316="",0,VLOOKUP($E316,Plan3!$A$16:$CT$384,$E$7,0)%)</f>
        <v>0</v>
      </c>
      <c r="M316" s="368">
        <f t="shared" si="202"/>
        <v>0</v>
      </c>
      <c r="N316" s="368">
        <f t="shared" si="203"/>
        <v>0</v>
      </c>
      <c r="O316" s="367">
        <v>0</v>
      </c>
      <c r="P316" s="367">
        <f>VLOOKUP($E316,Plan3!$A$492:$P$858,13,0)%</f>
        <v>0</v>
      </c>
      <c r="Q316" s="368">
        <f t="shared" si="204"/>
        <v>0</v>
      </c>
      <c r="R316" s="368">
        <f t="shared" si="205"/>
        <v>0</v>
      </c>
      <c r="S316" s="880">
        <v>0</v>
      </c>
      <c r="T316" s="880">
        <f t="shared" si="206"/>
        <v>0</v>
      </c>
      <c r="U316" s="880">
        <f>IF($I316="",0,($S316-$T316)*(1+('Econômico Macro'!$R$12/100)))</f>
        <v>0</v>
      </c>
      <c r="V316" s="880">
        <f t="shared" si="207"/>
        <v>0</v>
      </c>
      <c r="W316" s="880">
        <f t="shared" si="208"/>
        <v>0</v>
      </c>
      <c r="X316" s="367">
        <f t="shared" si="184"/>
        <v>0</v>
      </c>
      <c r="Y316" s="367">
        <f t="shared" si="185"/>
        <v>0</v>
      </c>
      <c r="Z316" s="367">
        <f t="shared" si="186"/>
        <v>0</v>
      </c>
      <c r="AA316" s="367">
        <f t="shared" si="187"/>
        <v>0</v>
      </c>
      <c r="AB316" s="369" t="str">
        <f t="shared" si="188"/>
        <v>Não Iniciada</v>
      </c>
      <c r="AC316" s="365"/>
      <c r="AD316" s="368">
        <v>1</v>
      </c>
      <c r="AE316" s="368">
        <f t="shared" si="209"/>
        <v>-1</v>
      </c>
      <c r="AF316" s="365"/>
      <c r="AG316" s="863">
        <f t="shared" si="198"/>
        <v>0</v>
      </c>
      <c r="AH316" s="864">
        <f t="shared" si="210"/>
        <v>0</v>
      </c>
      <c r="AI316" s="863">
        <f t="shared" si="199"/>
        <v>0</v>
      </c>
      <c r="AJ316" s="864">
        <f t="shared" si="211"/>
        <v>0</v>
      </c>
      <c r="AK316" s="365"/>
      <c r="AL316" s="865">
        <f t="shared" si="200"/>
        <v>0</v>
      </c>
      <c r="AM316" s="866">
        <f t="shared" si="212"/>
        <v>0</v>
      </c>
      <c r="AN316" s="866">
        <f t="shared" si="213"/>
        <v>0</v>
      </c>
      <c r="AO316" s="866">
        <f t="shared" si="214"/>
        <v>0</v>
      </c>
      <c r="AP316" s="867">
        <f t="shared" si="215"/>
        <v>0</v>
      </c>
      <c r="AQ316" s="591"/>
      <c r="AR316" s="868"/>
      <c r="AS316" s="868"/>
      <c r="AT316" s="868"/>
      <c r="AU316" s="868"/>
      <c r="AV316" s="841"/>
      <c r="AW316" s="869"/>
      <c r="AX316" s="870"/>
      <c r="AY316" s="871"/>
      <c r="AZ316" s="237" t="str">
        <f t="shared" si="189"/>
        <v xml:space="preserve">18.005 </v>
      </c>
      <c r="BA316" s="365"/>
      <c r="BB316" s="365"/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872">
        <f t="shared" si="190"/>
        <v>0</v>
      </c>
      <c r="BM316" s="873">
        <f t="shared" si="191"/>
        <v>0</v>
      </c>
      <c r="BN316" s="874">
        <f t="shared" si="216"/>
        <v>0</v>
      </c>
      <c r="BO316" s="875">
        <f t="shared" si="192"/>
        <v>0</v>
      </c>
      <c r="BP316" s="875">
        <f t="shared" si="193"/>
        <v>0</v>
      </c>
      <c r="BQ316" s="876">
        <f t="shared" si="217"/>
        <v>0</v>
      </c>
      <c r="BR316" s="877">
        <f t="shared" si="218"/>
        <v>0</v>
      </c>
      <c r="BS316" s="875">
        <f t="shared" si="194"/>
        <v>0</v>
      </c>
      <c r="BT316" s="875">
        <f t="shared" si="195"/>
        <v>0</v>
      </c>
      <c r="BU316" s="878">
        <f t="shared" si="219"/>
        <v>0</v>
      </c>
      <c r="CE316" s="486">
        <v>302</v>
      </c>
    </row>
    <row r="317" spans="1:83" s="177" customFormat="1" ht="21.95" customHeight="1" x14ac:dyDescent="0.2">
      <c r="A317" s="237">
        <f t="shared" si="196"/>
        <v>0</v>
      </c>
      <c r="B317" s="237">
        <f t="shared" si="197"/>
        <v>0</v>
      </c>
      <c r="C317" s="393">
        <f t="shared" si="182"/>
        <v>0</v>
      </c>
      <c r="D317" s="393" t="str">
        <f t="shared" si="183"/>
        <v xml:space="preserve">18 </v>
      </c>
      <c r="E317" s="959" t="s">
        <v>806</v>
      </c>
      <c r="F317" s="959" t="s">
        <v>2313</v>
      </c>
      <c r="G317" s="959" t="s">
        <v>8</v>
      </c>
      <c r="H317" s="970">
        <v>13</v>
      </c>
      <c r="I317" s="970">
        <v>91.091800000000006</v>
      </c>
      <c r="J317" s="964">
        <v>1184.19</v>
      </c>
      <c r="K317" s="367">
        <v>0</v>
      </c>
      <c r="L317" s="367">
        <f>IF($H317="",0,VLOOKUP($E317,Plan3!$A$16:$CT$384,$E$7,0)%)</f>
        <v>0</v>
      </c>
      <c r="M317" s="368">
        <f t="shared" si="202"/>
        <v>0</v>
      </c>
      <c r="N317" s="368">
        <f t="shared" si="203"/>
        <v>0</v>
      </c>
      <c r="O317" s="367">
        <v>0</v>
      </c>
      <c r="P317" s="367">
        <f>VLOOKUP($E317,Plan3!$A$492:$P$858,13,0)%</f>
        <v>0</v>
      </c>
      <c r="Q317" s="368">
        <f t="shared" si="204"/>
        <v>0</v>
      </c>
      <c r="R317" s="368">
        <f t="shared" si="205"/>
        <v>0</v>
      </c>
      <c r="S317" s="880">
        <v>1197.9266040000002</v>
      </c>
      <c r="T317" s="880">
        <f t="shared" si="206"/>
        <v>0</v>
      </c>
      <c r="U317" s="880">
        <f>IF($I317="",0,($S317-$T317)*(1+('Econômico Macro'!$R$12/100)))</f>
        <v>1218.6507342492002</v>
      </c>
      <c r="V317" s="880">
        <f t="shared" si="207"/>
        <v>1218.6507342492002</v>
      </c>
      <c r="W317" s="880">
        <f t="shared" si="208"/>
        <v>0</v>
      </c>
      <c r="X317" s="367">
        <f t="shared" si="184"/>
        <v>0</v>
      </c>
      <c r="Y317" s="367">
        <f t="shared" si="185"/>
        <v>0</v>
      </c>
      <c r="Z317" s="367">
        <f t="shared" si="186"/>
        <v>0</v>
      </c>
      <c r="AA317" s="367">
        <f t="shared" si="187"/>
        <v>0</v>
      </c>
      <c r="AB317" s="369" t="str">
        <f t="shared" si="188"/>
        <v>Não Iniciada</v>
      </c>
      <c r="AC317" s="365"/>
      <c r="AD317" s="368">
        <v>1</v>
      </c>
      <c r="AE317" s="368">
        <f t="shared" si="209"/>
        <v>-1</v>
      </c>
      <c r="AF317" s="365"/>
      <c r="AG317" s="863">
        <f t="shared" si="198"/>
        <v>0</v>
      </c>
      <c r="AH317" s="864">
        <f t="shared" si="210"/>
        <v>0</v>
      </c>
      <c r="AI317" s="863">
        <f t="shared" si="199"/>
        <v>0</v>
      </c>
      <c r="AJ317" s="864">
        <f t="shared" si="211"/>
        <v>0</v>
      </c>
      <c r="AK317" s="365"/>
      <c r="AL317" s="865">
        <f t="shared" si="200"/>
        <v>0</v>
      </c>
      <c r="AM317" s="866">
        <f t="shared" si="212"/>
        <v>0</v>
      </c>
      <c r="AN317" s="866">
        <f t="shared" si="213"/>
        <v>0</v>
      </c>
      <c r="AO317" s="866">
        <f t="shared" si="214"/>
        <v>0</v>
      </c>
      <c r="AP317" s="867">
        <f t="shared" si="215"/>
        <v>0</v>
      </c>
      <c r="AQ317" s="591">
        <f t="shared" si="201"/>
        <v>0</v>
      </c>
      <c r="AR317" s="868">
        <f>IF(AND($L317=0,$P317=0)=TRUE,VLOOKUP($E317,Plan3!$A$16:$CT$487,$E$7+3,0)/100,0)</f>
        <v>0</v>
      </c>
      <c r="AS317" s="868">
        <f>IF(AND($L317=0,$P317=0)=TRUE,VLOOKUP($E317,Plan3!$A$16:$CT$487,$E$7+6,0)/100,0)</f>
        <v>0</v>
      </c>
      <c r="AT317" s="868">
        <f>IF(AND($L317=0,$P317=0)=TRUE,VLOOKUP($E317,Plan3!$A$16:$CT$487,$E$7+9,0)/100,0)</f>
        <v>0</v>
      </c>
      <c r="AU317" s="868">
        <f>IF(AND($L317=0,$P317=0)=TRUE,VLOOKUP($E317,Plan3!$A$16:$CT$487,$E$7+12,0)/100,0)</f>
        <v>0</v>
      </c>
      <c r="AV317" s="841"/>
      <c r="AW317" s="869">
        <f t="shared" si="220"/>
        <v>0</v>
      </c>
      <c r="AX317" s="870">
        <f t="shared" si="221"/>
        <v>0</v>
      </c>
      <c r="AY317" s="871">
        <f t="shared" si="222"/>
        <v>0</v>
      </c>
      <c r="AZ317" s="237" t="str">
        <f t="shared" si="189"/>
        <v xml:space="preserve">18.005.000.001 </v>
      </c>
      <c r="BA317" s="365"/>
      <c r="BB317" s="365"/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872">
        <f t="shared" si="190"/>
        <v>0</v>
      </c>
      <c r="BM317" s="873">
        <f t="shared" si="191"/>
        <v>0</v>
      </c>
      <c r="BN317" s="874">
        <f t="shared" si="216"/>
        <v>0</v>
      </c>
      <c r="BO317" s="875">
        <f t="shared" si="192"/>
        <v>0</v>
      </c>
      <c r="BP317" s="875">
        <f t="shared" si="193"/>
        <v>0</v>
      </c>
      <c r="BQ317" s="876">
        <f t="shared" si="217"/>
        <v>0</v>
      </c>
      <c r="BR317" s="877">
        <f t="shared" si="218"/>
        <v>0</v>
      </c>
      <c r="BS317" s="875">
        <f t="shared" si="194"/>
        <v>0</v>
      </c>
      <c r="BT317" s="875">
        <f t="shared" si="195"/>
        <v>0</v>
      </c>
      <c r="BU317" s="878">
        <f t="shared" si="219"/>
        <v>0</v>
      </c>
      <c r="CE317" s="486">
        <v>303</v>
      </c>
    </row>
    <row r="318" spans="1:83" s="177" customFormat="1" ht="21.95" customHeight="1" x14ac:dyDescent="0.2">
      <c r="A318" s="237">
        <f t="shared" si="196"/>
        <v>0</v>
      </c>
      <c r="B318" s="237">
        <f t="shared" si="197"/>
        <v>0</v>
      </c>
      <c r="C318" s="393">
        <f t="shared" si="182"/>
        <v>0</v>
      </c>
      <c r="D318" s="393" t="str">
        <f t="shared" si="183"/>
        <v xml:space="preserve">18 </v>
      </c>
      <c r="E318" s="959" t="s">
        <v>807</v>
      </c>
      <c r="F318" s="959" t="s">
        <v>2314</v>
      </c>
      <c r="G318" s="959" t="s">
        <v>8</v>
      </c>
      <c r="H318" s="970">
        <v>13</v>
      </c>
      <c r="I318" s="970">
        <v>94.501800000000003</v>
      </c>
      <c r="J318" s="964">
        <v>1228.52</v>
      </c>
      <c r="K318" s="367">
        <v>0</v>
      </c>
      <c r="L318" s="367">
        <f>IF($H318="",0,VLOOKUP($E318,Plan3!$A$16:$CT$384,$E$7,0)%)</f>
        <v>0</v>
      </c>
      <c r="M318" s="368">
        <f t="shared" si="202"/>
        <v>0</v>
      </c>
      <c r="N318" s="368">
        <f t="shared" si="203"/>
        <v>0</v>
      </c>
      <c r="O318" s="367">
        <v>0</v>
      </c>
      <c r="P318" s="367">
        <f>VLOOKUP($E318,Plan3!$A$492:$P$858,13,0)%</f>
        <v>0</v>
      </c>
      <c r="Q318" s="368">
        <f t="shared" si="204"/>
        <v>0</v>
      </c>
      <c r="R318" s="368">
        <f t="shared" si="205"/>
        <v>0</v>
      </c>
      <c r="S318" s="880">
        <v>1242.7708320000002</v>
      </c>
      <c r="T318" s="880">
        <f t="shared" si="206"/>
        <v>0</v>
      </c>
      <c r="U318" s="880">
        <f>IF($I318="",0,($S318-$T318)*(1+('Econômico Macro'!$R$12/100)))</f>
        <v>1264.2707673936002</v>
      </c>
      <c r="V318" s="880">
        <f t="shared" si="207"/>
        <v>1264.2707673936002</v>
      </c>
      <c r="W318" s="880">
        <f t="shared" si="208"/>
        <v>0</v>
      </c>
      <c r="X318" s="367">
        <f t="shared" si="184"/>
        <v>0</v>
      </c>
      <c r="Y318" s="367">
        <f t="shared" si="185"/>
        <v>0</v>
      </c>
      <c r="Z318" s="367">
        <f t="shared" si="186"/>
        <v>0</v>
      </c>
      <c r="AA318" s="367">
        <f t="shared" si="187"/>
        <v>0</v>
      </c>
      <c r="AB318" s="369" t="str">
        <f t="shared" si="188"/>
        <v>Não Iniciada</v>
      </c>
      <c r="AC318" s="365"/>
      <c r="AD318" s="368">
        <v>1</v>
      </c>
      <c r="AE318" s="368">
        <f t="shared" si="209"/>
        <v>-1</v>
      </c>
      <c r="AF318" s="365"/>
      <c r="AG318" s="863">
        <f t="shared" si="198"/>
        <v>0</v>
      </c>
      <c r="AH318" s="864">
        <f t="shared" si="210"/>
        <v>0</v>
      </c>
      <c r="AI318" s="863">
        <f t="shared" si="199"/>
        <v>0</v>
      </c>
      <c r="AJ318" s="864">
        <f t="shared" si="211"/>
        <v>0</v>
      </c>
      <c r="AK318" s="365"/>
      <c r="AL318" s="865">
        <f t="shared" si="200"/>
        <v>0</v>
      </c>
      <c r="AM318" s="866">
        <f t="shared" si="212"/>
        <v>0</v>
      </c>
      <c r="AN318" s="866">
        <f t="shared" si="213"/>
        <v>0</v>
      </c>
      <c r="AO318" s="866">
        <f t="shared" si="214"/>
        <v>0</v>
      </c>
      <c r="AP318" s="867">
        <f t="shared" si="215"/>
        <v>0</v>
      </c>
      <c r="AQ318" s="591">
        <f t="shared" si="201"/>
        <v>0</v>
      </c>
      <c r="AR318" s="868">
        <f>IF(AND($L318=0,$P318=0)=TRUE,VLOOKUP($E318,Plan3!$A$16:$CT$487,$E$7+3,0)/100,0)</f>
        <v>0</v>
      </c>
      <c r="AS318" s="868">
        <f>IF(AND($L318=0,$P318=0)=TRUE,VLOOKUP($E318,Plan3!$A$16:$CT$487,$E$7+6,0)/100,0)</f>
        <v>0</v>
      </c>
      <c r="AT318" s="868">
        <f>IF(AND($L318=0,$P318=0)=TRUE,VLOOKUP($E318,Plan3!$A$16:$CT$487,$E$7+9,0)/100,0)</f>
        <v>0</v>
      </c>
      <c r="AU318" s="868">
        <f>IF(AND($L318=0,$P318=0)=TRUE,VLOOKUP($E318,Plan3!$A$16:$CT$487,$E$7+12,0)/100,0)</f>
        <v>0</v>
      </c>
      <c r="AV318" s="841"/>
      <c r="AW318" s="869">
        <f t="shared" si="220"/>
        <v>0</v>
      </c>
      <c r="AX318" s="870">
        <f t="shared" si="221"/>
        <v>0</v>
      </c>
      <c r="AY318" s="871">
        <f t="shared" si="222"/>
        <v>0</v>
      </c>
      <c r="AZ318" s="237" t="str">
        <f t="shared" si="189"/>
        <v xml:space="preserve">18.005.000.002 </v>
      </c>
      <c r="BA318" s="365"/>
      <c r="BB318" s="365"/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872">
        <f t="shared" si="190"/>
        <v>0</v>
      </c>
      <c r="BM318" s="873">
        <f t="shared" si="191"/>
        <v>0</v>
      </c>
      <c r="BN318" s="874">
        <f t="shared" si="216"/>
        <v>0</v>
      </c>
      <c r="BO318" s="875">
        <f t="shared" si="192"/>
        <v>0</v>
      </c>
      <c r="BP318" s="875">
        <f t="shared" si="193"/>
        <v>0</v>
      </c>
      <c r="BQ318" s="876">
        <f t="shared" si="217"/>
        <v>0</v>
      </c>
      <c r="BR318" s="877">
        <f t="shared" si="218"/>
        <v>0</v>
      </c>
      <c r="BS318" s="875">
        <f t="shared" si="194"/>
        <v>0</v>
      </c>
      <c r="BT318" s="875">
        <f t="shared" si="195"/>
        <v>0</v>
      </c>
      <c r="BU318" s="878">
        <f t="shared" si="219"/>
        <v>0</v>
      </c>
      <c r="CE318" s="486">
        <v>304</v>
      </c>
    </row>
    <row r="319" spans="1:83" s="177" customFormat="1" ht="21.95" customHeight="1" x14ac:dyDescent="0.2">
      <c r="A319" s="237">
        <f t="shared" si="196"/>
        <v>0</v>
      </c>
      <c r="B319" s="237">
        <f t="shared" si="197"/>
        <v>0</v>
      </c>
      <c r="C319" s="393">
        <f t="shared" si="182"/>
        <v>0</v>
      </c>
      <c r="D319" s="393" t="str">
        <f t="shared" si="183"/>
        <v xml:space="preserve">18 </v>
      </c>
      <c r="E319" s="959" t="s">
        <v>808</v>
      </c>
      <c r="F319" s="959" t="s">
        <v>2315</v>
      </c>
      <c r="G319" s="959" t="s">
        <v>8</v>
      </c>
      <c r="H319" s="970">
        <v>15</v>
      </c>
      <c r="I319" s="965">
        <v>211.2518</v>
      </c>
      <c r="J319" s="964">
        <v>3168.78</v>
      </c>
      <c r="K319" s="367">
        <v>0</v>
      </c>
      <c r="L319" s="367">
        <f>IF($H319="",0,VLOOKUP($E319,Plan3!$A$16:$CT$384,$E$7,0)%)</f>
        <v>0</v>
      </c>
      <c r="M319" s="368">
        <f t="shared" si="202"/>
        <v>0</v>
      </c>
      <c r="N319" s="368">
        <f t="shared" si="203"/>
        <v>0</v>
      </c>
      <c r="O319" s="367">
        <v>0</v>
      </c>
      <c r="P319" s="367">
        <f>VLOOKUP($E319,Plan3!$A$492:$P$858,13,0)%</f>
        <v>0</v>
      </c>
      <c r="Q319" s="368">
        <f t="shared" si="204"/>
        <v>0</v>
      </c>
      <c r="R319" s="368">
        <f t="shared" si="205"/>
        <v>0</v>
      </c>
      <c r="S319" s="880">
        <v>3205.5378480000004</v>
      </c>
      <c r="T319" s="880">
        <f t="shared" si="206"/>
        <v>0</v>
      </c>
      <c r="U319" s="880">
        <f>IF($I319="",0,($S319-$T319)*(1+('Econômico Macro'!$R$12/100)))</f>
        <v>3260.9936527704008</v>
      </c>
      <c r="V319" s="880">
        <f t="shared" si="207"/>
        <v>3260.9936527704008</v>
      </c>
      <c r="W319" s="880">
        <f t="shared" si="208"/>
        <v>0</v>
      </c>
      <c r="X319" s="367">
        <f t="shared" si="184"/>
        <v>0</v>
      </c>
      <c r="Y319" s="367">
        <f t="shared" si="185"/>
        <v>0</v>
      </c>
      <c r="Z319" s="367">
        <f t="shared" si="186"/>
        <v>0</v>
      </c>
      <c r="AA319" s="367">
        <f t="shared" si="187"/>
        <v>0</v>
      </c>
      <c r="AB319" s="369" t="str">
        <f t="shared" si="188"/>
        <v>Não Iniciada</v>
      </c>
      <c r="AC319" s="365"/>
      <c r="AD319" s="368">
        <v>1</v>
      </c>
      <c r="AE319" s="368">
        <f t="shared" si="209"/>
        <v>-1</v>
      </c>
      <c r="AF319" s="365"/>
      <c r="AG319" s="863">
        <f t="shared" si="198"/>
        <v>0</v>
      </c>
      <c r="AH319" s="864">
        <f t="shared" si="210"/>
        <v>0</v>
      </c>
      <c r="AI319" s="863">
        <f t="shared" si="199"/>
        <v>0</v>
      </c>
      <c r="AJ319" s="864">
        <f t="shared" si="211"/>
        <v>0</v>
      </c>
      <c r="AK319" s="365"/>
      <c r="AL319" s="865">
        <f t="shared" si="200"/>
        <v>0</v>
      </c>
      <c r="AM319" s="866">
        <f t="shared" si="212"/>
        <v>0</v>
      </c>
      <c r="AN319" s="866">
        <f t="shared" si="213"/>
        <v>0</v>
      </c>
      <c r="AO319" s="866">
        <f t="shared" si="214"/>
        <v>0</v>
      </c>
      <c r="AP319" s="867">
        <f t="shared" si="215"/>
        <v>0</v>
      </c>
      <c r="AQ319" s="591">
        <f t="shared" si="201"/>
        <v>0</v>
      </c>
      <c r="AR319" s="868">
        <f>IF(AND($L319=0,$P319=0)=TRUE,VLOOKUP($E319,Plan3!$A$16:$CT$487,$E$7+3,0)/100,0)</f>
        <v>0</v>
      </c>
      <c r="AS319" s="868">
        <f>IF(AND($L319=0,$P319=0)=TRUE,VLOOKUP($E319,Plan3!$A$16:$CT$487,$E$7+6,0)/100,0)</f>
        <v>0</v>
      </c>
      <c r="AT319" s="868">
        <f>IF(AND($L319=0,$P319=0)=TRUE,VLOOKUP($E319,Plan3!$A$16:$CT$487,$E$7+9,0)/100,0)</f>
        <v>0</v>
      </c>
      <c r="AU319" s="868">
        <f>IF(AND($L319=0,$P319=0)=TRUE,VLOOKUP($E319,Plan3!$A$16:$CT$487,$E$7+12,0)/100,0)</f>
        <v>0</v>
      </c>
      <c r="AV319" s="841"/>
      <c r="AW319" s="869">
        <f t="shared" si="220"/>
        <v>0</v>
      </c>
      <c r="AX319" s="870">
        <f t="shared" si="221"/>
        <v>0</v>
      </c>
      <c r="AY319" s="871">
        <f t="shared" si="222"/>
        <v>0</v>
      </c>
      <c r="AZ319" s="237" t="str">
        <f t="shared" si="189"/>
        <v xml:space="preserve">18.005.000.003 </v>
      </c>
      <c r="BA319" s="365"/>
      <c r="BB319" s="365"/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872">
        <f t="shared" si="190"/>
        <v>0</v>
      </c>
      <c r="BM319" s="873">
        <f t="shared" si="191"/>
        <v>0</v>
      </c>
      <c r="BN319" s="874">
        <f t="shared" si="216"/>
        <v>0</v>
      </c>
      <c r="BO319" s="875">
        <f t="shared" si="192"/>
        <v>0</v>
      </c>
      <c r="BP319" s="875">
        <f t="shared" si="193"/>
        <v>0</v>
      </c>
      <c r="BQ319" s="876">
        <f t="shared" si="217"/>
        <v>0</v>
      </c>
      <c r="BR319" s="877">
        <f t="shared" si="218"/>
        <v>0</v>
      </c>
      <c r="BS319" s="875">
        <f t="shared" si="194"/>
        <v>0</v>
      </c>
      <c r="BT319" s="875">
        <f t="shared" si="195"/>
        <v>0</v>
      </c>
      <c r="BU319" s="878">
        <f t="shared" si="219"/>
        <v>0</v>
      </c>
      <c r="CE319" s="486">
        <v>305</v>
      </c>
    </row>
    <row r="320" spans="1:83" s="177" customFormat="1" ht="21.95" customHeight="1" x14ac:dyDescent="0.2">
      <c r="A320" s="237">
        <f t="shared" si="196"/>
        <v>0</v>
      </c>
      <c r="B320" s="237">
        <f t="shared" si="197"/>
        <v>0</v>
      </c>
      <c r="C320" s="393">
        <f t="shared" si="182"/>
        <v>0</v>
      </c>
      <c r="D320" s="393" t="str">
        <f t="shared" si="183"/>
        <v xml:space="preserve">18 </v>
      </c>
      <c r="E320" s="959" t="s">
        <v>809</v>
      </c>
      <c r="F320" s="959" t="s">
        <v>2131</v>
      </c>
      <c r="G320" s="959" t="s">
        <v>8</v>
      </c>
      <c r="H320" s="960">
        <v>7</v>
      </c>
      <c r="I320" s="970">
        <v>45.271799999999999</v>
      </c>
      <c r="J320" s="966">
        <v>316.89999999999998</v>
      </c>
      <c r="K320" s="367">
        <v>0</v>
      </c>
      <c r="L320" s="367">
        <f>IF($H320="",0,VLOOKUP($E320,Plan3!$A$16:$CT$384,$E$7,0)%)</f>
        <v>0</v>
      </c>
      <c r="M320" s="368">
        <f t="shared" si="202"/>
        <v>0</v>
      </c>
      <c r="N320" s="368">
        <f t="shared" si="203"/>
        <v>0</v>
      </c>
      <c r="O320" s="367">
        <v>0</v>
      </c>
      <c r="P320" s="367">
        <f>VLOOKUP($E320,Plan3!$A$492:$P$858,13,0)%</f>
        <v>0</v>
      </c>
      <c r="Q320" s="368">
        <f t="shared" si="204"/>
        <v>0</v>
      </c>
      <c r="R320" s="368">
        <f t="shared" si="205"/>
        <v>0</v>
      </c>
      <c r="S320" s="880">
        <v>320.57603999999998</v>
      </c>
      <c r="T320" s="880">
        <f t="shared" si="206"/>
        <v>0</v>
      </c>
      <c r="U320" s="880">
        <f>IF($I320="",0,($S320-$T320)*(1+('Econômico Macro'!$R$12/100)))</f>
        <v>326.12200549200003</v>
      </c>
      <c r="V320" s="880">
        <f t="shared" si="207"/>
        <v>326.12200549200003</v>
      </c>
      <c r="W320" s="880">
        <f t="shared" si="208"/>
        <v>0</v>
      </c>
      <c r="X320" s="367">
        <f t="shared" si="184"/>
        <v>0</v>
      </c>
      <c r="Y320" s="367">
        <f t="shared" si="185"/>
        <v>0</v>
      </c>
      <c r="Z320" s="367">
        <f t="shared" si="186"/>
        <v>0</v>
      </c>
      <c r="AA320" s="367">
        <f t="shared" si="187"/>
        <v>0</v>
      </c>
      <c r="AB320" s="369" t="str">
        <f t="shared" si="188"/>
        <v>Não Iniciada</v>
      </c>
      <c r="AC320" s="365"/>
      <c r="AD320" s="368">
        <v>1</v>
      </c>
      <c r="AE320" s="368">
        <f t="shared" si="209"/>
        <v>-1</v>
      </c>
      <c r="AF320" s="365"/>
      <c r="AG320" s="863">
        <f t="shared" si="198"/>
        <v>0</v>
      </c>
      <c r="AH320" s="864">
        <f t="shared" si="210"/>
        <v>0</v>
      </c>
      <c r="AI320" s="863">
        <f t="shared" si="199"/>
        <v>0</v>
      </c>
      <c r="AJ320" s="864">
        <f t="shared" si="211"/>
        <v>0</v>
      </c>
      <c r="AK320" s="365"/>
      <c r="AL320" s="865">
        <f t="shared" si="200"/>
        <v>0</v>
      </c>
      <c r="AM320" s="866">
        <f t="shared" si="212"/>
        <v>0</v>
      </c>
      <c r="AN320" s="866">
        <f t="shared" si="213"/>
        <v>0</v>
      </c>
      <c r="AO320" s="866">
        <f t="shared" si="214"/>
        <v>0</v>
      </c>
      <c r="AP320" s="867">
        <f t="shared" si="215"/>
        <v>0</v>
      </c>
      <c r="AQ320" s="591">
        <f t="shared" si="201"/>
        <v>0</v>
      </c>
      <c r="AR320" s="868">
        <f>IF(AND($L320=0,$P320=0)=TRUE,VLOOKUP($E320,Plan3!$A$16:$CT$487,$E$7+3,0)/100,0)</f>
        <v>0</v>
      </c>
      <c r="AS320" s="868">
        <f>IF(AND($L320=0,$P320=0)=TRUE,VLOOKUP($E320,Plan3!$A$16:$CT$487,$E$7+6,0)/100,0)</f>
        <v>0</v>
      </c>
      <c r="AT320" s="868">
        <f>IF(AND($L320=0,$P320=0)=TRUE,VLOOKUP($E320,Plan3!$A$16:$CT$487,$E$7+9,0)/100,0)</f>
        <v>0</v>
      </c>
      <c r="AU320" s="868">
        <f>IF(AND($L320=0,$P320=0)=TRUE,VLOOKUP($E320,Plan3!$A$16:$CT$487,$E$7+12,0)/100,0)</f>
        <v>0</v>
      </c>
      <c r="AV320" s="841"/>
      <c r="AW320" s="869">
        <f t="shared" si="220"/>
        <v>0</v>
      </c>
      <c r="AX320" s="870">
        <f t="shared" si="221"/>
        <v>0</v>
      </c>
      <c r="AY320" s="871">
        <f t="shared" si="222"/>
        <v>0</v>
      </c>
      <c r="AZ320" s="237" t="str">
        <f t="shared" si="189"/>
        <v xml:space="preserve">18.005.000.004 </v>
      </c>
      <c r="BA320" s="365"/>
      <c r="BB320" s="365"/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872">
        <f t="shared" si="190"/>
        <v>0</v>
      </c>
      <c r="BM320" s="873">
        <f t="shared" si="191"/>
        <v>0</v>
      </c>
      <c r="BN320" s="874">
        <f t="shared" si="216"/>
        <v>0</v>
      </c>
      <c r="BO320" s="875">
        <f t="shared" si="192"/>
        <v>0</v>
      </c>
      <c r="BP320" s="875">
        <f t="shared" si="193"/>
        <v>0</v>
      </c>
      <c r="BQ320" s="876">
        <f t="shared" si="217"/>
        <v>0</v>
      </c>
      <c r="BR320" s="877">
        <f t="shared" si="218"/>
        <v>0</v>
      </c>
      <c r="BS320" s="875">
        <f t="shared" si="194"/>
        <v>0</v>
      </c>
      <c r="BT320" s="875">
        <f t="shared" si="195"/>
        <v>0</v>
      </c>
      <c r="BU320" s="878">
        <f t="shared" si="219"/>
        <v>0</v>
      </c>
      <c r="CE320" s="486">
        <v>306</v>
      </c>
    </row>
    <row r="321" spans="1:83" s="177" customFormat="1" ht="21.95" customHeight="1" x14ac:dyDescent="0.2">
      <c r="A321" s="237">
        <f t="shared" si="196"/>
        <v>0</v>
      </c>
      <c r="B321" s="237">
        <f t="shared" si="197"/>
        <v>0</v>
      </c>
      <c r="C321" s="393">
        <f t="shared" si="182"/>
        <v>0</v>
      </c>
      <c r="D321" s="393" t="str">
        <f t="shared" si="183"/>
        <v xml:space="preserve">18 </v>
      </c>
      <c r="E321" s="959" t="s">
        <v>2316</v>
      </c>
      <c r="F321" s="959" t="s">
        <v>2317</v>
      </c>
      <c r="G321" s="959" t="s">
        <v>8</v>
      </c>
      <c r="H321" s="970">
        <v>49</v>
      </c>
      <c r="I321" s="965">
        <v>232.9418</v>
      </c>
      <c r="J321" s="962">
        <v>11414.15</v>
      </c>
      <c r="K321" s="367">
        <v>0</v>
      </c>
      <c r="L321" s="367">
        <f>IF($H321="",0,VLOOKUP($E321,Plan3!$A$16:$CT$384,$E$7,0)%)</f>
        <v>0</v>
      </c>
      <c r="M321" s="368">
        <f t="shared" si="202"/>
        <v>0</v>
      </c>
      <c r="N321" s="368">
        <f t="shared" si="203"/>
        <v>0</v>
      </c>
      <c r="O321" s="367">
        <v>0</v>
      </c>
      <c r="P321" s="367">
        <f>VLOOKUP($E321,Plan3!$A$492:$P$858,13,0)%</f>
        <v>0</v>
      </c>
      <c r="Q321" s="368">
        <f t="shared" si="204"/>
        <v>0</v>
      </c>
      <c r="R321" s="368">
        <f t="shared" si="205"/>
        <v>0</v>
      </c>
      <c r="S321" s="880">
        <v>11546.55414</v>
      </c>
      <c r="T321" s="880">
        <f t="shared" si="206"/>
        <v>0</v>
      </c>
      <c r="U321" s="880">
        <f>IF($I321="",0,($S321-$T321)*(1+('Econômico Macro'!$R$12/100)))</f>
        <v>11746.309526622001</v>
      </c>
      <c r="V321" s="880">
        <f t="shared" si="207"/>
        <v>11746.309526622001</v>
      </c>
      <c r="W321" s="880">
        <f t="shared" si="208"/>
        <v>0</v>
      </c>
      <c r="X321" s="367">
        <f t="shared" si="184"/>
        <v>0</v>
      </c>
      <c r="Y321" s="367">
        <f t="shared" si="185"/>
        <v>0</v>
      </c>
      <c r="Z321" s="367">
        <f t="shared" si="186"/>
        <v>0</v>
      </c>
      <c r="AA321" s="367">
        <f t="shared" si="187"/>
        <v>0</v>
      </c>
      <c r="AB321" s="369" t="str">
        <f t="shared" si="188"/>
        <v>Não Iniciada</v>
      </c>
      <c r="AC321" s="365"/>
      <c r="AD321" s="368">
        <v>1</v>
      </c>
      <c r="AE321" s="368">
        <f t="shared" si="209"/>
        <v>-1</v>
      </c>
      <c r="AF321" s="365"/>
      <c r="AG321" s="863">
        <f t="shared" si="198"/>
        <v>0</v>
      </c>
      <c r="AH321" s="864">
        <f t="shared" si="210"/>
        <v>0</v>
      </c>
      <c r="AI321" s="863">
        <f t="shared" si="199"/>
        <v>0</v>
      </c>
      <c r="AJ321" s="864">
        <f t="shared" si="211"/>
        <v>0</v>
      </c>
      <c r="AK321" s="365"/>
      <c r="AL321" s="865">
        <f t="shared" si="200"/>
        <v>0</v>
      </c>
      <c r="AM321" s="866">
        <f t="shared" si="212"/>
        <v>0</v>
      </c>
      <c r="AN321" s="866">
        <f t="shared" si="213"/>
        <v>0</v>
      </c>
      <c r="AO321" s="866">
        <f t="shared" si="214"/>
        <v>0</v>
      </c>
      <c r="AP321" s="867">
        <f t="shared" si="215"/>
        <v>0</v>
      </c>
      <c r="AQ321" s="591">
        <f t="shared" si="201"/>
        <v>0</v>
      </c>
      <c r="AR321" s="868">
        <f>IF(AND($L321=0,$P321=0)=TRUE,VLOOKUP($E321,Plan3!$A$16:$CT$487,$E$7+3,0)/100,0)</f>
        <v>0</v>
      </c>
      <c r="AS321" s="868">
        <f>IF(AND($L321=0,$P321=0)=TRUE,VLOOKUP($E321,Plan3!$A$16:$CT$487,$E$7+6,0)/100,0)</f>
        <v>0</v>
      </c>
      <c r="AT321" s="868">
        <f>IF(AND($L321=0,$P321=0)=TRUE,VLOOKUP($E321,Plan3!$A$16:$CT$487,$E$7+9,0)/100,0)</f>
        <v>0</v>
      </c>
      <c r="AU321" s="868">
        <f>IF(AND($L321=0,$P321=0)=TRUE,VLOOKUP($E321,Plan3!$A$16:$CT$487,$E$7+12,0)/100,0)</f>
        <v>0</v>
      </c>
      <c r="AV321" s="841"/>
      <c r="AW321" s="869">
        <f t="shared" si="220"/>
        <v>0</v>
      </c>
      <c r="AX321" s="870">
        <f t="shared" si="221"/>
        <v>0</v>
      </c>
      <c r="AY321" s="871">
        <f t="shared" si="222"/>
        <v>0</v>
      </c>
      <c r="AZ321" s="237" t="str">
        <f t="shared" si="189"/>
        <v xml:space="preserve">18.005.000.005 </v>
      </c>
      <c r="BA321" s="365"/>
      <c r="BB321" s="365"/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872">
        <f t="shared" si="190"/>
        <v>0</v>
      </c>
      <c r="BM321" s="873">
        <f t="shared" si="191"/>
        <v>0</v>
      </c>
      <c r="BN321" s="874">
        <f t="shared" si="216"/>
        <v>0</v>
      </c>
      <c r="BO321" s="875">
        <f t="shared" si="192"/>
        <v>0</v>
      </c>
      <c r="BP321" s="875">
        <f t="shared" si="193"/>
        <v>0</v>
      </c>
      <c r="BQ321" s="876">
        <f t="shared" si="217"/>
        <v>0</v>
      </c>
      <c r="BR321" s="877">
        <f t="shared" si="218"/>
        <v>0</v>
      </c>
      <c r="BS321" s="875">
        <f t="shared" si="194"/>
        <v>0</v>
      </c>
      <c r="BT321" s="875">
        <f t="shared" si="195"/>
        <v>0</v>
      </c>
      <c r="BU321" s="878">
        <f t="shared" si="219"/>
        <v>0</v>
      </c>
      <c r="CE321" s="486">
        <v>307</v>
      </c>
    </row>
    <row r="322" spans="1:83" s="177" customFormat="1" ht="21.95" customHeight="1" x14ac:dyDescent="0.2">
      <c r="A322" s="237">
        <f t="shared" si="196"/>
        <v>0</v>
      </c>
      <c r="B322" s="237">
        <f t="shared" si="197"/>
        <v>0</v>
      </c>
      <c r="C322" s="393">
        <f t="shared" si="182"/>
        <v>0</v>
      </c>
      <c r="D322" s="393" t="str">
        <f t="shared" si="183"/>
        <v xml:space="preserve">18 </v>
      </c>
      <c r="E322" s="959" t="s">
        <v>2318</v>
      </c>
      <c r="F322" s="959" t="s">
        <v>2132</v>
      </c>
      <c r="G322" s="959" t="s">
        <v>8</v>
      </c>
      <c r="H322" s="970">
        <v>15</v>
      </c>
      <c r="I322" s="965">
        <v>289.52179999999998</v>
      </c>
      <c r="J322" s="964">
        <v>4342.83</v>
      </c>
      <c r="K322" s="367">
        <v>0</v>
      </c>
      <c r="L322" s="367">
        <f>IF($H322="",0,VLOOKUP($E322,Plan3!$A$16:$CT$384,$E$7,0)%)</f>
        <v>0</v>
      </c>
      <c r="M322" s="368">
        <f t="shared" si="202"/>
        <v>0</v>
      </c>
      <c r="N322" s="368">
        <f t="shared" si="203"/>
        <v>0</v>
      </c>
      <c r="O322" s="367">
        <v>0</v>
      </c>
      <c r="P322" s="367">
        <f>VLOOKUP($E322,Plan3!$A$492:$P$858,13,0)%</f>
        <v>0</v>
      </c>
      <c r="Q322" s="368">
        <f t="shared" si="204"/>
        <v>0</v>
      </c>
      <c r="R322" s="368">
        <f t="shared" si="205"/>
        <v>0</v>
      </c>
      <c r="S322" s="880">
        <v>4393.2068280000003</v>
      </c>
      <c r="T322" s="880">
        <f t="shared" si="206"/>
        <v>0</v>
      </c>
      <c r="U322" s="880">
        <f>IF($I322="",0,($S322-$T322)*(1+('Econômico Macro'!$R$12/100)))</f>
        <v>4469.2093061244004</v>
      </c>
      <c r="V322" s="880">
        <f t="shared" si="207"/>
        <v>4469.2093061244004</v>
      </c>
      <c r="W322" s="880">
        <f t="shared" si="208"/>
        <v>0</v>
      </c>
      <c r="X322" s="367">
        <f t="shared" si="184"/>
        <v>0</v>
      </c>
      <c r="Y322" s="367">
        <f t="shared" si="185"/>
        <v>0</v>
      </c>
      <c r="Z322" s="367">
        <f t="shared" si="186"/>
        <v>0</v>
      </c>
      <c r="AA322" s="367">
        <f t="shared" si="187"/>
        <v>0</v>
      </c>
      <c r="AB322" s="369" t="str">
        <f t="shared" si="188"/>
        <v>Não Iniciada</v>
      </c>
      <c r="AC322" s="365"/>
      <c r="AD322" s="368">
        <v>1</v>
      </c>
      <c r="AE322" s="368">
        <f t="shared" si="209"/>
        <v>-1</v>
      </c>
      <c r="AF322" s="365"/>
      <c r="AG322" s="863">
        <f t="shared" si="198"/>
        <v>0</v>
      </c>
      <c r="AH322" s="864">
        <f t="shared" si="210"/>
        <v>0</v>
      </c>
      <c r="AI322" s="863">
        <f t="shared" si="199"/>
        <v>0</v>
      </c>
      <c r="AJ322" s="864">
        <f t="shared" si="211"/>
        <v>0</v>
      </c>
      <c r="AK322" s="365"/>
      <c r="AL322" s="865">
        <f t="shared" si="200"/>
        <v>0</v>
      </c>
      <c r="AM322" s="866">
        <f t="shared" si="212"/>
        <v>0</v>
      </c>
      <c r="AN322" s="866">
        <f t="shared" si="213"/>
        <v>0</v>
      </c>
      <c r="AO322" s="866">
        <f t="shared" si="214"/>
        <v>0</v>
      </c>
      <c r="AP322" s="867">
        <f t="shared" si="215"/>
        <v>0</v>
      </c>
      <c r="AQ322" s="591">
        <f t="shared" si="201"/>
        <v>0</v>
      </c>
      <c r="AR322" s="868">
        <f>IF(AND($L322=0,$P322=0)=TRUE,VLOOKUP($E322,Plan3!$A$16:$CT$487,$E$7+3,0)/100,0)</f>
        <v>0</v>
      </c>
      <c r="AS322" s="868">
        <f>IF(AND($L322=0,$P322=0)=TRUE,VLOOKUP($E322,Plan3!$A$16:$CT$487,$E$7+6,0)/100,0)</f>
        <v>0</v>
      </c>
      <c r="AT322" s="868">
        <f>IF(AND($L322=0,$P322=0)=TRUE,VLOOKUP($E322,Plan3!$A$16:$CT$487,$E$7+9,0)/100,0)</f>
        <v>0</v>
      </c>
      <c r="AU322" s="868">
        <f>IF(AND($L322=0,$P322=0)=TRUE,VLOOKUP($E322,Plan3!$A$16:$CT$487,$E$7+12,0)/100,0)</f>
        <v>0</v>
      </c>
      <c r="AV322" s="841"/>
      <c r="AW322" s="869">
        <f t="shared" si="220"/>
        <v>0</v>
      </c>
      <c r="AX322" s="870">
        <f t="shared" si="221"/>
        <v>0</v>
      </c>
      <c r="AY322" s="871">
        <f t="shared" si="222"/>
        <v>0</v>
      </c>
      <c r="AZ322" s="237" t="str">
        <f t="shared" si="189"/>
        <v xml:space="preserve">18.005.000.006 </v>
      </c>
      <c r="BA322" s="365"/>
      <c r="BB322" s="365"/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872">
        <f t="shared" si="190"/>
        <v>0</v>
      </c>
      <c r="BM322" s="873">
        <f t="shared" si="191"/>
        <v>0</v>
      </c>
      <c r="BN322" s="874">
        <f t="shared" si="216"/>
        <v>0</v>
      </c>
      <c r="BO322" s="875">
        <f t="shared" si="192"/>
        <v>0</v>
      </c>
      <c r="BP322" s="875">
        <f t="shared" si="193"/>
        <v>0</v>
      </c>
      <c r="BQ322" s="876">
        <f t="shared" si="217"/>
        <v>0</v>
      </c>
      <c r="BR322" s="877">
        <f t="shared" si="218"/>
        <v>0</v>
      </c>
      <c r="BS322" s="875">
        <f t="shared" si="194"/>
        <v>0</v>
      </c>
      <c r="BT322" s="875">
        <f t="shared" si="195"/>
        <v>0</v>
      </c>
      <c r="BU322" s="878">
        <f t="shared" si="219"/>
        <v>0</v>
      </c>
      <c r="CE322" s="486">
        <v>308</v>
      </c>
    </row>
    <row r="323" spans="1:83" s="177" customFormat="1" ht="21.95" customHeight="1" x14ac:dyDescent="0.2">
      <c r="A323" s="237">
        <f t="shared" si="196"/>
        <v>0</v>
      </c>
      <c r="B323" s="237">
        <f t="shared" si="197"/>
        <v>0</v>
      </c>
      <c r="C323" s="393">
        <f t="shared" si="182"/>
        <v>0</v>
      </c>
      <c r="D323" s="393" t="str">
        <f t="shared" si="183"/>
        <v xml:space="preserve">18 </v>
      </c>
      <c r="E323" s="959" t="s">
        <v>2319</v>
      </c>
      <c r="F323" s="959" t="s">
        <v>506</v>
      </c>
      <c r="G323" s="959" t="s">
        <v>8</v>
      </c>
      <c r="H323" s="970">
        <v>36</v>
      </c>
      <c r="I323" s="965">
        <v>197.8</v>
      </c>
      <c r="J323" s="964">
        <v>7120.8</v>
      </c>
      <c r="K323" s="367">
        <v>0</v>
      </c>
      <c r="L323" s="367">
        <f>IF($H323="",0,VLOOKUP($E323,Plan3!$A$16:$CT$384,$E$7,0)%)</f>
        <v>0</v>
      </c>
      <c r="M323" s="368">
        <f t="shared" si="202"/>
        <v>0</v>
      </c>
      <c r="N323" s="368">
        <f t="shared" si="203"/>
        <v>0</v>
      </c>
      <c r="O323" s="367">
        <v>0</v>
      </c>
      <c r="P323" s="367">
        <f>VLOOKUP($E323,Plan3!$A$492:$P$858,13,0)%</f>
        <v>0</v>
      </c>
      <c r="Q323" s="368">
        <f t="shared" si="204"/>
        <v>0</v>
      </c>
      <c r="R323" s="368">
        <f t="shared" si="205"/>
        <v>0</v>
      </c>
      <c r="S323" s="880">
        <v>7203.401280000001</v>
      </c>
      <c r="T323" s="880">
        <f t="shared" si="206"/>
        <v>0</v>
      </c>
      <c r="U323" s="880">
        <f>IF($I323="",0,($S323-$T323)*(1+('Econômico Macro'!$R$12/100)))</f>
        <v>7328.020122144002</v>
      </c>
      <c r="V323" s="880">
        <f t="shared" si="207"/>
        <v>7328.020122144002</v>
      </c>
      <c r="W323" s="880">
        <f t="shared" si="208"/>
        <v>0</v>
      </c>
      <c r="X323" s="367">
        <f t="shared" si="184"/>
        <v>0</v>
      </c>
      <c r="Y323" s="367">
        <f t="shared" si="185"/>
        <v>0</v>
      </c>
      <c r="Z323" s="367">
        <f t="shared" si="186"/>
        <v>0</v>
      </c>
      <c r="AA323" s="367">
        <f t="shared" si="187"/>
        <v>0</v>
      </c>
      <c r="AB323" s="369" t="str">
        <f t="shared" si="188"/>
        <v>Não Iniciada</v>
      </c>
      <c r="AC323" s="365"/>
      <c r="AD323" s="368">
        <v>1</v>
      </c>
      <c r="AE323" s="368">
        <f t="shared" si="209"/>
        <v>-1</v>
      </c>
      <c r="AF323" s="365"/>
      <c r="AG323" s="863">
        <f t="shared" si="198"/>
        <v>0</v>
      </c>
      <c r="AH323" s="864">
        <f t="shared" si="210"/>
        <v>0</v>
      </c>
      <c r="AI323" s="863">
        <f t="shared" si="199"/>
        <v>0</v>
      </c>
      <c r="AJ323" s="864">
        <f t="shared" si="211"/>
        <v>0</v>
      </c>
      <c r="AK323" s="365"/>
      <c r="AL323" s="865">
        <f t="shared" si="200"/>
        <v>0</v>
      </c>
      <c r="AM323" s="866">
        <f t="shared" si="212"/>
        <v>0</v>
      </c>
      <c r="AN323" s="866">
        <f t="shared" si="213"/>
        <v>0</v>
      </c>
      <c r="AO323" s="866">
        <f t="shared" si="214"/>
        <v>0</v>
      </c>
      <c r="AP323" s="867">
        <f t="shared" si="215"/>
        <v>0</v>
      </c>
      <c r="AQ323" s="591">
        <f t="shared" si="201"/>
        <v>0</v>
      </c>
      <c r="AR323" s="868">
        <f>IF(AND($L323=0,$P323=0)=TRUE,VLOOKUP($E323,Plan3!$A$16:$CT$487,$E$7+3,0)/100,0)</f>
        <v>0</v>
      </c>
      <c r="AS323" s="868">
        <f>IF(AND($L323=0,$P323=0)=TRUE,VLOOKUP($E323,Plan3!$A$16:$CT$487,$E$7+6,0)/100,0)</f>
        <v>0</v>
      </c>
      <c r="AT323" s="868">
        <f>IF(AND($L323=0,$P323=0)=TRUE,VLOOKUP($E323,Plan3!$A$16:$CT$487,$E$7+9,0)/100,0)</f>
        <v>0</v>
      </c>
      <c r="AU323" s="868">
        <f>IF(AND($L323=0,$P323=0)=TRUE,VLOOKUP($E323,Plan3!$A$16:$CT$487,$E$7+12,0)/100,0)</f>
        <v>0</v>
      </c>
      <c r="AV323" s="841"/>
      <c r="AW323" s="869">
        <f t="shared" si="220"/>
        <v>0</v>
      </c>
      <c r="AX323" s="870">
        <f t="shared" si="221"/>
        <v>0</v>
      </c>
      <c r="AY323" s="871">
        <f t="shared" si="222"/>
        <v>0</v>
      </c>
      <c r="AZ323" s="237" t="str">
        <f t="shared" si="189"/>
        <v xml:space="preserve">18.005.000.007 </v>
      </c>
      <c r="BA323" s="365"/>
      <c r="BB323" s="365"/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872">
        <f t="shared" si="190"/>
        <v>0</v>
      </c>
      <c r="BM323" s="873">
        <f t="shared" si="191"/>
        <v>0</v>
      </c>
      <c r="BN323" s="874">
        <f t="shared" si="216"/>
        <v>0</v>
      </c>
      <c r="BO323" s="875">
        <f t="shared" si="192"/>
        <v>0</v>
      </c>
      <c r="BP323" s="875">
        <f t="shared" si="193"/>
        <v>0</v>
      </c>
      <c r="BQ323" s="876">
        <f t="shared" si="217"/>
        <v>0</v>
      </c>
      <c r="BR323" s="877">
        <f t="shared" si="218"/>
        <v>0</v>
      </c>
      <c r="BS323" s="875">
        <f t="shared" si="194"/>
        <v>0</v>
      </c>
      <c r="BT323" s="875">
        <f t="shared" si="195"/>
        <v>0</v>
      </c>
      <c r="BU323" s="878">
        <f t="shared" si="219"/>
        <v>0</v>
      </c>
      <c r="CE323" s="486">
        <v>309</v>
      </c>
    </row>
    <row r="324" spans="1:83" s="177" customFormat="1" ht="21.95" customHeight="1" x14ac:dyDescent="0.2">
      <c r="A324" s="237">
        <f t="shared" si="196"/>
        <v>0</v>
      </c>
      <c r="B324" s="237">
        <f t="shared" si="197"/>
        <v>0</v>
      </c>
      <c r="C324" s="393">
        <f t="shared" si="182"/>
        <v>0</v>
      </c>
      <c r="D324" s="393" t="str">
        <f t="shared" si="183"/>
        <v xml:space="preserve">18 </v>
      </c>
      <c r="E324" s="967" t="s">
        <v>810</v>
      </c>
      <c r="F324" s="967" t="s">
        <v>708</v>
      </c>
      <c r="G324" s="967"/>
      <c r="H324" s="968"/>
      <c r="I324" s="968"/>
      <c r="J324" s="974">
        <v>4650.8</v>
      </c>
      <c r="K324" s="367">
        <v>0</v>
      </c>
      <c r="L324" s="367">
        <f>IF($H324="",0,VLOOKUP($E324,Plan3!$A$16:$CT$384,$E$7,0)%)</f>
        <v>0</v>
      </c>
      <c r="M324" s="368">
        <f t="shared" si="202"/>
        <v>0</v>
      </c>
      <c r="N324" s="368">
        <f t="shared" si="203"/>
        <v>0</v>
      </c>
      <c r="O324" s="367">
        <v>0</v>
      </c>
      <c r="P324" s="367">
        <f>VLOOKUP($E324,Plan3!$A$492:$P$858,13,0)%</f>
        <v>0</v>
      </c>
      <c r="Q324" s="368">
        <f t="shared" si="204"/>
        <v>0</v>
      </c>
      <c r="R324" s="368">
        <f t="shared" si="205"/>
        <v>0</v>
      </c>
      <c r="S324" s="880">
        <v>0</v>
      </c>
      <c r="T324" s="880">
        <f t="shared" si="206"/>
        <v>0</v>
      </c>
      <c r="U324" s="880">
        <f>IF($I324="",0,($S324-$T324)*(1+('Econômico Macro'!$R$12/100)))</f>
        <v>0</v>
      </c>
      <c r="V324" s="880">
        <f t="shared" si="207"/>
        <v>0</v>
      </c>
      <c r="W324" s="880">
        <f t="shared" si="208"/>
        <v>0</v>
      </c>
      <c r="X324" s="367">
        <f t="shared" si="184"/>
        <v>0</v>
      </c>
      <c r="Y324" s="367">
        <f t="shared" si="185"/>
        <v>0</v>
      </c>
      <c r="Z324" s="367">
        <f t="shared" si="186"/>
        <v>0</v>
      </c>
      <c r="AA324" s="367">
        <f t="shared" si="187"/>
        <v>0</v>
      </c>
      <c r="AB324" s="369" t="str">
        <f t="shared" si="188"/>
        <v>Não Iniciada</v>
      </c>
      <c r="AC324" s="365"/>
      <c r="AD324" s="368">
        <v>1</v>
      </c>
      <c r="AE324" s="368">
        <f t="shared" si="209"/>
        <v>-1</v>
      </c>
      <c r="AF324" s="365"/>
      <c r="AG324" s="863">
        <f t="shared" si="198"/>
        <v>0</v>
      </c>
      <c r="AH324" s="864">
        <f t="shared" si="210"/>
        <v>0</v>
      </c>
      <c r="AI324" s="863">
        <f t="shared" si="199"/>
        <v>0</v>
      </c>
      <c r="AJ324" s="864">
        <f t="shared" si="211"/>
        <v>0</v>
      </c>
      <c r="AK324" s="365"/>
      <c r="AL324" s="865">
        <f t="shared" si="200"/>
        <v>0</v>
      </c>
      <c r="AM324" s="866">
        <f t="shared" si="212"/>
        <v>0</v>
      </c>
      <c r="AN324" s="866">
        <f t="shared" si="213"/>
        <v>0</v>
      </c>
      <c r="AO324" s="866">
        <f t="shared" si="214"/>
        <v>0</v>
      </c>
      <c r="AP324" s="867">
        <f t="shared" si="215"/>
        <v>0</v>
      </c>
      <c r="AQ324" s="591"/>
      <c r="AR324" s="868"/>
      <c r="AS324" s="868"/>
      <c r="AT324" s="868"/>
      <c r="AU324" s="868"/>
      <c r="AV324" s="841"/>
      <c r="AW324" s="869"/>
      <c r="AX324" s="870"/>
      <c r="AY324" s="871"/>
      <c r="AZ324" s="237" t="str">
        <f t="shared" si="189"/>
        <v xml:space="preserve">18.006 </v>
      </c>
      <c r="BA324" s="365"/>
      <c r="BB324" s="365"/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872">
        <f t="shared" si="190"/>
        <v>0</v>
      </c>
      <c r="BM324" s="873">
        <f t="shared" si="191"/>
        <v>0</v>
      </c>
      <c r="BN324" s="874">
        <f t="shared" si="216"/>
        <v>0</v>
      </c>
      <c r="BO324" s="875">
        <f t="shared" si="192"/>
        <v>0</v>
      </c>
      <c r="BP324" s="875">
        <f t="shared" si="193"/>
        <v>0</v>
      </c>
      <c r="BQ324" s="876">
        <f t="shared" si="217"/>
        <v>0</v>
      </c>
      <c r="BR324" s="877">
        <f t="shared" si="218"/>
        <v>0</v>
      </c>
      <c r="BS324" s="875">
        <f t="shared" si="194"/>
        <v>0</v>
      </c>
      <c r="BT324" s="875">
        <f t="shared" si="195"/>
        <v>0</v>
      </c>
      <c r="BU324" s="878">
        <f t="shared" si="219"/>
        <v>0</v>
      </c>
      <c r="CE324" s="486">
        <v>310</v>
      </c>
    </row>
    <row r="325" spans="1:83" s="177" customFormat="1" ht="21.95" customHeight="1" x14ac:dyDescent="0.2">
      <c r="A325" s="237">
        <f t="shared" si="196"/>
        <v>0</v>
      </c>
      <c r="B325" s="237">
        <f t="shared" si="197"/>
        <v>0</v>
      </c>
      <c r="C325" s="393">
        <f t="shared" si="182"/>
        <v>0</v>
      </c>
      <c r="D325" s="393" t="str">
        <f t="shared" si="183"/>
        <v xml:space="preserve">18 </v>
      </c>
      <c r="E325" s="959" t="s">
        <v>811</v>
      </c>
      <c r="F325" s="959" t="s">
        <v>2133</v>
      </c>
      <c r="G325" s="959" t="s">
        <v>8</v>
      </c>
      <c r="H325" s="965">
        <v>140</v>
      </c>
      <c r="I325" s="970">
        <v>33.22</v>
      </c>
      <c r="J325" s="964">
        <v>4650.8</v>
      </c>
      <c r="K325" s="367">
        <v>0</v>
      </c>
      <c r="L325" s="367">
        <f>IF($H325="",0,VLOOKUP($E325,Plan3!$A$16:$CT$384,$E$7,0)%)</f>
        <v>0</v>
      </c>
      <c r="M325" s="368">
        <f t="shared" si="202"/>
        <v>0</v>
      </c>
      <c r="N325" s="368">
        <f t="shared" si="203"/>
        <v>0</v>
      </c>
      <c r="O325" s="367">
        <v>0</v>
      </c>
      <c r="P325" s="367">
        <f>VLOOKUP($E325,Plan3!$A$492:$P$858,13,0)%</f>
        <v>0</v>
      </c>
      <c r="Q325" s="368">
        <f t="shared" si="204"/>
        <v>0</v>
      </c>
      <c r="R325" s="368">
        <f t="shared" si="205"/>
        <v>0</v>
      </c>
      <c r="S325" s="880">
        <v>4704.74928</v>
      </c>
      <c r="T325" s="880">
        <f t="shared" si="206"/>
        <v>0</v>
      </c>
      <c r="U325" s="880">
        <f>IF($I325="",0,($S325-$T325)*(1+('Econômico Macro'!$R$12/100)))</f>
        <v>4786.1414425440007</v>
      </c>
      <c r="V325" s="880">
        <f t="shared" si="207"/>
        <v>4786.1414425440007</v>
      </c>
      <c r="W325" s="880">
        <f t="shared" si="208"/>
        <v>0</v>
      </c>
      <c r="X325" s="367">
        <f t="shared" si="184"/>
        <v>0</v>
      </c>
      <c r="Y325" s="367">
        <f t="shared" si="185"/>
        <v>0</v>
      </c>
      <c r="Z325" s="367">
        <f t="shared" si="186"/>
        <v>0</v>
      </c>
      <c r="AA325" s="367">
        <f t="shared" si="187"/>
        <v>0</v>
      </c>
      <c r="AB325" s="369" t="str">
        <f t="shared" si="188"/>
        <v>Não Iniciada</v>
      </c>
      <c r="AC325" s="365"/>
      <c r="AD325" s="368">
        <v>1</v>
      </c>
      <c r="AE325" s="368">
        <f t="shared" si="209"/>
        <v>-1</v>
      </c>
      <c r="AF325" s="365"/>
      <c r="AG325" s="863">
        <f t="shared" si="198"/>
        <v>0</v>
      </c>
      <c r="AH325" s="864">
        <f t="shared" si="210"/>
        <v>0</v>
      </c>
      <c r="AI325" s="863">
        <f t="shared" si="199"/>
        <v>0</v>
      </c>
      <c r="AJ325" s="864">
        <f t="shared" si="211"/>
        <v>0</v>
      </c>
      <c r="AK325" s="365"/>
      <c r="AL325" s="865">
        <f t="shared" si="200"/>
        <v>0</v>
      </c>
      <c r="AM325" s="866">
        <f t="shared" si="212"/>
        <v>0</v>
      </c>
      <c r="AN325" s="866">
        <f t="shared" si="213"/>
        <v>0</v>
      </c>
      <c r="AO325" s="866">
        <f t="shared" si="214"/>
        <v>0</v>
      </c>
      <c r="AP325" s="867">
        <f t="shared" si="215"/>
        <v>0</v>
      </c>
      <c r="AQ325" s="591">
        <f t="shared" si="201"/>
        <v>0</v>
      </c>
      <c r="AR325" s="868">
        <f>IF(AND($L325=0,$P325=0)=TRUE,VLOOKUP($E325,Plan3!$A$16:$CT$487,$E$7+3,0)/100,0)</f>
        <v>0</v>
      </c>
      <c r="AS325" s="868">
        <f>IF(AND($L325=0,$P325=0)=TRUE,VLOOKUP($E325,Plan3!$A$16:$CT$487,$E$7+6,0)/100,0)</f>
        <v>0</v>
      </c>
      <c r="AT325" s="868">
        <f>IF(AND($L325=0,$P325=0)=TRUE,VLOOKUP($E325,Plan3!$A$16:$CT$487,$E$7+9,0)/100,0)</f>
        <v>0</v>
      </c>
      <c r="AU325" s="868">
        <f>IF(AND($L325=0,$P325=0)=TRUE,VLOOKUP($E325,Plan3!$A$16:$CT$487,$E$7+12,0)/100,0)</f>
        <v>0</v>
      </c>
      <c r="AV325" s="841"/>
      <c r="AW325" s="869">
        <f t="shared" si="220"/>
        <v>0</v>
      </c>
      <c r="AX325" s="870">
        <f t="shared" si="221"/>
        <v>0</v>
      </c>
      <c r="AY325" s="871">
        <f t="shared" si="222"/>
        <v>0</v>
      </c>
      <c r="AZ325" s="237" t="str">
        <f t="shared" si="189"/>
        <v xml:space="preserve">18.006.000.001 </v>
      </c>
      <c r="BA325" s="365"/>
      <c r="BB325" s="365"/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872">
        <f t="shared" si="190"/>
        <v>0</v>
      </c>
      <c r="BM325" s="873">
        <f t="shared" si="191"/>
        <v>0</v>
      </c>
      <c r="BN325" s="874">
        <f t="shared" si="216"/>
        <v>0</v>
      </c>
      <c r="BO325" s="875">
        <f t="shared" si="192"/>
        <v>0</v>
      </c>
      <c r="BP325" s="875">
        <f t="shared" si="193"/>
        <v>0</v>
      </c>
      <c r="BQ325" s="876">
        <f t="shared" si="217"/>
        <v>0</v>
      </c>
      <c r="BR325" s="877">
        <f t="shared" si="218"/>
        <v>0</v>
      </c>
      <c r="BS325" s="875">
        <f t="shared" si="194"/>
        <v>0</v>
      </c>
      <c r="BT325" s="875">
        <f t="shared" si="195"/>
        <v>0</v>
      </c>
      <c r="BU325" s="878">
        <f t="shared" si="219"/>
        <v>0</v>
      </c>
      <c r="CE325" s="486">
        <v>311</v>
      </c>
    </row>
    <row r="326" spans="1:83" s="177" customFormat="1" ht="21.95" customHeight="1" x14ac:dyDescent="0.2">
      <c r="A326" s="237">
        <f t="shared" si="196"/>
        <v>0</v>
      </c>
      <c r="B326" s="237">
        <f t="shared" si="197"/>
        <v>0</v>
      </c>
      <c r="C326" s="393">
        <f t="shared" si="182"/>
        <v>0</v>
      </c>
      <c r="D326" s="393" t="str">
        <f t="shared" si="183"/>
        <v xml:space="preserve">18 </v>
      </c>
      <c r="E326" s="967" t="s">
        <v>812</v>
      </c>
      <c r="F326" s="967" t="s">
        <v>710</v>
      </c>
      <c r="G326" s="967"/>
      <c r="H326" s="968"/>
      <c r="I326" s="968"/>
      <c r="J326" s="969">
        <v>31645.84</v>
      </c>
      <c r="K326" s="367">
        <v>0</v>
      </c>
      <c r="L326" s="367">
        <f>IF($H326="",0,VLOOKUP($E326,Plan3!$A$16:$CT$384,$E$7,0)%)</f>
        <v>0</v>
      </c>
      <c r="M326" s="368">
        <f t="shared" si="202"/>
        <v>0</v>
      </c>
      <c r="N326" s="368">
        <f t="shared" si="203"/>
        <v>0</v>
      </c>
      <c r="O326" s="367">
        <v>0</v>
      </c>
      <c r="P326" s="367">
        <f>VLOOKUP($E326,Plan3!$A$492:$P$858,13,0)%</f>
        <v>0</v>
      </c>
      <c r="Q326" s="368">
        <f t="shared" si="204"/>
        <v>0</v>
      </c>
      <c r="R326" s="368">
        <f t="shared" si="205"/>
        <v>0</v>
      </c>
      <c r="S326" s="880">
        <v>0</v>
      </c>
      <c r="T326" s="880">
        <f t="shared" si="206"/>
        <v>0</v>
      </c>
      <c r="U326" s="880">
        <f>IF($I326="",0,($S326-$T326)*(1+('Econômico Macro'!$R$12/100)))</f>
        <v>0</v>
      </c>
      <c r="V326" s="880">
        <f t="shared" si="207"/>
        <v>0</v>
      </c>
      <c r="W326" s="880">
        <f t="shared" si="208"/>
        <v>0</v>
      </c>
      <c r="X326" s="367">
        <f t="shared" si="184"/>
        <v>0</v>
      </c>
      <c r="Y326" s="367">
        <f t="shared" si="185"/>
        <v>0</v>
      </c>
      <c r="Z326" s="367">
        <f t="shared" si="186"/>
        <v>0</v>
      </c>
      <c r="AA326" s="367">
        <f t="shared" si="187"/>
        <v>0</v>
      </c>
      <c r="AB326" s="369" t="str">
        <f t="shared" si="188"/>
        <v>Não Iniciada</v>
      </c>
      <c r="AC326" s="365"/>
      <c r="AD326" s="368">
        <v>1</v>
      </c>
      <c r="AE326" s="368">
        <f t="shared" si="209"/>
        <v>-1</v>
      </c>
      <c r="AF326" s="365"/>
      <c r="AG326" s="863">
        <f t="shared" si="198"/>
        <v>0</v>
      </c>
      <c r="AH326" s="864">
        <f t="shared" si="210"/>
        <v>0</v>
      </c>
      <c r="AI326" s="863">
        <f t="shared" si="199"/>
        <v>0</v>
      </c>
      <c r="AJ326" s="864">
        <f t="shared" si="211"/>
        <v>0</v>
      </c>
      <c r="AK326" s="365"/>
      <c r="AL326" s="865">
        <f t="shared" si="200"/>
        <v>0</v>
      </c>
      <c r="AM326" s="866">
        <f t="shared" si="212"/>
        <v>0</v>
      </c>
      <c r="AN326" s="866">
        <f t="shared" si="213"/>
        <v>0</v>
      </c>
      <c r="AO326" s="866">
        <f t="shared" si="214"/>
        <v>0</v>
      </c>
      <c r="AP326" s="867">
        <f t="shared" si="215"/>
        <v>0</v>
      </c>
      <c r="AQ326" s="591"/>
      <c r="AR326" s="868"/>
      <c r="AS326" s="868"/>
      <c r="AT326" s="868"/>
      <c r="AU326" s="868"/>
      <c r="AV326" s="841"/>
      <c r="AW326" s="869"/>
      <c r="AX326" s="870"/>
      <c r="AY326" s="871"/>
      <c r="AZ326" s="237" t="str">
        <f t="shared" si="189"/>
        <v xml:space="preserve">18.007 </v>
      </c>
      <c r="BA326" s="365"/>
      <c r="BB326" s="365"/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872">
        <f t="shared" si="190"/>
        <v>0</v>
      </c>
      <c r="BM326" s="873">
        <f t="shared" si="191"/>
        <v>0</v>
      </c>
      <c r="BN326" s="874">
        <f t="shared" si="216"/>
        <v>0</v>
      </c>
      <c r="BO326" s="875">
        <f t="shared" si="192"/>
        <v>0</v>
      </c>
      <c r="BP326" s="875">
        <f t="shared" si="193"/>
        <v>0</v>
      </c>
      <c r="BQ326" s="876">
        <f t="shared" si="217"/>
        <v>0</v>
      </c>
      <c r="BR326" s="877">
        <f t="shared" si="218"/>
        <v>0</v>
      </c>
      <c r="BS326" s="875">
        <f t="shared" si="194"/>
        <v>0</v>
      </c>
      <c r="BT326" s="875">
        <f t="shared" si="195"/>
        <v>0</v>
      </c>
      <c r="BU326" s="878">
        <f t="shared" si="219"/>
        <v>0</v>
      </c>
      <c r="CE326" s="486">
        <v>312</v>
      </c>
    </row>
    <row r="327" spans="1:83" s="177" customFormat="1" ht="21.95" customHeight="1" x14ac:dyDescent="0.2">
      <c r="A327" s="237">
        <f t="shared" si="196"/>
        <v>0</v>
      </c>
      <c r="B327" s="237">
        <f t="shared" si="197"/>
        <v>0</v>
      </c>
      <c r="C327" s="393">
        <f t="shared" si="182"/>
        <v>0</v>
      </c>
      <c r="D327" s="393" t="str">
        <f t="shared" si="183"/>
        <v xml:space="preserve">18 </v>
      </c>
      <c r="E327" s="959" t="s">
        <v>813</v>
      </c>
      <c r="F327" s="959" t="s">
        <v>507</v>
      </c>
      <c r="G327" s="959" t="s">
        <v>8</v>
      </c>
      <c r="H327" s="960">
        <v>1</v>
      </c>
      <c r="I327" s="965">
        <v>245.84</v>
      </c>
      <c r="J327" s="966">
        <v>245.84</v>
      </c>
      <c r="K327" s="367">
        <v>0</v>
      </c>
      <c r="L327" s="367">
        <f>IF($H327="",0,VLOOKUP($E327,Plan3!$A$16:$CT$384,$E$7,0)%)</f>
        <v>0</v>
      </c>
      <c r="M327" s="368">
        <f t="shared" si="202"/>
        <v>0</v>
      </c>
      <c r="N327" s="368">
        <f t="shared" si="203"/>
        <v>0</v>
      </c>
      <c r="O327" s="367">
        <v>0</v>
      </c>
      <c r="P327" s="367">
        <f>VLOOKUP($E327,Plan3!$A$492:$P$858,13,0)%</f>
        <v>0</v>
      </c>
      <c r="Q327" s="368">
        <f t="shared" si="204"/>
        <v>0</v>
      </c>
      <c r="R327" s="368">
        <f t="shared" si="205"/>
        <v>0</v>
      </c>
      <c r="S327" s="880">
        <v>248.69174400000003</v>
      </c>
      <c r="T327" s="880">
        <f t="shared" si="206"/>
        <v>0</v>
      </c>
      <c r="U327" s="880">
        <f>IF($I327="",0,($S327-$T327)*(1+('Econômico Macro'!$R$12/100)))</f>
        <v>252.99411117120005</v>
      </c>
      <c r="V327" s="880">
        <f t="shared" si="207"/>
        <v>252.99411117120005</v>
      </c>
      <c r="W327" s="880">
        <f t="shared" si="208"/>
        <v>0</v>
      </c>
      <c r="X327" s="367">
        <f t="shared" si="184"/>
        <v>0</v>
      </c>
      <c r="Y327" s="367">
        <f t="shared" si="185"/>
        <v>0</v>
      </c>
      <c r="Z327" s="367">
        <f t="shared" si="186"/>
        <v>0</v>
      </c>
      <c r="AA327" s="367">
        <f t="shared" si="187"/>
        <v>0</v>
      </c>
      <c r="AB327" s="369" t="str">
        <f t="shared" si="188"/>
        <v>Não Iniciada</v>
      </c>
      <c r="AC327" s="365"/>
      <c r="AD327" s="368">
        <v>1</v>
      </c>
      <c r="AE327" s="368">
        <f t="shared" si="209"/>
        <v>-1</v>
      </c>
      <c r="AF327" s="365"/>
      <c r="AG327" s="863">
        <f t="shared" si="198"/>
        <v>0</v>
      </c>
      <c r="AH327" s="864">
        <f t="shared" si="210"/>
        <v>0</v>
      </c>
      <c r="AI327" s="863">
        <f t="shared" si="199"/>
        <v>0</v>
      </c>
      <c r="AJ327" s="864">
        <f t="shared" si="211"/>
        <v>0</v>
      </c>
      <c r="AK327" s="365"/>
      <c r="AL327" s="865">
        <f t="shared" si="200"/>
        <v>0</v>
      </c>
      <c r="AM327" s="866">
        <f t="shared" si="212"/>
        <v>0</v>
      </c>
      <c r="AN327" s="866">
        <f t="shared" si="213"/>
        <v>0</v>
      </c>
      <c r="AO327" s="866">
        <f t="shared" si="214"/>
        <v>0</v>
      </c>
      <c r="AP327" s="867">
        <f t="shared" si="215"/>
        <v>0</v>
      </c>
      <c r="AQ327" s="591">
        <f t="shared" si="201"/>
        <v>0</v>
      </c>
      <c r="AR327" s="868">
        <f>IF(AND($L327=0,$P327=0)=TRUE,VLOOKUP($E327,Plan3!$A$16:$CT$487,$E$7+3,0)/100,0)</f>
        <v>0</v>
      </c>
      <c r="AS327" s="868">
        <f>IF(AND($L327=0,$P327=0)=TRUE,VLOOKUP($E327,Plan3!$A$16:$CT$487,$E$7+6,0)/100,0)</f>
        <v>0</v>
      </c>
      <c r="AT327" s="868">
        <f>IF(AND($L327=0,$P327=0)=TRUE,VLOOKUP($E327,Plan3!$A$16:$CT$487,$E$7+9,0)/100,0)</f>
        <v>0</v>
      </c>
      <c r="AU327" s="868">
        <f>IF(AND($L327=0,$P327=0)=TRUE,VLOOKUP($E327,Plan3!$A$16:$CT$487,$E$7+12,0)/100,0)</f>
        <v>0</v>
      </c>
      <c r="AV327" s="841"/>
      <c r="AW327" s="869">
        <f t="shared" si="220"/>
        <v>0</v>
      </c>
      <c r="AX327" s="870">
        <f t="shared" si="221"/>
        <v>0</v>
      </c>
      <c r="AY327" s="871">
        <f t="shared" si="222"/>
        <v>0</v>
      </c>
      <c r="AZ327" s="237" t="str">
        <f t="shared" si="189"/>
        <v xml:space="preserve">18.007.000.001 </v>
      </c>
      <c r="BA327" s="365"/>
      <c r="BB327" s="365"/>
      <c r="BC327" s="365"/>
      <c r="BD327" s="365"/>
      <c r="BE327" s="365"/>
      <c r="BF327" s="365"/>
      <c r="BG327" s="365"/>
      <c r="BH327" s="365"/>
      <c r="BI327" s="365"/>
      <c r="BJ327" s="365"/>
      <c r="BK327" s="365"/>
      <c r="BL327" s="872">
        <f t="shared" si="190"/>
        <v>0</v>
      </c>
      <c r="BM327" s="873">
        <f t="shared" si="191"/>
        <v>0</v>
      </c>
      <c r="BN327" s="874">
        <f t="shared" si="216"/>
        <v>0</v>
      </c>
      <c r="BO327" s="875">
        <f t="shared" si="192"/>
        <v>0</v>
      </c>
      <c r="BP327" s="875">
        <f t="shared" si="193"/>
        <v>0</v>
      </c>
      <c r="BQ327" s="876">
        <f t="shared" si="217"/>
        <v>0</v>
      </c>
      <c r="BR327" s="877">
        <f t="shared" si="218"/>
        <v>0</v>
      </c>
      <c r="BS327" s="875">
        <f t="shared" si="194"/>
        <v>0</v>
      </c>
      <c r="BT327" s="875">
        <f t="shared" si="195"/>
        <v>0</v>
      </c>
      <c r="BU327" s="878">
        <f t="shared" si="219"/>
        <v>0</v>
      </c>
      <c r="CE327" s="486">
        <v>313</v>
      </c>
    </row>
    <row r="328" spans="1:83" s="177" customFormat="1" ht="21.95" customHeight="1" x14ac:dyDescent="0.2">
      <c r="A328" s="237">
        <f t="shared" si="196"/>
        <v>0</v>
      </c>
      <c r="B328" s="237">
        <f t="shared" si="197"/>
        <v>0</v>
      </c>
      <c r="C328" s="393">
        <f t="shared" si="182"/>
        <v>0</v>
      </c>
      <c r="D328" s="393" t="str">
        <f t="shared" si="183"/>
        <v xml:space="preserve">18 </v>
      </c>
      <c r="E328" s="959" t="s">
        <v>2134</v>
      </c>
      <c r="F328" s="959" t="s">
        <v>2135</v>
      </c>
      <c r="G328" s="959" t="s">
        <v>8</v>
      </c>
      <c r="H328" s="960">
        <v>2</v>
      </c>
      <c r="I328" s="961">
        <v>15700</v>
      </c>
      <c r="J328" s="962">
        <v>31400</v>
      </c>
      <c r="K328" s="367">
        <v>0</v>
      </c>
      <c r="L328" s="367">
        <f>IF($H328="",0,VLOOKUP($E328,Plan3!$A$16:$CT$384,$E$7,0)%)</f>
        <v>0</v>
      </c>
      <c r="M328" s="368">
        <f t="shared" si="202"/>
        <v>0</v>
      </c>
      <c r="N328" s="368">
        <f t="shared" si="203"/>
        <v>0</v>
      </c>
      <c r="O328" s="367">
        <v>0</v>
      </c>
      <c r="P328" s="367">
        <f>VLOOKUP($E328,Plan3!$A$492:$P$858,13,0)%</f>
        <v>0</v>
      </c>
      <c r="Q328" s="368">
        <f t="shared" si="204"/>
        <v>0</v>
      </c>
      <c r="R328" s="368">
        <f t="shared" si="205"/>
        <v>0</v>
      </c>
      <c r="S328" s="880">
        <v>31764.240000000002</v>
      </c>
      <c r="T328" s="880">
        <f t="shared" si="206"/>
        <v>0</v>
      </c>
      <c r="U328" s="880">
        <f>IF($I328="",0,($S328-$T328)*(1+('Econômico Macro'!$R$12/100)))</f>
        <v>32313.761352000005</v>
      </c>
      <c r="V328" s="880">
        <f t="shared" si="207"/>
        <v>32313.761352000005</v>
      </c>
      <c r="W328" s="880">
        <f t="shared" si="208"/>
        <v>0</v>
      </c>
      <c r="X328" s="367">
        <f t="shared" si="184"/>
        <v>0</v>
      </c>
      <c r="Y328" s="367">
        <f t="shared" si="185"/>
        <v>0</v>
      </c>
      <c r="Z328" s="367">
        <f t="shared" si="186"/>
        <v>0</v>
      </c>
      <c r="AA328" s="367">
        <f t="shared" si="187"/>
        <v>0</v>
      </c>
      <c r="AB328" s="369" t="str">
        <f t="shared" si="188"/>
        <v>Não Iniciada</v>
      </c>
      <c r="AC328" s="365"/>
      <c r="AD328" s="368">
        <v>1</v>
      </c>
      <c r="AE328" s="368">
        <f t="shared" si="209"/>
        <v>-1</v>
      </c>
      <c r="AF328" s="365"/>
      <c r="AG328" s="863">
        <f t="shared" si="198"/>
        <v>0</v>
      </c>
      <c r="AH328" s="864">
        <f t="shared" si="210"/>
        <v>0</v>
      </c>
      <c r="AI328" s="863">
        <f t="shared" si="199"/>
        <v>0</v>
      </c>
      <c r="AJ328" s="864">
        <f t="shared" si="211"/>
        <v>0</v>
      </c>
      <c r="AK328" s="365"/>
      <c r="AL328" s="865">
        <f t="shared" si="200"/>
        <v>0</v>
      </c>
      <c r="AM328" s="866">
        <f t="shared" si="212"/>
        <v>0</v>
      </c>
      <c r="AN328" s="866">
        <f t="shared" si="213"/>
        <v>0</v>
      </c>
      <c r="AO328" s="866">
        <f t="shared" si="214"/>
        <v>0</v>
      </c>
      <c r="AP328" s="867">
        <f t="shared" si="215"/>
        <v>0</v>
      </c>
      <c r="AQ328" s="591">
        <f t="shared" si="201"/>
        <v>0</v>
      </c>
      <c r="AR328" s="868">
        <f>IF(AND($L328=0,$P328=0)=TRUE,VLOOKUP($E328,Plan3!$A$16:$CT$487,$E$7+3,0)/100,0)</f>
        <v>0</v>
      </c>
      <c r="AS328" s="868">
        <f>IF(AND($L328=0,$P328=0)=TRUE,VLOOKUP($E328,Plan3!$A$16:$CT$487,$E$7+6,0)/100,0)</f>
        <v>0</v>
      </c>
      <c r="AT328" s="868">
        <f>IF(AND($L328=0,$P328=0)=TRUE,VLOOKUP($E328,Plan3!$A$16:$CT$487,$E$7+9,0)/100,0)</f>
        <v>0</v>
      </c>
      <c r="AU328" s="868">
        <f>IF(AND($L328=0,$P328=0)=TRUE,VLOOKUP($E328,Plan3!$A$16:$CT$487,$E$7+12,0)/100,0)</f>
        <v>0</v>
      </c>
      <c r="AV328" s="841"/>
      <c r="AW328" s="869">
        <f t="shared" si="220"/>
        <v>0</v>
      </c>
      <c r="AX328" s="870">
        <f t="shared" si="221"/>
        <v>0</v>
      </c>
      <c r="AY328" s="871">
        <f t="shared" si="222"/>
        <v>0</v>
      </c>
      <c r="AZ328" s="237" t="str">
        <f t="shared" si="189"/>
        <v xml:space="preserve">18.007.000.002 </v>
      </c>
      <c r="BA328" s="365"/>
      <c r="BB328" s="365"/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872">
        <f t="shared" si="190"/>
        <v>0</v>
      </c>
      <c r="BM328" s="873">
        <f t="shared" si="191"/>
        <v>0</v>
      </c>
      <c r="BN328" s="874">
        <f t="shared" si="216"/>
        <v>0</v>
      </c>
      <c r="BO328" s="875">
        <f t="shared" si="192"/>
        <v>0</v>
      </c>
      <c r="BP328" s="875">
        <f t="shared" si="193"/>
        <v>0</v>
      </c>
      <c r="BQ328" s="876">
        <f t="shared" si="217"/>
        <v>0</v>
      </c>
      <c r="BR328" s="877">
        <f t="shared" si="218"/>
        <v>0</v>
      </c>
      <c r="BS328" s="875">
        <f t="shared" si="194"/>
        <v>0</v>
      </c>
      <c r="BT328" s="875">
        <f t="shared" si="195"/>
        <v>0</v>
      </c>
      <c r="BU328" s="878">
        <f t="shared" si="219"/>
        <v>0</v>
      </c>
      <c r="CE328" s="486">
        <v>314</v>
      </c>
    </row>
    <row r="329" spans="1:83" s="177" customFormat="1" ht="21.95" customHeight="1" x14ac:dyDescent="0.2">
      <c r="A329" s="237">
        <f t="shared" si="196"/>
        <v>0</v>
      </c>
      <c r="B329" s="237">
        <f t="shared" si="197"/>
        <v>0</v>
      </c>
      <c r="C329" s="393" t="str">
        <f t="shared" si="182"/>
        <v xml:space="preserve">19 </v>
      </c>
      <c r="D329" s="393" t="str">
        <f t="shared" si="183"/>
        <v xml:space="preserve">19 </v>
      </c>
      <c r="E329" s="161" t="s">
        <v>149</v>
      </c>
      <c r="F329" s="161" t="s">
        <v>9</v>
      </c>
      <c r="G329" s="162"/>
      <c r="H329" s="162"/>
      <c r="I329" s="162"/>
      <c r="J329" s="163">
        <v>182995.47</v>
      </c>
      <c r="K329" s="164">
        <v>0</v>
      </c>
      <c r="L329" s="164">
        <f t="array" ref="L329">SUM(IF($D330:$D$379=$E329,$L330:$L$379*$J330:$J$379))/$J329</f>
        <v>0</v>
      </c>
      <c r="M329" s="163"/>
      <c r="N329" s="163">
        <f>$L329*$J329</f>
        <v>0</v>
      </c>
      <c r="O329" s="164">
        <v>0</v>
      </c>
      <c r="P329" s="164">
        <f t="array" ref="P329">SUM(IF($D330:$D$379=$E329,$P330:$P$379*$J330:$J$379))/$J329</f>
        <v>0</v>
      </c>
      <c r="Q329" s="163">
        <f>$P329*$H329</f>
        <v>0</v>
      </c>
      <c r="R329" s="163">
        <f>$P329*$J329</f>
        <v>0</v>
      </c>
      <c r="S329" s="163">
        <v>185118.21745200007</v>
      </c>
      <c r="T329" s="163">
        <f>SUM(T330:T360)</f>
        <v>0</v>
      </c>
      <c r="U329" s="163"/>
      <c r="V329" s="163">
        <f t="shared" ref="V329:W329" si="226">SUM(V330:V360)</f>
        <v>188320.76261391965</v>
      </c>
      <c r="W329" s="163">
        <f t="shared" si="226"/>
        <v>0</v>
      </c>
      <c r="X329" s="164">
        <f t="shared" si="184"/>
        <v>0</v>
      </c>
      <c r="Y329" s="164">
        <f t="shared" si="185"/>
        <v>0</v>
      </c>
      <c r="Z329" s="164">
        <f t="shared" si="186"/>
        <v>0</v>
      </c>
      <c r="AA329" s="164">
        <f t="shared" si="187"/>
        <v>0</v>
      </c>
      <c r="AB329" s="201" t="str">
        <f t="shared" si="188"/>
        <v>Não Iniciada</v>
      </c>
      <c r="AC329" s="155" t="s">
        <v>763</v>
      </c>
      <c r="AD329" s="689">
        <v>0</v>
      </c>
      <c r="AE329" s="835">
        <f>Q329-AD329</f>
        <v>0</v>
      </c>
      <c r="AF329" s="155"/>
      <c r="AG329" s="207"/>
      <c r="AH329" s="208"/>
      <c r="AI329" s="207"/>
      <c r="AJ329" s="208"/>
      <c r="AK329" s="155"/>
      <c r="AL329" s="212"/>
      <c r="AM329" s="209"/>
      <c r="AN329" s="209"/>
      <c r="AO329" s="209"/>
      <c r="AP329" s="213"/>
      <c r="AQ329" s="401"/>
      <c r="AR329" s="247"/>
      <c r="AS329" s="247"/>
      <c r="AT329" s="247"/>
      <c r="AU329" s="247"/>
      <c r="AV329" s="155"/>
      <c r="AW329" s="250"/>
      <c r="AX329" s="248"/>
      <c r="AY329" s="402"/>
      <c r="AZ329" s="237" t="str">
        <f t="shared" si="189"/>
        <v xml:space="preserve">19 </v>
      </c>
      <c r="BA329" s="155"/>
      <c r="BB329" s="155"/>
      <c r="BC329" s="155"/>
      <c r="BD329" s="155"/>
      <c r="BE329" s="155"/>
      <c r="BF329" s="155"/>
      <c r="BG329" s="155"/>
      <c r="BH329" s="155"/>
      <c r="BI329" s="155"/>
      <c r="BJ329" s="155"/>
      <c r="BK329" s="155"/>
      <c r="BL329" s="666" t="str">
        <f t="shared" si="190"/>
        <v xml:space="preserve">19 </v>
      </c>
      <c r="BM329" s="667">
        <f t="shared" si="191"/>
        <v>0</v>
      </c>
      <c r="BN329" s="668">
        <f>IF($BQ329=0,0,RANK($BQ329,$BQ$12:$BQ$379))</f>
        <v>0</v>
      </c>
      <c r="BO329" s="669">
        <f t="shared" si="192"/>
        <v>0</v>
      </c>
      <c r="BP329" s="669">
        <f t="shared" si="193"/>
        <v>0</v>
      </c>
      <c r="BQ329" s="670">
        <f>IF($BP329=0,0,$BP329/$BP$380)</f>
        <v>0</v>
      </c>
      <c r="BR329" s="671">
        <f>IF($BU329=0,0,RANK($BU329,$BU$12:$BU$379))</f>
        <v>0</v>
      </c>
      <c r="BS329" s="669">
        <f t="shared" si="194"/>
        <v>0</v>
      </c>
      <c r="BT329" s="669">
        <f t="shared" si="195"/>
        <v>0</v>
      </c>
      <c r="BU329" s="672">
        <f>IF($BT329=0,0,$BT329/$BT$380)</f>
        <v>0</v>
      </c>
      <c r="CE329" s="486"/>
    </row>
    <row r="330" spans="1:83" s="177" customFormat="1" ht="21.95" customHeight="1" x14ac:dyDescent="0.2">
      <c r="A330" s="237">
        <f t="shared" si="196"/>
        <v>0</v>
      </c>
      <c r="B330" s="237">
        <f t="shared" si="197"/>
        <v>0</v>
      </c>
      <c r="C330" s="393">
        <f t="shared" si="182"/>
        <v>0</v>
      </c>
      <c r="D330" s="393" t="str">
        <f t="shared" si="183"/>
        <v xml:space="preserve">19 </v>
      </c>
      <c r="E330" s="959" t="s">
        <v>2136</v>
      </c>
      <c r="F330" s="959" t="s">
        <v>494</v>
      </c>
      <c r="G330" s="959" t="s">
        <v>7</v>
      </c>
      <c r="H330" s="960">
        <v>1</v>
      </c>
      <c r="I330" s="978">
        <v>126064.334</v>
      </c>
      <c r="J330" s="972">
        <v>126064.33</v>
      </c>
      <c r="K330" s="367">
        <v>0</v>
      </c>
      <c r="L330" s="367">
        <f>IF($H330="",0,VLOOKUP($E330,Plan3!$A$16:$CT$384,$E$7,0)%)</f>
        <v>0</v>
      </c>
      <c r="M330" s="368">
        <f t="shared" si="202"/>
        <v>0</v>
      </c>
      <c r="N330" s="368">
        <f t="shared" si="203"/>
        <v>0</v>
      </c>
      <c r="O330" s="367">
        <v>0</v>
      </c>
      <c r="P330" s="367">
        <f>VLOOKUP($E330,Plan3!$A$492:$P$858,13,0)%</f>
        <v>0</v>
      </c>
      <c r="Q330" s="368">
        <f t="shared" si="204"/>
        <v>0</v>
      </c>
      <c r="R330" s="368">
        <f t="shared" si="205"/>
        <v>0</v>
      </c>
      <c r="S330" s="880">
        <v>127526.67622800001</v>
      </c>
      <c r="T330" s="880">
        <f t="shared" si="206"/>
        <v>0</v>
      </c>
      <c r="U330" s="880">
        <f>IF($I330="",0,($S330-$T330)*(1+('Econômico Macro'!$R$12/100)))</f>
        <v>129732.88772674442</v>
      </c>
      <c r="V330" s="880">
        <f t="shared" si="207"/>
        <v>129732.88772674442</v>
      </c>
      <c r="W330" s="880">
        <f t="shared" si="208"/>
        <v>0</v>
      </c>
      <c r="X330" s="367">
        <f t="shared" si="184"/>
        <v>0</v>
      </c>
      <c r="Y330" s="367">
        <f t="shared" si="185"/>
        <v>0</v>
      </c>
      <c r="Z330" s="367">
        <f t="shared" si="186"/>
        <v>0</v>
      </c>
      <c r="AA330" s="367">
        <f t="shared" si="187"/>
        <v>0</v>
      </c>
      <c r="AB330" s="369" t="str">
        <f t="shared" si="188"/>
        <v>Não Iniciada</v>
      </c>
      <c r="AC330" s="365"/>
      <c r="AD330" s="368">
        <v>1</v>
      </c>
      <c r="AE330" s="368">
        <f t="shared" si="209"/>
        <v>-1</v>
      </c>
      <c r="AF330" s="365"/>
      <c r="AG330" s="863">
        <f t="shared" si="198"/>
        <v>0</v>
      </c>
      <c r="AH330" s="864">
        <f t="shared" si="210"/>
        <v>0</v>
      </c>
      <c r="AI330" s="863">
        <f t="shared" si="199"/>
        <v>0</v>
      </c>
      <c r="AJ330" s="864">
        <f t="shared" si="211"/>
        <v>0</v>
      </c>
      <c r="AK330" s="365"/>
      <c r="AL330" s="865">
        <f t="shared" si="200"/>
        <v>0</v>
      </c>
      <c r="AM330" s="866">
        <f t="shared" si="212"/>
        <v>0</v>
      </c>
      <c r="AN330" s="866">
        <f t="shared" si="213"/>
        <v>0</v>
      </c>
      <c r="AO330" s="866">
        <f t="shared" si="214"/>
        <v>0</v>
      </c>
      <c r="AP330" s="867">
        <f t="shared" si="215"/>
        <v>0</v>
      </c>
      <c r="AQ330" s="591">
        <f t="shared" si="201"/>
        <v>0</v>
      </c>
      <c r="AR330" s="868">
        <f>IF(AND($L330=0,$P330=0)=TRUE,VLOOKUP($E330,Plan3!$A$16:$CT$487,$E$7+3,0)/100,0)</f>
        <v>0</v>
      </c>
      <c r="AS330" s="868">
        <f>IF(AND($L330=0,$P330=0)=TRUE,VLOOKUP($E330,Plan3!$A$16:$CT$487,$E$7+6,0)/100,0)</f>
        <v>0</v>
      </c>
      <c r="AT330" s="868">
        <f>IF(AND($L330=0,$P330=0)=TRUE,VLOOKUP($E330,Plan3!$A$16:$CT$487,$E$7+9,0)/100,0)</f>
        <v>0</v>
      </c>
      <c r="AU330" s="868">
        <f>IF(AND($L330=0,$P330=0)=TRUE,VLOOKUP($E330,Plan3!$A$16:$CT$487,$E$7+12,0)/100,0)</f>
        <v>0</v>
      </c>
      <c r="AV330" s="841"/>
      <c r="AW330" s="869">
        <f t="shared" si="220"/>
        <v>0</v>
      </c>
      <c r="AX330" s="870">
        <f t="shared" si="221"/>
        <v>0</v>
      </c>
      <c r="AY330" s="871">
        <f t="shared" si="222"/>
        <v>0</v>
      </c>
      <c r="AZ330" s="237" t="str">
        <f t="shared" si="189"/>
        <v xml:space="preserve">19.000.000.001 </v>
      </c>
      <c r="BA330" s="365"/>
      <c r="BB330" s="365"/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872">
        <f t="shared" si="190"/>
        <v>0</v>
      </c>
      <c r="BM330" s="873">
        <f t="shared" si="191"/>
        <v>0</v>
      </c>
      <c r="BN330" s="874">
        <f t="shared" si="216"/>
        <v>0</v>
      </c>
      <c r="BO330" s="875">
        <f t="shared" si="192"/>
        <v>0</v>
      </c>
      <c r="BP330" s="875">
        <f t="shared" si="193"/>
        <v>0</v>
      </c>
      <c r="BQ330" s="876">
        <f t="shared" si="217"/>
        <v>0</v>
      </c>
      <c r="BR330" s="877">
        <f t="shared" si="218"/>
        <v>0</v>
      </c>
      <c r="BS330" s="875">
        <f t="shared" si="194"/>
        <v>0</v>
      </c>
      <c r="BT330" s="875">
        <f t="shared" si="195"/>
        <v>0</v>
      </c>
      <c r="BU330" s="878">
        <f t="shared" si="219"/>
        <v>0</v>
      </c>
      <c r="CE330" s="486"/>
    </row>
    <row r="331" spans="1:83" s="177" customFormat="1" ht="21.95" customHeight="1" x14ac:dyDescent="0.2">
      <c r="A331" s="237">
        <f t="shared" si="196"/>
        <v>0</v>
      </c>
      <c r="B331" s="237">
        <f t="shared" si="197"/>
        <v>0</v>
      </c>
      <c r="C331" s="393">
        <f t="shared" si="182"/>
        <v>0</v>
      </c>
      <c r="D331" s="393" t="str">
        <f t="shared" si="183"/>
        <v xml:space="preserve">19 </v>
      </c>
      <c r="E331" s="967" t="s">
        <v>257</v>
      </c>
      <c r="F331" s="967" t="s">
        <v>712</v>
      </c>
      <c r="G331" s="967"/>
      <c r="H331" s="968"/>
      <c r="I331" s="968"/>
      <c r="J331" s="969">
        <v>19169.36</v>
      </c>
      <c r="K331" s="367">
        <v>0</v>
      </c>
      <c r="L331" s="367">
        <f>IF($H331="",0,VLOOKUP($E331,Plan3!$A$16:$CT$384,$E$7,0)%)</f>
        <v>0</v>
      </c>
      <c r="M331" s="368">
        <f t="shared" si="202"/>
        <v>0</v>
      </c>
      <c r="N331" s="368">
        <f t="shared" si="203"/>
        <v>0</v>
      </c>
      <c r="O331" s="367">
        <v>0</v>
      </c>
      <c r="P331" s="367">
        <f>VLOOKUP($E331,Plan3!$A$492:$P$858,13,0)%</f>
        <v>0</v>
      </c>
      <c r="Q331" s="368">
        <f t="shared" si="204"/>
        <v>0</v>
      </c>
      <c r="R331" s="368">
        <f t="shared" si="205"/>
        <v>0</v>
      </c>
      <c r="S331" s="880">
        <v>0</v>
      </c>
      <c r="T331" s="880">
        <f t="shared" si="206"/>
        <v>0</v>
      </c>
      <c r="U331" s="880">
        <f>IF($I331="",0,($S331-$T331)*(1+('Econômico Macro'!$R$12/100)))</f>
        <v>0</v>
      </c>
      <c r="V331" s="880">
        <f t="shared" si="207"/>
        <v>0</v>
      </c>
      <c r="W331" s="880">
        <f t="shared" si="208"/>
        <v>0</v>
      </c>
      <c r="X331" s="367">
        <f t="shared" si="184"/>
        <v>0</v>
      </c>
      <c r="Y331" s="367">
        <f t="shared" si="185"/>
        <v>0</v>
      </c>
      <c r="Z331" s="367">
        <f t="shared" si="186"/>
        <v>0</v>
      </c>
      <c r="AA331" s="367">
        <f t="shared" si="187"/>
        <v>0</v>
      </c>
      <c r="AB331" s="369" t="str">
        <f t="shared" si="188"/>
        <v>Não Iniciada</v>
      </c>
      <c r="AC331" s="365"/>
      <c r="AD331" s="368">
        <v>1</v>
      </c>
      <c r="AE331" s="368">
        <f t="shared" si="209"/>
        <v>-1</v>
      </c>
      <c r="AF331" s="365"/>
      <c r="AG331" s="863">
        <f t="shared" si="198"/>
        <v>0</v>
      </c>
      <c r="AH331" s="864">
        <f t="shared" si="210"/>
        <v>0</v>
      </c>
      <c r="AI331" s="863">
        <f t="shared" si="199"/>
        <v>0</v>
      </c>
      <c r="AJ331" s="864">
        <f t="shared" si="211"/>
        <v>0</v>
      </c>
      <c r="AK331" s="365"/>
      <c r="AL331" s="865">
        <f t="shared" si="200"/>
        <v>0</v>
      </c>
      <c r="AM331" s="866">
        <f t="shared" si="212"/>
        <v>0</v>
      </c>
      <c r="AN331" s="866">
        <f t="shared" si="213"/>
        <v>0</v>
      </c>
      <c r="AO331" s="866">
        <f t="shared" si="214"/>
        <v>0</v>
      </c>
      <c r="AP331" s="867">
        <f t="shared" si="215"/>
        <v>0</v>
      </c>
      <c r="AQ331" s="591"/>
      <c r="AR331" s="868"/>
      <c r="AS331" s="868"/>
      <c r="AT331" s="868"/>
      <c r="AU331" s="868"/>
      <c r="AV331" s="841"/>
      <c r="AW331" s="869"/>
      <c r="AX331" s="870"/>
      <c r="AY331" s="871"/>
      <c r="AZ331" s="237" t="str">
        <f t="shared" si="189"/>
        <v xml:space="preserve">19.001 </v>
      </c>
      <c r="BA331" s="365"/>
      <c r="BB331" s="365"/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872">
        <f t="shared" si="190"/>
        <v>0</v>
      </c>
      <c r="BM331" s="873">
        <f t="shared" si="191"/>
        <v>0</v>
      </c>
      <c r="BN331" s="874">
        <f t="shared" si="216"/>
        <v>0</v>
      </c>
      <c r="BO331" s="875">
        <f t="shared" si="192"/>
        <v>0</v>
      </c>
      <c r="BP331" s="875">
        <f t="shared" si="193"/>
        <v>0</v>
      </c>
      <c r="BQ331" s="876">
        <f t="shared" si="217"/>
        <v>0</v>
      </c>
      <c r="BR331" s="877">
        <f t="shared" si="218"/>
        <v>0</v>
      </c>
      <c r="BS331" s="875">
        <f t="shared" si="194"/>
        <v>0</v>
      </c>
      <c r="BT331" s="875">
        <f t="shared" si="195"/>
        <v>0</v>
      </c>
      <c r="BU331" s="878">
        <f t="shared" si="219"/>
        <v>0</v>
      </c>
      <c r="CE331" s="486"/>
    </row>
    <row r="332" spans="1:83" s="177" customFormat="1" ht="21.95" customHeight="1" x14ac:dyDescent="0.2">
      <c r="A332" s="237">
        <f t="shared" si="196"/>
        <v>0</v>
      </c>
      <c r="B332" s="237">
        <f t="shared" si="197"/>
        <v>0</v>
      </c>
      <c r="C332" s="393">
        <f t="shared" si="182"/>
        <v>0</v>
      </c>
      <c r="D332" s="393" t="str">
        <f t="shared" si="183"/>
        <v xml:space="preserve">19 </v>
      </c>
      <c r="E332" s="959" t="s">
        <v>258</v>
      </c>
      <c r="F332" s="959" t="s">
        <v>2137</v>
      </c>
      <c r="G332" s="959" t="s">
        <v>90</v>
      </c>
      <c r="H332" s="963">
        <v>4600.5</v>
      </c>
      <c r="I332" s="960">
        <v>4.1668000000000003</v>
      </c>
      <c r="J332" s="962">
        <v>19169.36</v>
      </c>
      <c r="K332" s="367">
        <v>0</v>
      </c>
      <c r="L332" s="367">
        <f>IF($H332="",0,VLOOKUP($E332,Plan3!$A$16:$CT$384,$E$7,0)%)</f>
        <v>0</v>
      </c>
      <c r="M332" s="368">
        <f t="shared" si="202"/>
        <v>0</v>
      </c>
      <c r="N332" s="368">
        <f t="shared" si="203"/>
        <v>0</v>
      </c>
      <c r="O332" s="367">
        <v>0</v>
      </c>
      <c r="P332" s="367">
        <f>VLOOKUP($E332,Plan3!$A$492:$P$858,13,0)%</f>
        <v>0</v>
      </c>
      <c r="Q332" s="368">
        <f t="shared" si="204"/>
        <v>0</v>
      </c>
      <c r="R332" s="368">
        <f t="shared" si="205"/>
        <v>0</v>
      </c>
      <c r="S332" s="880">
        <v>19391.724576000001</v>
      </c>
      <c r="T332" s="880">
        <f t="shared" si="206"/>
        <v>0</v>
      </c>
      <c r="U332" s="880">
        <f>IF($I332="",0,($S332-$T332)*(1+('Econômico Macro'!$R$12/100)))</f>
        <v>19727.201411164802</v>
      </c>
      <c r="V332" s="880">
        <f t="shared" si="207"/>
        <v>19727.201411164802</v>
      </c>
      <c r="W332" s="880">
        <f t="shared" si="208"/>
        <v>0</v>
      </c>
      <c r="X332" s="367">
        <f t="shared" si="184"/>
        <v>0</v>
      </c>
      <c r="Y332" s="367">
        <f t="shared" si="185"/>
        <v>0</v>
      </c>
      <c r="Z332" s="367">
        <f t="shared" si="186"/>
        <v>0</v>
      </c>
      <c r="AA332" s="367">
        <f t="shared" si="187"/>
        <v>0</v>
      </c>
      <c r="AB332" s="369" t="str">
        <f t="shared" si="188"/>
        <v>Não Iniciada</v>
      </c>
      <c r="AC332" s="365"/>
      <c r="AD332" s="368">
        <v>1</v>
      </c>
      <c r="AE332" s="368">
        <f t="shared" si="209"/>
        <v>-1</v>
      </c>
      <c r="AF332" s="365"/>
      <c r="AG332" s="863">
        <f t="shared" si="198"/>
        <v>0</v>
      </c>
      <c r="AH332" s="864">
        <f t="shared" si="210"/>
        <v>0</v>
      </c>
      <c r="AI332" s="863">
        <f t="shared" si="199"/>
        <v>0</v>
      </c>
      <c r="AJ332" s="864">
        <f t="shared" si="211"/>
        <v>0</v>
      </c>
      <c r="AK332" s="365"/>
      <c r="AL332" s="865">
        <f t="shared" si="200"/>
        <v>0</v>
      </c>
      <c r="AM332" s="866">
        <f t="shared" si="212"/>
        <v>0</v>
      </c>
      <c r="AN332" s="866">
        <f t="shared" si="213"/>
        <v>0</v>
      </c>
      <c r="AO332" s="866">
        <f t="shared" si="214"/>
        <v>0</v>
      </c>
      <c r="AP332" s="867">
        <f t="shared" si="215"/>
        <v>0</v>
      </c>
      <c r="AQ332" s="591">
        <f t="shared" si="201"/>
        <v>0</v>
      </c>
      <c r="AR332" s="868">
        <f>IF(AND($L332=0,$P332=0)=TRUE,VLOOKUP($E332,Plan3!$A$16:$CT$487,$E$7+3,0)/100,0)</f>
        <v>0</v>
      </c>
      <c r="AS332" s="868">
        <f>IF(AND($L332=0,$P332=0)=TRUE,VLOOKUP($E332,Plan3!$A$16:$CT$487,$E$7+6,0)/100,0)</f>
        <v>0</v>
      </c>
      <c r="AT332" s="868">
        <f>IF(AND($L332=0,$P332=0)=TRUE,VLOOKUP($E332,Plan3!$A$16:$CT$487,$E$7+9,0)/100,0)</f>
        <v>0</v>
      </c>
      <c r="AU332" s="868">
        <f>IF(AND($L332=0,$P332=0)=TRUE,VLOOKUP($E332,Plan3!$A$16:$CT$487,$E$7+12,0)/100,0)</f>
        <v>0</v>
      </c>
      <c r="AV332" s="841"/>
      <c r="AW332" s="869">
        <f t="shared" si="220"/>
        <v>0</v>
      </c>
      <c r="AX332" s="870">
        <f t="shared" si="221"/>
        <v>0</v>
      </c>
      <c r="AY332" s="871">
        <f t="shared" si="222"/>
        <v>0</v>
      </c>
      <c r="AZ332" s="237" t="str">
        <f t="shared" si="189"/>
        <v xml:space="preserve">19.001.000.001 </v>
      </c>
      <c r="BA332" s="365"/>
      <c r="BB332" s="365"/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872">
        <f t="shared" si="190"/>
        <v>0</v>
      </c>
      <c r="BM332" s="873">
        <f t="shared" si="191"/>
        <v>0</v>
      </c>
      <c r="BN332" s="874">
        <f t="shared" si="216"/>
        <v>0</v>
      </c>
      <c r="BO332" s="875">
        <f t="shared" si="192"/>
        <v>0</v>
      </c>
      <c r="BP332" s="875">
        <f t="shared" si="193"/>
        <v>0</v>
      </c>
      <c r="BQ332" s="876">
        <f t="shared" si="217"/>
        <v>0</v>
      </c>
      <c r="BR332" s="877">
        <f t="shared" si="218"/>
        <v>0</v>
      </c>
      <c r="BS332" s="875">
        <f t="shared" si="194"/>
        <v>0</v>
      </c>
      <c r="BT332" s="875">
        <f t="shared" si="195"/>
        <v>0</v>
      </c>
      <c r="BU332" s="878">
        <f t="shared" si="219"/>
        <v>0</v>
      </c>
      <c r="CE332" s="486"/>
    </row>
    <row r="333" spans="1:83" s="177" customFormat="1" ht="21.95" customHeight="1" x14ac:dyDescent="0.2">
      <c r="A333" s="237">
        <f t="shared" si="196"/>
        <v>0</v>
      </c>
      <c r="B333" s="237">
        <f t="shared" si="197"/>
        <v>0</v>
      </c>
      <c r="C333" s="393">
        <f t="shared" ref="C333:C379" si="227">IF($D333=$D332,0,$D333)</f>
        <v>0</v>
      </c>
      <c r="D333" s="393" t="str">
        <f t="shared" ref="D333:D379" si="228">IF(LEFT($E333,3)=$E333,$E333,LEFT($D332,2)&amp;" ")</f>
        <v xml:space="preserve">19 </v>
      </c>
      <c r="E333" s="967" t="s">
        <v>259</v>
      </c>
      <c r="F333" s="967" t="s">
        <v>251</v>
      </c>
      <c r="G333" s="967"/>
      <c r="H333" s="968"/>
      <c r="I333" s="968"/>
      <c r="J333" s="974">
        <v>6174.47</v>
      </c>
      <c r="K333" s="367">
        <v>0</v>
      </c>
      <c r="L333" s="367">
        <f>IF($H333="",0,VLOOKUP($E333,Plan3!$A$16:$CT$384,$E$7,0)%)</f>
        <v>0</v>
      </c>
      <c r="M333" s="368">
        <f t="shared" si="202"/>
        <v>0</v>
      </c>
      <c r="N333" s="368">
        <f t="shared" si="203"/>
        <v>0</v>
      </c>
      <c r="O333" s="367">
        <v>0</v>
      </c>
      <c r="P333" s="367">
        <f>VLOOKUP($E333,Plan3!$A$492:$P$858,13,0)%</f>
        <v>0</v>
      </c>
      <c r="Q333" s="368">
        <f t="shared" si="204"/>
        <v>0</v>
      </c>
      <c r="R333" s="368">
        <f t="shared" si="205"/>
        <v>0</v>
      </c>
      <c r="S333" s="880">
        <v>0</v>
      </c>
      <c r="T333" s="880">
        <f t="shared" si="206"/>
        <v>0</v>
      </c>
      <c r="U333" s="880">
        <f>IF($I333="",0,($S333-$T333)*(1+('Econômico Macro'!$R$12/100)))</f>
        <v>0</v>
      </c>
      <c r="V333" s="880">
        <f t="shared" si="207"/>
        <v>0</v>
      </c>
      <c r="W333" s="880">
        <f t="shared" si="208"/>
        <v>0</v>
      </c>
      <c r="X333" s="367">
        <f t="shared" ref="X333:X379" si="229">$L333-$K333</f>
        <v>0</v>
      </c>
      <c r="Y333" s="367">
        <f t="shared" ref="Y333:Y379" si="230">$P333-$O333</f>
        <v>0</v>
      </c>
      <c r="Z333" s="367">
        <f t="shared" ref="Z333:Z379" si="231">$P333-$L333</f>
        <v>0</v>
      </c>
      <c r="AA333" s="367">
        <f t="shared" ref="AA333:AA379" si="232">$Y333-$X333</f>
        <v>0</v>
      </c>
      <c r="AB333" s="369" t="str">
        <f t="shared" ref="AB333:AB379" si="233">IF($Z333&lt;0,"Atrasada",IF($Z333&gt;0,"Adiantada",IF($P333=0,"Não Iniciada",0)))</f>
        <v>Não Iniciada</v>
      </c>
      <c r="AC333" s="365"/>
      <c r="AD333" s="368">
        <v>1</v>
      </c>
      <c r="AE333" s="368">
        <f t="shared" si="209"/>
        <v>-1</v>
      </c>
      <c r="AF333" s="365"/>
      <c r="AG333" s="863">
        <f t="shared" si="198"/>
        <v>0</v>
      </c>
      <c r="AH333" s="864">
        <f t="shared" si="210"/>
        <v>0</v>
      </c>
      <c r="AI333" s="863">
        <f t="shared" si="199"/>
        <v>0</v>
      </c>
      <c r="AJ333" s="864">
        <f t="shared" si="211"/>
        <v>0</v>
      </c>
      <c r="AK333" s="365"/>
      <c r="AL333" s="865">
        <f t="shared" si="200"/>
        <v>0</v>
      </c>
      <c r="AM333" s="866">
        <f t="shared" si="212"/>
        <v>0</v>
      </c>
      <c r="AN333" s="866">
        <f t="shared" si="213"/>
        <v>0</v>
      </c>
      <c r="AO333" s="866">
        <f t="shared" si="214"/>
        <v>0</v>
      </c>
      <c r="AP333" s="867">
        <f t="shared" si="215"/>
        <v>0</v>
      </c>
      <c r="AQ333" s="591"/>
      <c r="AR333" s="868"/>
      <c r="AS333" s="868"/>
      <c r="AT333" s="868"/>
      <c r="AU333" s="868"/>
      <c r="AV333" s="841"/>
      <c r="AW333" s="869"/>
      <c r="AX333" s="870"/>
      <c r="AY333" s="871"/>
      <c r="AZ333" s="237" t="str">
        <f t="shared" ref="AZ333:AZ379" si="234">$E333</f>
        <v xml:space="preserve">19.002 </v>
      </c>
      <c r="BA333" s="365"/>
      <c r="BB333" s="365"/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872">
        <f t="shared" ref="BL333:BL379" si="235">IF($D333=$D332,0,$D333)</f>
        <v>0</v>
      </c>
      <c r="BM333" s="873">
        <f t="shared" ref="BM333:BM379" si="236">IF($AC333="s",$R333,0)</f>
        <v>0</v>
      </c>
      <c r="BN333" s="874">
        <f t="shared" si="216"/>
        <v>0</v>
      </c>
      <c r="BO333" s="875">
        <f t="shared" ref="BO333:BO379" si="237">IF(OR($BN333=0,$BN333=0),0,$BL333)</f>
        <v>0</v>
      </c>
      <c r="BP333" s="875">
        <f t="shared" ref="BP333:BP379" si="238">IF($AC333&lt;&gt;"S",0,IF($N333-$R333&lt;0,0,$R333-$N333))</f>
        <v>0</v>
      </c>
      <c r="BQ333" s="876">
        <f t="shared" si="217"/>
        <v>0</v>
      </c>
      <c r="BR333" s="877">
        <f t="shared" si="218"/>
        <v>0</v>
      </c>
      <c r="BS333" s="875">
        <f t="shared" ref="BS333:BS379" si="239">IF(OR($BR333=0,$BR333=0),0,$BL333)</f>
        <v>0</v>
      </c>
      <c r="BT333" s="875">
        <f t="shared" ref="BT333:BT379" si="240">IF($AC333&lt;&gt;"S",0,IF($N333-$R333&gt;0,0,$R333-$N333))</f>
        <v>0</v>
      </c>
      <c r="BU333" s="878">
        <f t="shared" si="219"/>
        <v>0</v>
      </c>
      <c r="CE333" s="486"/>
    </row>
    <row r="334" spans="1:83" s="177" customFormat="1" ht="21.95" customHeight="1" x14ac:dyDescent="0.2">
      <c r="A334" s="237">
        <f t="shared" ref="A334:A379" si="241">AJ334</f>
        <v>0</v>
      </c>
      <c r="B334" s="237">
        <f t="shared" ref="B334:B379" si="242">AH334</f>
        <v>0</v>
      </c>
      <c r="C334" s="393">
        <f t="shared" si="227"/>
        <v>0</v>
      </c>
      <c r="D334" s="393" t="str">
        <f t="shared" si="228"/>
        <v xml:space="preserve">19 </v>
      </c>
      <c r="E334" s="959" t="s">
        <v>260</v>
      </c>
      <c r="F334" s="959" t="s">
        <v>2138</v>
      </c>
      <c r="G334" s="959" t="s">
        <v>90</v>
      </c>
      <c r="H334" s="963">
        <v>4386.21</v>
      </c>
      <c r="I334" s="960">
        <v>1.4077</v>
      </c>
      <c r="J334" s="964">
        <v>6174.47</v>
      </c>
      <c r="K334" s="367">
        <v>0</v>
      </c>
      <c r="L334" s="367">
        <f>IF($H334="",0,VLOOKUP($E334,Plan3!$A$16:$CT$384,$E$7,0)%)</f>
        <v>0</v>
      </c>
      <c r="M334" s="368">
        <f t="shared" si="202"/>
        <v>0</v>
      </c>
      <c r="N334" s="368">
        <f t="shared" si="203"/>
        <v>0</v>
      </c>
      <c r="O334" s="367">
        <v>0</v>
      </c>
      <c r="P334" s="367">
        <f>VLOOKUP($E334,Plan3!$A$492:$P$858,13,0)%</f>
        <v>0</v>
      </c>
      <c r="Q334" s="368">
        <f t="shared" si="204"/>
        <v>0</v>
      </c>
      <c r="R334" s="368">
        <f t="shared" si="205"/>
        <v>0</v>
      </c>
      <c r="S334" s="880">
        <v>6246.0938520000009</v>
      </c>
      <c r="T334" s="880">
        <f t="shared" si="206"/>
        <v>0</v>
      </c>
      <c r="U334" s="880">
        <f>IF($I334="",0,($S334-$T334)*(1+('Econômico Macro'!$R$12/100)))</f>
        <v>6354.1512756396014</v>
      </c>
      <c r="V334" s="880">
        <f t="shared" si="207"/>
        <v>6354.1512756396014</v>
      </c>
      <c r="W334" s="880">
        <f t="shared" si="208"/>
        <v>0</v>
      </c>
      <c r="X334" s="367">
        <f t="shared" si="229"/>
        <v>0</v>
      </c>
      <c r="Y334" s="367">
        <f t="shared" si="230"/>
        <v>0</v>
      </c>
      <c r="Z334" s="367">
        <f t="shared" si="231"/>
        <v>0</v>
      </c>
      <c r="AA334" s="367">
        <f t="shared" si="232"/>
        <v>0</v>
      </c>
      <c r="AB334" s="369" t="str">
        <f t="shared" si="233"/>
        <v>Não Iniciada</v>
      </c>
      <c r="AC334" s="365"/>
      <c r="AD334" s="368">
        <v>1</v>
      </c>
      <c r="AE334" s="368">
        <f t="shared" si="209"/>
        <v>-1</v>
      </c>
      <c r="AF334" s="365"/>
      <c r="AG334" s="863">
        <f t="shared" ref="AG334:AG379" si="243">IF($AB334="Não Iniciada",+$AM334,IF($Z334&lt;1,$AM334,0))</f>
        <v>0</v>
      </c>
      <c r="AH334" s="864">
        <f t="shared" si="210"/>
        <v>0</v>
      </c>
      <c r="AI334" s="863">
        <f t="shared" ref="AI334:AI379" si="244">IF($AB334="Não Iniciada",0,IF($AO334=0,0,IF($AO334=0,0,$AO334)))</f>
        <v>0</v>
      </c>
      <c r="AJ334" s="864">
        <f t="shared" si="211"/>
        <v>0</v>
      </c>
      <c r="AK334" s="365"/>
      <c r="AL334" s="865">
        <f t="shared" ref="AL334:AL379" si="245">$R334</f>
        <v>0</v>
      </c>
      <c r="AM334" s="866">
        <f t="shared" si="212"/>
        <v>0</v>
      </c>
      <c r="AN334" s="866">
        <f t="shared" si="213"/>
        <v>0</v>
      </c>
      <c r="AO334" s="866">
        <f t="shared" si="214"/>
        <v>0</v>
      </c>
      <c r="AP334" s="867">
        <f t="shared" si="215"/>
        <v>0</v>
      </c>
      <c r="AQ334" s="591">
        <f t="shared" ref="AQ334:AQ379" si="246">$AY334</f>
        <v>0</v>
      </c>
      <c r="AR334" s="868">
        <f>IF(AND($L334=0,$P334=0)=TRUE,VLOOKUP($E334,Plan3!$A$16:$CT$487,$E$7+3,0)/100,0)</f>
        <v>0</v>
      </c>
      <c r="AS334" s="868">
        <f>IF(AND($L334=0,$P334=0)=TRUE,VLOOKUP($E334,Plan3!$A$16:$CT$487,$E$7+6,0)/100,0)</f>
        <v>0</v>
      </c>
      <c r="AT334" s="868">
        <f>IF(AND($L334=0,$P334=0)=TRUE,VLOOKUP($E334,Plan3!$A$16:$CT$487,$E$7+9,0)/100,0)</f>
        <v>0</v>
      </c>
      <c r="AU334" s="868">
        <f>IF(AND($L334=0,$P334=0)=TRUE,VLOOKUP($E334,Plan3!$A$16:$CT$487,$E$7+12,0)/100,0)</f>
        <v>0</v>
      </c>
      <c r="AV334" s="841"/>
      <c r="AW334" s="869">
        <f t="shared" si="220"/>
        <v>0</v>
      </c>
      <c r="AX334" s="870">
        <f t="shared" si="221"/>
        <v>0</v>
      </c>
      <c r="AY334" s="871">
        <f t="shared" si="222"/>
        <v>0</v>
      </c>
      <c r="AZ334" s="237" t="str">
        <f t="shared" si="234"/>
        <v xml:space="preserve">19.002.000.001 </v>
      </c>
      <c r="BA334" s="365"/>
      <c r="BB334" s="365"/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872">
        <f t="shared" si="235"/>
        <v>0</v>
      </c>
      <c r="BM334" s="873">
        <f t="shared" si="236"/>
        <v>0</v>
      </c>
      <c r="BN334" s="874">
        <f t="shared" si="216"/>
        <v>0</v>
      </c>
      <c r="BO334" s="875">
        <f t="shared" si="237"/>
        <v>0</v>
      </c>
      <c r="BP334" s="875">
        <f t="shared" si="238"/>
        <v>0</v>
      </c>
      <c r="BQ334" s="876">
        <f t="shared" si="217"/>
        <v>0</v>
      </c>
      <c r="BR334" s="877">
        <f t="shared" si="218"/>
        <v>0</v>
      </c>
      <c r="BS334" s="875">
        <f t="shared" si="239"/>
        <v>0</v>
      </c>
      <c r="BT334" s="875">
        <f t="shared" si="240"/>
        <v>0</v>
      </c>
      <c r="BU334" s="878">
        <f t="shared" si="219"/>
        <v>0</v>
      </c>
      <c r="CE334" s="486"/>
    </row>
    <row r="335" spans="1:83" s="177" customFormat="1" ht="21.95" customHeight="1" x14ac:dyDescent="0.2">
      <c r="A335" s="237">
        <f t="shared" si="241"/>
        <v>0</v>
      </c>
      <c r="B335" s="237">
        <f t="shared" si="242"/>
        <v>0</v>
      </c>
      <c r="C335" s="393">
        <f t="shared" si="227"/>
        <v>0</v>
      </c>
      <c r="D335" s="393" t="str">
        <f t="shared" si="228"/>
        <v xml:space="preserve">19 </v>
      </c>
      <c r="E335" s="967" t="s">
        <v>697</v>
      </c>
      <c r="F335" s="967" t="s">
        <v>719</v>
      </c>
      <c r="G335" s="967"/>
      <c r="H335" s="968"/>
      <c r="I335" s="968"/>
      <c r="J335" s="974">
        <v>1288.53</v>
      </c>
      <c r="K335" s="367">
        <v>0</v>
      </c>
      <c r="L335" s="367">
        <f>IF($H335="",0,VLOOKUP($E335,Plan3!$A$16:$CT$384,$E$7,0)%)</f>
        <v>0</v>
      </c>
      <c r="M335" s="368">
        <f t="shared" ref="M335:M379" si="247">$L335*$H335</f>
        <v>0</v>
      </c>
      <c r="N335" s="368">
        <f t="shared" ref="N335:N379" si="248">$L335*$J335</f>
        <v>0</v>
      </c>
      <c r="O335" s="367">
        <v>0</v>
      </c>
      <c r="P335" s="367">
        <f>VLOOKUP($E335,Plan3!$A$492:$P$858,13,0)%</f>
        <v>0</v>
      </c>
      <c r="Q335" s="368">
        <f t="shared" ref="Q335:Q379" si="249">$P335*$H335</f>
        <v>0</v>
      </c>
      <c r="R335" s="368">
        <f t="shared" ref="R335:R379" si="250">$P335*$J335</f>
        <v>0</v>
      </c>
      <c r="S335" s="880">
        <v>0</v>
      </c>
      <c r="T335" s="880">
        <f t="shared" ref="T335:T379" si="251">$S335*$P335</f>
        <v>0</v>
      </c>
      <c r="U335" s="880">
        <f>IF($I335="",0,($S335-$T335)*(1+('Econômico Macro'!$R$12/100)))</f>
        <v>0</v>
      </c>
      <c r="V335" s="880">
        <f t="shared" ref="V335:V379" si="252">$U335+$T335</f>
        <v>0</v>
      </c>
      <c r="W335" s="880">
        <f t="shared" ref="W335:W379" si="253">V335*L335</f>
        <v>0</v>
      </c>
      <c r="X335" s="367">
        <f t="shared" si="229"/>
        <v>0</v>
      </c>
      <c r="Y335" s="367">
        <f t="shared" si="230"/>
        <v>0</v>
      </c>
      <c r="Z335" s="367">
        <f t="shared" si="231"/>
        <v>0</v>
      </c>
      <c r="AA335" s="367">
        <f t="shared" si="232"/>
        <v>0</v>
      </c>
      <c r="AB335" s="369" t="str">
        <f t="shared" si="233"/>
        <v>Não Iniciada</v>
      </c>
      <c r="AC335" s="365"/>
      <c r="AD335" s="368">
        <v>1</v>
      </c>
      <c r="AE335" s="368">
        <f t="shared" ref="AE335:AE379" si="254">Q335-AD335</f>
        <v>-1</v>
      </c>
      <c r="AF335" s="365"/>
      <c r="AG335" s="863">
        <f t="shared" si="243"/>
        <v>0</v>
      </c>
      <c r="AH335" s="864">
        <f t="shared" ref="AH335:AH379" si="255">IF($AN335=0,0,RANK($AN335,$AN$13:$AN$379))</f>
        <v>0</v>
      </c>
      <c r="AI335" s="863">
        <f t="shared" si="244"/>
        <v>0</v>
      </c>
      <c r="AJ335" s="864">
        <f t="shared" ref="AJ335:AJ379" si="256">IF($AP335=0,0,RANK($AP335,$AP$13:$AP$379))</f>
        <v>0</v>
      </c>
      <c r="AK335" s="365"/>
      <c r="AL335" s="865">
        <f t="shared" si="245"/>
        <v>0</v>
      </c>
      <c r="AM335" s="866">
        <f t="shared" ref="AM335:AM379" si="257">IF($H335="",0,IF(+$N335-$AL335&lt;0,0,+$AL335-$N335))</f>
        <v>0</v>
      </c>
      <c r="AN335" s="866">
        <f t="shared" ref="AN335:AN379" si="258">IF($AM335=0,0,$AM335/$AM$380)</f>
        <v>0</v>
      </c>
      <c r="AO335" s="866">
        <f t="shared" ref="AO335:AO379" si="259">IF($H335="",0,IF($Z335*1000&lt;1,0,IF(+$N335-$R335&gt;0,0,+$R335-$N335)))</f>
        <v>0</v>
      </c>
      <c r="AP335" s="867">
        <f t="shared" ref="AP335:AP379" si="260">IF($AO335=0,0,$AO335/$AO$380)</f>
        <v>0</v>
      </c>
      <c r="AQ335" s="591"/>
      <c r="AR335" s="868"/>
      <c r="AS335" s="868"/>
      <c r="AT335" s="868"/>
      <c r="AU335" s="868"/>
      <c r="AV335" s="841"/>
      <c r="AW335" s="869"/>
      <c r="AX335" s="870"/>
      <c r="AY335" s="871"/>
      <c r="AZ335" s="237" t="str">
        <f t="shared" si="234"/>
        <v xml:space="preserve">19.003 </v>
      </c>
      <c r="BA335" s="365"/>
      <c r="BB335" s="365"/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872">
        <f t="shared" si="235"/>
        <v>0</v>
      </c>
      <c r="BM335" s="873">
        <f t="shared" si="236"/>
        <v>0</v>
      </c>
      <c r="BN335" s="874">
        <f t="shared" ref="BN335:BN379" si="261">IF($BQ335=0,0,RANK($BQ335,$BQ$12:$BQ$379))</f>
        <v>0</v>
      </c>
      <c r="BO335" s="875">
        <f t="shared" si="237"/>
        <v>0</v>
      </c>
      <c r="BP335" s="875">
        <f t="shared" si="238"/>
        <v>0</v>
      </c>
      <c r="BQ335" s="876">
        <f t="shared" ref="BQ335:BQ379" si="262">IF($BP335=0,0,$BP335/$BP$380)</f>
        <v>0</v>
      </c>
      <c r="BR335" s="877">
        <f t="shared" ref="BR335:BR379" si="263">IF($BU335=0,0,RANK($BU335,$BU$12:$BU$379))</f>
        <v>0</v>
      </c>
      <c r="BS335" s="875">
        <f t="shared" si="239"/>
        <v>0</v>
      </c>
      <c r="BT335" s="875">
        <f t="shared" si="240"/>
        <v>0</v>
      </c>
      <c r="BU335" s="878">
        <f t="shared" ref="BU335:BU379" si="264">IF($BT335=0,0,$BT335/$BT$380)</f>
        <v>0</v>
      </c>
      <c r="CE335" s="486"/>
    </row>
    <row r="336" spans="1:83" s="177" customFormat="1" ht="21.95" customHeight="1" x14ac:dyDescent="0.2">
      <c r="A336" s="237">
        <f t="shared" si="241"/>
        <v>0</v>
      </c>
      <c r="B336" s="237">
        <f t="shared" si="242"/>
        <v>0</v>
      </c>
      <c r="C336" s="393">
        <f t="shared" si="227"/>
        <v>0</v>
      </c>
      <c r="D336" s="393" t="str">
        <f t="shared" si="228"/>
        <v xml:space="preserve">19 </v>
      </c>
      <c r="E336" s="959" t="s">
        <v>699</v>
      </c>
      <c r="F336" s="959" t="s">
        <v>2139</v>
      </c>
      <c r="G336" s="959" t="s">
        <v>90</v>
      </c>
      <c r="H336" s="965">
        <v>165.38</v>
      </c>
      <c r="I336" s="960">
        <v>7.7912999999999997</v>
      </c>
      <c r="J336" s="964">
        <v>1288.53</v>
      </c>
      <c r="K336" s="367">
        <v>0</v>
      </c>
      <c r="L336" s="367">
        <f>IF($H336="",0,VLOOKUP($E336,Plan3!$A$16:$CT$384,$E$7,0)%)</f>
        <v>0</v>
      </c>
      <c r="M336" s="368">
        <f t="shared" si="247"/>
        <v>0</v>
      </c>
      <c r="N336" s="368">
        <f t="shared" si="248"/>
        <v>0</v>
      </c>
      <c r="O336" s="367">
        <v>0</v>
      </c>
      <c r="P336" s="367">
        <f>VLOOKUP($E336,Plan3!$A$492:$P$858,13,0)%</f>
        <v>0</v>
      </c>
      <c r="Q336" s="368">
        <f t="shared" si="249"/>
        <v>0</v>
      </c>
      <c r="R336" s="368">
        <f t="shared" si="250"/>
        <v>0</v>
      </c>
      <c r="S336" s="880">
        <v>1303.476948</v>
      </c>
      <c r="T336" s="880">
        <f t="shared" si="251"/>
        <v>0</v>
      </c>
      <c r="U336" s="880">
        <f>IF($I336="",0,($S336-$T336)*(1+('Econômico Macro'!$R$12/100)))</f>
        <v>1326.0270992004</v>
      </c>
      <c r="V336" s="880">
        <f t="shared" si="252"/>
        <v>1326.0270992004</v>
      </c>
      <c r="W336" s="880">
        <f t="shared" si="253"/>
        <v>0</v>
      </c>
      <c r="X336" s="367">
        <f t="shared" si="229"/>
        <v>0</v>
      </c>
      <c r="Y336" s="367">
        <f t="shared" si="230"/>
        <v>0</v>
      </c>
      <c r="Z336" s="367">
        <f t="shared" si="231"/>
        <v>0</v>
      </c>
      <c r="AA336" s="367">
        <f t="shared" si="232"/>
        <v>0</v>
      </c>
      <c r="AB336" s="369" t="str">
        <f t="shared" si="233"/>
        <v>Não Iniciada</v>
      </c>
      <c r="AC336" s="365"/>
      <c r="AD336" s="368">
        <v>1</v>
      </c>
      <c r="AE336" s="368">
        <f t="shared" si="254"/>
        <v>-1</v>
      </c>
      <c r="AF336" s="365"/>
      <c r="AG336" s="863">
        <f t="shared" si="243"/>
        <v>0</v>
      </c>
      <c r="AH336" s="864">
        <f t="shared" si="255"/>
        <v>0</v>
      </c>
      <c r="AI336" s="863">
        <f t="shared" si="244"/>
        <v>0</v>
      </c>
      <c r="AJ336" s="864">
        <f t="shared" si="256"/>
        <v>0</v>
      </c>
      <c r="AK336" s="365"/>
      <c r="AL336" s="865">
        <f t="shared" si="245"/>
        <v>0</v>
      </c>
      <c r="AM336" s="866">
        <f t="shared" si="257"/>
        <v>0</v>
      </c>
      <c r="AN336" s="866">
        <f t="shared" si="258"/>
        <v>0</v>
      </c>
      <c r="AO336" s="866">
        <f t="shared" si="259"/>
        <v>0</v>
      </c>
      <c r="AP336" s="867">
        <f t="shared" si="260"/>
        <v>0</v>
      </c>
      <c r="AQ336" s="591">
        <f t="shared" si="246"/>
        <v>0</v>
      </c>
      <c r="AR336" s="868">
        <f>IF(AND($L336=0,$P336=0)=TRUE,VLOOKUP($E336,Plan3!$A$16:$CT$487,$E$7+3,0)/100,0)</f>
        <v>0</v>
      </c>
      <c r="AS336" s="868">
        <f>IF(AND($L336=0,$P336=0)=TRUE,VLOOKUP($E336,Plan3!$A$16:$CT$487,$E$7+6,0)/100,0)</f>
        <v>0</v>
      </c>
      <c r="AT336" s="868">
        <f>IF(AND($L336=0,$P336=0)=TRUE,VLOOKUP($E336,Plan3!$A$16:$CT$487,$E$7+9,0)/100,0)</f>
        <v>0</v>
      </c>
      <c r="AU336" s="868">
        <f>IF(AND($L336=0,$P336=0)=TRUE,VLOOKUP($E336,Plan3!$A$16:$CT$487,$E$7+12,0)/100,0)</f>
        <v>0</v>
      </c>
      <c r="AV336" s="841"/>
      <c r="AW336" s="869">
        <f t="shared" ref="AW336:AW379" si="265">IF(MAX($AR336:$AU336)=0,0,MAX($AR336:$AU336)*$J336)</f>
        <v>0</v>
      </c>
      <c r="AX336" s="870">
        <f t="shared" ref="AX336:AX379" si="266">IF($AW336=0,0,$AW336/$AW$380)</f>
        <v>0</v>
      </c>
      <c r="AY336" s="871">
        <f t="shared" ref="AY336:AY379" si="267">IF($AX336=0,0,RANK($AX336,$AX$14:$AX$379))</f>
        <v>0</v>
      </c>
      <c r="AZ336" s="237" t="str">
        <f t="shared" si="234"/>
        <v xml:space="preserve">19.003.000.001 </v>
      </c>
      <c r="BA336" s="365"/>
      <c r="BB336" s="365"/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872">
        <f t="shared" si="235"/>
        <v>0</v>
      </c>
      <c r="BM336" s="873">
        <f t="shared" si="236"/>
        <v>0</v>
      </c>
      <c r="BN336" s="874">
        <f t="shared" si="261"/>
        <v>0</v>
      </c>
      <c r="BO336" s="875">
        <f t="shared" si="237"/>
        <v>0</v>
      </c>
      <c r="BP336" s="875">
        <f t="shared" si="238"/>
        <v>0</v>
      </c>
      <c r="BQ336" s="876">
        <f t="shared" si="262"/>
        <v>0</v>
      </c>
      <c r="BR336" s="877">
        <f t="shared" si="263"/>
        <v>0</v>
      </c>
      <c r="BS336" s="875">
        <f t="shared" si="239"/>
        <v>0</v>
      </c>
      <c r="BT336" s="875">
        <f t="shared" si="240"/>
        <v>0</v>
      </c>
      <c r="BU336" s="878">
        <f t="shared" si="264"/>
        <v>0</v>
      </c>
      <c r="CE336" s="486"/>
    </row>
    <row r="337" spans="1:83" s="177" customFormat="1" ht="21.95" customHeight="1" x14ac:dyDescent="0.2">
      <c r="A337" s="237">
        <f t="shared" si="241"/>
        <v>0</v>
      </c>
      <c r="B337" s="237">
        <f t="shared" si="242"/>
        <v>0</v>
      </c>
      <c r="C337" s="393">
        <f t="shared" si="227"/>
        <v>0</v>
      </c>
      <c r="D337" s="393" t="str">
        <f t="shared" si="228"/>
        <v xml:space="preserve">19 </v>
      </c>
      <c r="E337" s="967" t="s">
        <v>700</v>
      </c>
      <c r="F337" s="967" t="s">
        <v>252</v>
      </c>
      <c r="G337" s="967"/>
      <c r="H337" s="968"/>
      <c r="I337" s="968"/>
      <c r="J337" s="974">
        <v>3040.09</v>
      </c>
      <c r="K337" s="367">
        <v>0</v>
      </c>
      <c r="L337" s="367">
        <f>IF($H337="",0,VLOOKUP($E337,Plan3!$A$16:$CT$384,$E$7,0)%)</f>
        <v>0</v>
      </c>
      <c r="M337" s="368">
        <f t="shared" si="247"/>
        <v>0</v>
      </c>
      <c r="N337" s="368">
        <f t="shared" si="248"/>
        <v>0</v>
      </c>
      <c r="O337" s="367">
        <v>0</v>
      </c>
      <c r="P337" s="367">
        <f>VLOOKUP($E337,Plan3!$A$492:$P$858,13,0)%</f>
        <v>0</v>
      </c>
      <c r="Q337" s="368">
        <f t="shared" si="249"/>
        <v>0</v>
      </c>
      <c r="R337" s="368">
        <f t="shared" si="250"/>
        <v>0</v>
      </c>
      <c r="S337" s="880">
        <v>0</v>
      </c>
      <c r="T337" s="880">
        <f t="shared" si="251"/>
        <v>0</v>
      </c>
      <c r="U337" s="880">
        <f>IF($I337="",0,($S337-$T337)*(1+('Econômico Macro'!$R$12/100)))</f>
        <v>0</v>
      </c>
      <c r="V337" s="880">
        <f t="shared" si="252"/>
        <v>0</v>
      </c>
      <c r="W337" s="880">
        <f t="shared" si="253"/>
        <v>0</v>
      </c>
      <c r="X337" s="367">
        <f t="shared" si="229"/>
        <v>0</v>
      </c>
      <c r="Y337" s="367">
        <f t="shared" si="230"/>
        <v>0</v>
      </c>
      <c r="Z337" s="367">
        <f t="shared" si="231"/>
        <v>0</v>
      </c>
      <c r="AA337" s="367">
        <f t="shared" si="232"/>
        <v>0</v>
      </c>
      <c r="AB337" s="369" t="str">
        <f t="shared" si="233"/>
        <v>Não Iniciada</v>
      </c>
      <c r="AC337" s="365"/>
      <c r="AD337" s="368">
        <v>1</v>
      </c>
      <c r="AE337" s="368">
        <f t="shared" si="254"/>
        <v>-1</v>
      </c>
      <c r="AF337" s="365"/>
      <c r="AG337" s="863">
        <f t="shared" si="243"/>
        <v>0</v>
      </c>
      <c r="AH337" s="864">
        <f t="shared" si="255"/>
        <v>0</v>
      </c>
      <c r="AI337" s="863">
        <f t="shared" si="244"/>
        <v>0</v>
      </c>
      <c r="AJ337" s="864">
        <f t="shared" si="256"/>
        <v>0</v>
      </c>
      <c r="AK337" s="365"/>
      <c r="AL337" s="865">
        <f t="shared" si="245"/>
        <v>0</v>
      </c>
      <c r="AM337" s="866">
        <f t="shared" si="257"/>
        <v>0</v>
      </c>
      <c r="AN337" s="866">
        <f t="shared" si="258"/>
        <v>0</v>
      </c>
      <c r="AO337" s="866">
        <f t="shared" si="259"/>
        <v>0</v>
      </c>
      <c r="AP337" s="867">
        <f t="shared" si="260"/>
        <v>0</v>
      </c>
      <c r="AQ337" s="591"/>
      <c r="AR337" s="868"/>
      <c r="AS337" s="868"/>
      <c r="AT337" s="868"/>
      <c r="AU337" s="868"/>
      <c r="AV337" s="841"/>
      <c r="AW337" s="869"/>
      <c r="AX337" s="870"/>
      <c r="AY337" s="871"/>
      <c r="AZ337" s="237" t="str">
        <f t="shared" si="234"/>
        <v xml:space="preserve">19.004 </v>
      </c>
      <c r="BA337" s="365"/>
      <c r="BB337" s="365"/>
      <c r="BC337" s="365"/>
      <c r="BD337" s="365"/>
      <c r="BE337" s="365"/>
      <c r="BF337" s="365"/>
      <c r="BG337" s="365"/>
      <c r="BH337" s="365"/>
      <c r="BI337" s="365"/>
      <c r="BJ337" s="365"/>
      <c r="BK337" s="365"/>
      <c r="BL337" s="872">
        <f t="shared" si="235"/>
        <v>0</v>
      </c>
      <c r="BM337" s="873">
        <f t="shared" si="236"/>
        <v>0</v>
      </c>
      <c r="BN337" s="874">
        <f t="shared" si="261"/>
        <v>0</v>
      </c>
      <c r="BO337" s="875">
        <f t="shared" si="237"/>
        <v>0</v>
      </c>
      <c r="BP337" s="875">
        <f t="shared" si="238"/>
        <v>0</v>
      </c>
      <c r="BQ337" s="876">
        <f t="shared" si="262"/>
        <v>0</v>
      </c>
      <c r="BR337" s="877">
        <f t="shared" si="263"/>
        <v>0</v>
      </c>
      <c r="BS337" s="875">
        <f t="shared" si="239"/>
        <v>0</v>
      </c>
      <c r="BT337" s="875">
        <f t="shared" si="240"/>
        <v>0</v>
      </c>
      <c r="BU337" s="878">
        <f t="shared" si="264"/>
        <v>0</v>
      </c>
      <c r="CE337" s="486"/>
    </row>
    <row r="338" spans="1:83" s="177" customFormat="1" ht="21.95" customHeight="1" x14ac:dyDescent="0.2">
      <c r="A338" s="237">
        <f t="shared" si="241"/>
        <v>0</v>
      </c>
      <c r="B338" s="237">
        <f t="shared" si="242"/>
        <v>0</v>
      </c>
      <c r="C338" s="393">
        <f t="shared" si="227"/>
        <v>0</v>
      </c>
      <c r="D338" s="393" t="str">
        <f t="shared" si="228"/>
        <v xml:space="preserve">19 </v>
      </c>
      <c r="E338" s="959" t="s">
        <v>702</v>
      </c>
      <c r="F338" s="959" t="s">
        <v>253</v>
      </c>
      <c r="G338" s="959" t="s">
        <v>15</v>
      </c>
      <c r="H338" s="965">
        <v>481.07</v>
      </c>
      <c r="I338" s="960">
        <v>1.0538000000000001</v>
      </c>
      <c r="J338" s="966">
        <v>506.95</v>
      </c>
      <c r="K338" s="367">
        <v>0</v>
      </c>
      <c r="L338" s="367">
        <f>IF($H338="",0,VLOOKUP($E338,Plan3!$A$16:$CT$384,$E$7,0)%)</f>
        <v>0</v>
      </c>
      <c r="M338" s="368">
        <f t="shared" si="247"/>
        <v>0</v>
      </c>
      <c r="N338" s="368">
        <f t="shared" si="248"/>
        <v>0</v>
      </c>
      <c r="O338" s="367">
        <v>0</v>
      </c>
      <c r="P338" s="367">
        <f>VLOOKUP($E338,Plan3!$A$492:$P$858,13,0)%</f>
        <v>0</v>
      </c>
      <c r="Q338" s="368">
        <f t="shared" si="249"/>
        <v>0</v>
      </c>
      <c r="R338" s="368">
        <f t="shared" si="250"/>
        <v>0</v>
      </c>
      <c r="S338" s="880">
        <v>512.83062000000007</v>
      </c>
      <c r="T338" s="880">
        <f t="shared" si="251"/>
        <v>0</v>
      </c>
      <c r="U338" s="880">
        <f>IF($I338="",0,($S338-$T338)*(1+('Econômico Macro'!$R$12/100)))</f>
        <v>521.70258972600016</v>
      </c>
      <c r="V338" s="880">
        <f t="shared" si="252"/>
        <v>521.70258972600016</v>
      </c>
      <c r="W338" s="880">
        <f t="shared" si="253"/>
        <v>0</v>
      </c>
      <c r="X338" s="367">
        <f t="shared" si="229"/>
        <v>0</v>
      </c>
      <c r="Y338" s="367">
        <f t="shared" si="230"/>
        <v>0</v>
      </c>
      <c r="Z338" s="367">
        <f t="shared" si="231"/>
        <v>0</v>
      </c>
      <c r="AA338" s="367">
        <f t="shared" si="232"/>
        <v>0</v>
      </c>
      <c r="AB338" s="369" t="str">
        <f t="shared" si="233"/>
        <v>Não Iniciada</v>
      </c>
      <c r="AC338" s="365"/>
      <c r="AD338" s="368">
        <v>1</v>
      </c>
      <c r="AE338" s="368">
        <f t="shared" si="254"/>
        <v>-1</v>
      </c>
      <c r="AF338" s="365"/>
      <c r="AG338" s="863">
        <f t="shared" si="243"/>
        <v>0</v>
      </c>
      <c r="AH338" s="864">
        <f t="shared" si="255"/>
        <v>0</v>
      </c>
      <c r="AI338" s="863">
        <f t="shared" si="244"/>
        <v>0</v>
      </c>
      <c r="AJ338" s="864">
        <f t="shared" si="256"/>
        <v>0</v>
      </c>
      <c r="AK338" s="365"/>
      <c r="AL338" s="865">
        <f t="shared" si="245"/>
        <v>0</v>
      </c>
      <c r="AM338" s="866">
        <f t="shared" si="257"/>
        <v>0</v>
      </c>
      <c r="AN338" s="866">
        <f t="shared" si="258"/>
        <v>0</v>
      </c>
      <c r="AO338" s="866">
        <f t="shared" si="259"/>
        <v>0</v>
      </c>
      <c r="AP338" s="867">
        <f t="shared" si="260"/>
        <v>0</v>
      </c>
      <c r="AQ338" s="591">
        <f t="shared" si="246"/>
        <v>0</v>
      </c>
      <c r="AR338" s="868">
        <f>IF(AND($L338=0,$P338=0)=TRUE,VLOOKUP($E338,Plan3!$A$16:$CT$487,$E$7+3,0)/100,0)</f>
        <v>0</v>
      </c>
      <c r="AS338" s="868">
        <f>IF(AND($L338=0,$P338=0)=TRUE,VLOOKUP($E338,Plan3!$A$16:$CT$487,$E$7+6,0)/100,0)</f>
        <v>0</v>
      </c>
      <c r="AT338" s="868">
        <f>IF(AND($L338=0,$P338=0)=TRUE,VLOOKUP($E338,Plan3!$A$16:$CT$487,$E$7+9,0)/100,0)</f>
        <v>0</v>
      </c>
      <c r="AU338" s="868">
        <f>IF(AND($L338=0,$P338=0)=TRUE,VLOOKUP($E338,Plan3!$A$16:$CT$487,$E$7+12,0)/100,0)</f>
        <v>0</v>
      </c>
      <c r="AV338" s="841"/>
      <c r="AW338" s="869">
        <f t="shared" si="265"/>
        <v>0</v>
      </c>
      <c r="AX338" s="870">
        <f t="shared" si="266"/>
        <v>0</v>
      </c>
      <c r="AY338" s="871">
        <f t="shared" si="267"/>
        <v>0</v>
      </c>
      <c r="AZ338" s="237" t="str">
        <f t="shared" si="234"/>
        <v xml:space="preserve">19.004.000.001 </v>
      </c>
      <c r="BA338" s="365"/>
      <c r="BB338" s="365"/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872">
        <f t="shared" si="235"/>
        <v>0</v>
      </c>
      <c r="BM338" s="873">
        <f t="shared" si="236"/>
        <v>0</v>
      </c>
      <c r="BN338" s="874">
        <f t="shared" si="261"/>
        <v>0</v>
      </c>
      <c r="BO338" s="875">
        <f t="shared" si="237"/>
        <v>0</v>
      </c>
      <c r="BP338" s="875">
        <f t="shared" si="238"/>
        <v>0</v>
      </c>
      <c r="BQ338" s="876">
        <f t="shared" si="262"/>
        <v>0</v>
      </c>
      <c r="BR338" s="877">
        <f t="shared" si="263"/>
        <v>0</v>
      </c>
      <c r="BS338" s="875">
        <f t="shared" si="239"/>
        <v>0</v>
      </c>
      <c r="BT338" s="875">
        <f t="shared" si="240"/>
        <v>0</v>
      </c>
      <c r="BU338" s="878">
        <f t="shared" si="264"/>
        <v>0</v>
      </c>
      <c r="CE338" s="486"/>
    </row>
    <row r="339" spans="1:83" s="177" customFormat="1" ht="21.95" customHeight="1" x14ac:dyDescent="0.2">
      <c r="A339" s="237">
        <f t="shared" si="241"/>
        <v>0</v>
      </c>
      <c r="B339" s="237">
        <f t="shared" si="242"/>
        <v>0</v>
      </c>
      <c r="C339" s="393">
        <f t="shared" si="227"/>
        <v>0</v>
      </c>
      <c r="D339" s="393" t="str">
        <f t="shared" si="228"/>
        <v xml:space="preserve">19 </v>
      </c>
      <c r="E339" s="959" t="s">
        <v>703</v>
      </c>
      <c r="F339" s="959" t="s">
        <v>2140</v>
      </c>
      <c r="G339" s="959" t="s">
        <v>15</v>
      </c>
      <c r="H339" s="965">
        <v>257.18</v>
      </c>
      <c r="I339" s="960">
        <v>5.3258000000000001</v>
      </c>
      <c r="J339" s="964">
        <v>1369.69</v>
      </c>
      <c r="K339" s="367">
        <v>0</v>
      </c>
      <c r="L339" s="367">
        <f>IF($H339="",0,VLOOKUP($E339,Plan3!$A$16:$CT$384,$E$7,0)%)</f>
        <v>0</v>
      </c>
      <c r="M339" s="368">
        <f t="shared" si="247"/>
        <v>0</v>
      </c>
      <c r="N339" s="368">
        <f t="shared" si="248"/>
        <v>0</v>
      </c>
      <c r="O339" s="367">
        <v>0</v>
      </c>
      <c r="P339" s="367">
        <f>VLOOKUP($E339,Plan3!$A$492:$P$858,13,0)%</f>
        <v>0</v>
      </c>
      <c r="Q339" s="368">
        <f t="shared" si="249"/>
        <v>0</v>
      </c>
      <c r="R339" s="368">
        <f t="shared" si="250"/>
        <v>0</v>
      </c>
      <c r="S339" s="880">
        <v>1385.5784040000001</v>
      </c>
      <c r="T339" s="880">
        <f t="shared" si="251"/>
        <v>0</v>
      </c>
      <c r="U339" s="880">
        <f>IF($I339="",0,($S339-$T339)*(1+('Econômico Macro'!$R$12/100)))</f>
        <v>1409.5489103892003</v>
      </c>
      <c r="V339" s="880">
        <f t="shared" si="252"/>
        <v>1409.5489103892003</v>
      </c>
      <c r="W339" s="880">
        <f t="shared" si="253"/>
        <v>0</v>
      </c>
      <c r="X339" s="367">
        <f t="shared" si="229"/>
        <v>0</v>
      </c>
      <c r="Y339" s="367">
        <f t="shared" si="230"/>
        <v>0</v>
      </c>
      <c r="Z339" s="367">
        <f t="shared" si="231"/>
        <v>0</v>
      </c>
      <c r="AA339" s="367">
        <f t="shared" si="232"/>
        <v>0</v>
      </c>
      <c r="AB339" s="369" t="str">
        <f t="shared" si="233"/>
        <v>Não Iniciada</v>
      </c>
      <c r="AC339" s="365"/>
      <c r="AD339" s="368">
        <v>1</v>
      </c>
      <c r="AE339" s="368">
        <f t="shared" si="254"/>
        <v>-1</v>
      </c>
      <c r="AF339" s="365"/>
      <c r="AG339" s="863">
        <f t="shared" si="243"/>
        <v>0</v>
      </c>
      <c r="AH339" s="864">
        <f t="shared" si="255"/>
        <v>0</v>
      </c>
      <c r="AI339" s="863">
        <f t="shared" si="244"/>
        <v>0</v>
      </c>
      <c r="AJ339" s="864">
        <f t="shared" si="256"/>
        <v>0</v>
      </c>
      <c r="AK339" s="365"/>
      <c r="AL339" s="865">
        <f t="shared" si="245"/>
        <v>0</v>
      </c>
      <c r="AM339" s="866">
        <f t="shared" si="257"/>
        <v>0</v>
      </c>
      <c r="AN339" s="866">
        <f t="shared" si="258"/>
        <v>0</v>
      </c>
      <c r="AO339" s="866">
        <f t="shared" si="259"/>
        <v>0</v>
      </c>
      <c r="AP339" s="867">
        <f t="shared" si="260"/>
        <v>0</v>
      </c>
      <c r="AQ339" s="591">
        <f t="shared" si="246"/>
        <v>0</v>
      </c>
      <c r="AR339" s="868">
        <f>IF(AND($L339=0,$P339=0)=TRUE,VLOOKUP($E339,Plan3!$A$16:$CT$487,$E$7+3,0)/100,0)</f>
        <v>0</v>
      </c>
      <c r="AS339" s="868">
        <f>IF(AND($L339=0,$P339=0)=TRUE,VLOOKUP($E339,Plan3!$A$16:$CT$487,$E$7+6,0)/100,0)</f>
        <v>0</v>
      </c>
      <c r="AT339" s="868">
        <f>IF(AND($L339=0,$P339=0)=TRUE,VLOOKUP($E339,Plan3!$A$16:$CT$487,$E$7+9,0)/100,0)</f>
        <v>0</v>
      </c>
      <c r="AU339" s="868">
        <f>IF(AND($L339=0,$P339=0)=TRUE,VLOOKUP($E339,Plan3!$A$16:$CT$487,$E$7+12,0)/100,0)</f>
        <v>0</v>
      </c>
      <c r="AV339" s="841"/>
      <c r="AW339" s="869">
        <f t="shared" si="265"/>
        <v>0</v>
      </c>
      <c r="AX339" s="870">
        <f t="shared" si="266"/>
        <v>0</v>
      </c>
      <c r="AY339" s="871">
        <f t="shared" si="267"/>
        <v>0</v>
      </c>
      <c r="AZ339" s="237" t="str">
        <f t="shared" si="234"/>
        <v xml:space="preserve">19.004.000.002 </v>
      </c>
      <c r="BA339" s="365"/>
      <c r="BB339" s="365"/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872">
        <f t="shared" si="235"/>
        <v>0</v>
      </c>
      <c r="BM339" s="873">
        <f t="shared" si="236"/>
        <v>0</v>
      </c>
      <c r="BN339" s="874">
        <f t="shared" si="261"/>
        <v>0</v>
      </c>
      <c r="BO339" s="875">
        <f t="shared" si="237"/>
        <v>0</v>
      </c>
      <c r="BP339" s="875">
        <f t="shared" si="238"/>
        <v>0</v>
      </c>
      <c r="BQ339" s="876">
        <f t="shared" si="262"/>
        <v>0</v>
      </c>
      <c r="BR339" s="877">
        <f t="shared" si="263"/>
        <v>0</v>
      </c>
      <c r="BS339" s="875">
        <f t="shared" si="239"/>
        <v>0</v>
      </c>
      <c r="BT339" s="875">
        <f t="shared" si="240"/>
        <v>0</v>
      </c>
      <c r="BU339" s="878">
        <f t="shared" si="264"/>
        <v>0</v>
      </c>
      <c r="CE339" s="486"/>
    </row>
    <row r="340" spans="1:83" s="177" customFormat="1" ht="21.95" customHeight="1" x14ac:dyDescent="0.2">
      <c r="A340" s="237">
        <f t="shared" si="241"/>
        <v>0</v>
      </c>
      <c r="B340" s="237">
        <f t="shared" si="242"/>
        <v>0</v>
      </c>
      <c r="C340" s="393">
        <f t="shared" si="227"/>
        <v>0</v>
      </c>
      <c r="D340" s="393" t="str">
        <f t="shared" si="228"/>
        <v xml:space="preserve">19 </v>
      </c>
      <c r="E340" s="959" t="s">
        <v>814</v>
      </c>
      <c r="F340" s="959" t="s">
        <v>504</v>
      </c>
      <c r="G340" s="959" t="s">
        <v>7</v>
      </c>
      <c r="H340" s="960">
        <v>1</v>
      </c>
      <c r="I340" s="963">
        <v>1163.4480000000001</v>
      </c>
      <c r="J340" s="964">
        <v>1163.45</v>
      </c>
      <c r="K340" s="367">
        <v>0</v>
      </c>
      <c r="L340" s="367">
        <f>IF($H340="",0,VLOOKUP($E340,Plan3!$A$16:$CT$384,$E$7,0)%)</f>
        <v>0</v>
      </c>
      <c r="M340" s="368">
        <f t="shared" si="247"/>
        <v>0</v>
      </c>
      <c r="N340" s="368">
        <f t="shared" si="248"/>
        <v>0</v>
      </c>
      <c r="O340" s="367">
        <v>0</v>
      </c>
      <c r="P340" s="367">
        <f>VLOOKUP($E340,Plan3!$A$492:$P$858,13,0)%</f>
        <v>0</v>
      </c>
      <c r="Q340" s="368">
        <f t="shared" si="249"/>
        <v>0</v>
      </c>
      <c r="R340" s="368">
        <f t="shared" si="250"/>
        <v>0</v>
      </c>
      <c r="S340" s="880">
        <v>1176.9460200000001</v>
      </c>
      <c r="T340" s="880">
        <f t="shared" si="251"/>
        <v>0</v>
      </c>
      <c r="U340" s="880">
        <f>IF($I340="",0,($S340-$T340)*(1+('Econômico Macro'!$R$12/100)))</f>
        <v>1197.3071861460003</v>
      </c>
      <c r="V340" s="880">
        <f t="shared" si="252"/>
        <v>1197.3071861460003</v>
      </c>
      <c r="W340" s="880">
        <f t="shared" si="253"/>
        <v>0</v>
      </c>
      <c r="X340" s="367">
        <f t="shared" si="229"/>
        <v>0</v>
      </c>
      <c r="Y340" s="367">
        <f t="shared" si="230"/>
        <v>0</v>
      </c>
      <c r="Z340" s="367">
        <f t="shared" si="231"/>
        <v>0</v>
      </c>
      <c r="AA340" s="367">
        <f t="shared" si="232"/>
        <v>0</v>
      </c>
      <c r="AB340" s="369" t="str">
        <f t="shared" si="233"/>
        <v>Não Iniciada</v>
      </c>
      <c r="AC340" s="365"/>
      <c r="AD340" s="368">
        <v>1</v>
      </c>
      <c r="AE340" s="368">
        <f t="shared" si="254"/>
        <v>-1</v>
      </c>
      <c r="AF340" s="365"/>
      <c r="AG340" s="863">
        <f t="shared" si="243"/>
        <v>0</v>
      </c>
      <c r="AH340" s="864">
        <f t="shared" si="255"/>
        <v>0</v>
      </c>
      <c r="AI340" s="863">
        <f t="shared" si="244"/>
        <v>0</v>
      </c>
      <c r="AJ340" s="864">
        <f t="shared" si="256"/>
        <v>0</v>
      </c>
      <c r="AK340" s="365"/>
      <c r="AL340" s="865">
        <f t="shared" si="245"/>
        <v>0</v>
      </c>
      <c r="AM340" s="866">
        <f t="shared" si="257"/>
        <v>0</v>
      </c>
      <c r="AN340" s="866">
        <f t="shared" si="258"/>
        <v>0</v>
      </c>
      <c r="AO340" s="866">
        <f t="shared" si="259"/>
        <v>0</v>
      </c>
      <c r="AP340" s="867">
        <f t="shared" si="260"/>
        <v>0</v>
      </c>
      <c r="AQ340" s="591">
        <f t="shared" si="246"/>
        <v>0</v>
      </c>
      <c r="AR340" s="868">
        <f>IF(AND($L340=0,$P340=0)=TRUE,VLOOKUP($E340,Plan3!$A$16:$CT$487,$E$7+3,0)/100,0)</f>
        <v>0</v>
      </c>
      <c r="AS340" s="868">
        <f>IF(AND($L340=0,$P340=0)=TRUE,VLOOKUP($E340,Plan3!$A$16:$CT$487,$E$7+6,0)/100,0)</f>
        <v>0</v>
      </c>
      <c r="AT340" s="868">
        <f>IF(AND($L340=0,$P340=0)=TRUE,VLOOKUP($E340,Plan3!$A$16:$CT$487,$E$7+9,0)/100,0)</f>
        <v>0</v>
      </c>
      <c r="AU340" s="868">
        <f>IF(AND($L340=0,$P340=0)=TRUE,VLOOKUP($E340,Plan3!$A$16:$CT$487,$E$7+12,0)/100,0)</f>
        <v>0</v>
      </c>
      <c r="AV340" s="841"/>
      <c r="AW340" s="869">
        <f t="shared" si="265"/>
        <v>0</v>
      </c>
      <c r="AX340" s="870">
        <f t="shared" si="266"/>
        <v>0</v>
      </c>
      <c r="AY340" s="871">
        <f t="shared" si="267"/>
        <v>0</v>
      </c>
      <c r="AZ340" s="237" t="str">
        <f t="shared" si="234"/>
        <v xml:space="preserve">19.004.000.003 </v>
      </c>
      <c r="BA340" s="365"/>
      <c r="BB340" s="365"/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872">
        <f t="shared" si="235"/>
        <v>0</v>
      </c>
      <c r="BM340" s="873">
        <f t="shared" si="236"/>
        <v>0</v>
      </c>
      <c r="BN340" s="874">
        <f t="shared" si="261"/>
        <v>0</v>
      </c>
      <c r="BO340" s="875">
        <f t="shared" si="237"/>
        <v>0</v>
      </c>
      <c r="BP340" s="875">
        <f t="shared" si="238"/>
        <v>0</v>
      </c>
      <c r="BQ340" s="876">
        <f t="shared" si="262"/>
        <v>0</v>
      </c>
      <c r="BR340" s="877">
        <f t="shared" si="263"/>
        <v>0</v>
      </c>
      <c r="BS340" s="875">
        <f t="shared" si="239"/>
        <v>0</v>
      </c>
      <c r="BT340" s="875">
        <f t="shared" si="240"/>
        <v>0</v>
      </c>
      <c r="BU340" s="878">
        <f t="shared" si="264"/>
        <v>0</v>
      </c>
      <c r="CE340" s="486"/>
    </row>
    <row r="341" spans="1:83" s="177" customFormat="1" ht="21.95" customHeight="1" x14ac:dyDescent="0.2">
      <c r="A341" s="237">
        <f t="shared" si="241"/>
        <v>0</v>
      </c>
      <c r="B341" s="237">
        <f t="shared" si="242"/>
        <v>0</v>
      </c>
      <c r="C341" s="393">
        <f t="shared" si="227"/>
        <v>0</v>
      </c>
      <c r="D341" s="393" t="str">
        <f t="shared" si="228"/>
        <v xml:space="preserve">19 </v>
      </c>
      <c r="E341" s="967" t="s">
        <v>704</v>
      </c>
      <c r="F341" s="967" t="s">
        <v>487</v>
      </c>
      <c r="G341" s="967"/>
      <c r="H341" s="968"/>
      <c r="I341" s="968"/>
      <c r="J341" s="975">
        <v>562.42999999999995</v>
      </c>
      <c r="K341" s="367">
        <v>0</v>
      </c>
      <c r="L341" s="367">
        <f>IF($H341="",0,VLOOKUP($E341,Plan3!$A$16:$CT$384,$E$7,0)%)</f>
        <v>0</v>
      </c>
      <c r="M341" s="368">
        <f t="shared" si="247"/>
        <v>0</v>
      </c>
      <c r="N341" s="368">
        <f t="shared" si="248"/>
        <v>0</v>
      </c>
      <c r="O341" s="367">
        <v>0</v>
      </c>
      <c r="P341" s="367">
        <f>VLOOKUP($E341,Plan3!$A$492:$P$858,13,0)%</f>
        <v>0</v>
      </c>
      <c r="Q341" s="368">
        <f t="shared" si="249"/>
        <v>0</v>
      </c>
      <c r="R341" s="368">
        <f t="shared" si="250"/>
        <v>0</v>
      </c>
      <c r="S341" s="880">
        <v>0</v>
      </c>
      <c r="T341" s="880">
        <f t="shared" si="251"/>
        <v>0</v>
      </c>
      <c r="U341" s="880">
        <f>IF($I341="",0,($S341-$T341)*(1+('Econômico Macro'!$R$12/100)))</f>
        <v>0</v>
      </c>
      <c r="V341" s="880">
        <f t="shared" si="252"/>
        <v>0</v>
      </c>
      <c r="W341" s="880">
        <f t="shared" si="253"/>
        <v>0</v>
      </c>
      <c r="X341" s="367">
        <f t="shared" si="229"/>
        <v>0</v>
      </c>
      <c r="Y341" s="367">
        <f t="shared" si="230"/>
        <v>0</v>
      </c>
      <c r="Z341" s="367">
        <f t="shared" si="231"/>
        <v>0</v>
      </c>
      <c r="AA341" s="367">
        <f t="shared" si="232"/>
        <v>0</v>
      </c>
      <c r="AB341" s="369" t="str">
        <f t="shared" si="233"/>
        <v>Não Iniciada</v>
      </c>
      <c r="AC341" s="365"/>
      <c r="AD341" s="368">
        <v>1</v>
      </c>
      <c r="AE341" s="368">
        <f t="shared" si="254"/>
        <v>-1</v>
      </c>
      <c r="AF341" s="365"/>
      <c r="AG341" s="863">
        <f t="shared" si="243"/>
        <v>0</v>
      </c>
      <c r="AH341" s="864">
        <f t="shared" si="255"/>
        <v>0</v>
      </c>
      <c r="AI341" s="863">
        <f t="shared" si="244"/>
        <v>0</v>
      </c>
      <c r="AJ341" s="864">
        <f t="shared" si="256"/>
        <v>0</v>
      </c>
      <c r="AK341" s="365"/>
      <c r="AL341" s="865">
        <f t="shared" si="245"/>
        <v>0</v>
      </c>
      <c r="AM341" s="866">
        <f t="shared" si="257"/>
        <v>0</v>
      </c>
      <c r="AN341" s="866">
        <f t="shared" si="258"/>
        <v>0</v>
      </c>
      <c r="AO341" s="866">
        <f t="shared" si="259"/>
        <v>0</v>
      </c>
      <c r="AP341" s="867">
        <f t="shared" si="260"/>
        <v>0</v>
      </c>
      <c r="AQ341" s="591"/>
      <c r="AR341" s="868"/>
      <c r="AS341" s="868"/>
      <c r="AT341" s="868"/>
      <c r="AU341" s="868"/>
      <c r="AV341" s="841"/>
      <c r="AW341" s="869"/>
      <c r="AX341" s="870"/>
      <c r="AY341" s="871"/>
      <c r="AZ341" s="237" t="str">
        <f t="shared" si="234"/>
        <v xml:space="preserve">19.005 </v>
      </c>
      <c r="BA341" s="365"/>
      <c r="BB341" s="365"/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872">
        <f t="shared" si="235"/>
        <v>0</v>
      </c>
      <c r="BM341" s="873">
        <f t="shared" si="236"/>
        <v>0</v>
      </c>
      <c r="BN341" s="874">
        <f t="shared" si="261"/>
        <v>0</v>
      </c>
      <c r="BO341" s="875">
        <f t="shared" si="237"/>
        <v>0</v>
      </c>
      <c r="BP341" s="875">
        <f t="shared" si="238"/>
        <v>0</v>
      </c>
      <c r="BQ341" s="876">
        <f t="shared" si="262"/>
        <v>0</v>
      </c>
      <c r="BR341" s="877">
        <f t="shared" si="263"/>
        <v>0</v>
      </c>
      <c r="BS341" s="875">
        <f t="shared" si="239"/>
        <v>0</v>
      </c>
      <c r="BT341" s="875">
        <f t="shared" si="240"/>
        <v>0</v>
      </c>
      <c r="BU341" s="878">
        <f t="shared" si="264"/>
        <v>0</v>
      </c>
      <c r="CE341" s="486"/>
    </row>
    <row r="342" spans="1:83" s="177" customFormat="1" ht="21.95" customHeight="1" x14ac:dyDescent="0.2">
      <c r="A342" s="237">
        <f t="shared" si="241"/>
        <v>0</v>
      </c>
      <c r="B342" s="237">
        <f t="shared" si="242"/>
        <v>0</v>
      </c>
      <c r="C342" s="393">
        <f t="shared" si="227"/>
        <v>0</v>
      </c>
      <c r="D342" s="393" t="str">
        <f t="shared" si="228"/>
        <v xml:space="preserve">19 </v>
      </c>
      <c r="E342" s="959" t="s">
        <v>706</v>
      </c>
      <c r="F342" s="959" t="s">
        <v>487</v>
      </c>
      <c r="G342" s="959" t="s">
        <v>90</v>
      </c>
      <c r="H342" s="965">
        <v>244.98</v>
      </c>
      <c r="I342" s="960">
        <v>2.2957999999999998</v>
      </c>
      <c r="J342" s="966">
        <v>562.42999999999995</v>
      </c>
      <c r="K342" s="367">
        <v>0</v>
      </c>
      <c r="L342" s="367">
        <f>IF($H342="",0,VLOOKUP($E342,Plan3!$A$16:$CT$384,$E$7,0)%)</f>
        <v>0</v>
      </c>
      <c r="M342" s="368">
        <f t="shared" si="247"/>
        <v>0</v>
      </c>
      <c r="N342" s="368">
        <f t="shared" si="248"/>
        <v>0</v>
      </c>
      <c r="O342" s="367">
        <v>0</v>
      </c>
      <c r="P342" s="367">
        <f>VLOOKUP($E342,Plan3!$A$492:$P$858,13,0)%</f>
        <v>0</v>
      </c>
      <c r="Q342" s="368">
        <f t="shared" si="249"/>
        <v>0</v>
      </c>
      <c r="R342" s="368">
        <f t="shared" si="250"/>
        <v>0</v>
      </c>
      <c r="S342" s="880">
        <v>568.95418799999993</v>
      </c>
      <c r="T342" s="880">
        <f t="shared" si="251"/>
        <v>0</v>
      </c>
      <c r="U342" s="880">
        <f>IF($I342="",0,($S342-$T342)*(1+('Econômico Macro'!$R$12/100)))</f>
        <v>578.79709545239996</v>
      </c>
      <c r="V342" s="880">
        <f t="shared" si="252"/>
        <v>578.79709545239996</v>
      </c>
      <c r="W342" s="880">
        <f t="shared" si="253"/>
        <v>0</v>
      </c>
      <c r="X342" s="367">
        <f t="shared" si="229"/>
        <v>0</v>
      </c>
      <c r="Y342" s="367">
        <f t="shared" si="230"/>
        <v>0</v>
      </c>
      <c r="Z342" s="367">
        <f t="shared" si="231"/>
        <v>0</v>
      </c>
      <c r="AA342" s="367">
        <f t="shared" si="232"/>
        <v>0</v>
      </c>
      <c r="AB342" s="369" t="str">
        <f t="shared" si="233"/>
        <v>Não Iniciada</v>
      </c>
      <c r="AC342" s="365"/>
      <c r="AD342" s="368">
        <v>1</v>
      </c>
      <c r="AE342" s="368">
        <f t="shared" si="254"/>
        <v>-1</v>
      </c>
      <c r="AF342" s="365"/>
      <c r="AG342" s="863">
        <f t="shared" si="243"/>
        <v>0</v>
      </c>
      <c r="AH342" s="864">
        <f t="shared" si="255"/>
        <v>0</v>
      </c>
      <c r="AI342" s="863">
        <f t="shared" si="244"/>
        <v>0</v>
      </c>
      <c r="AJ342" s="864">
        <f t="shared" si="256"/>
        <v>0</v>
      </c>
      <c r="AK342" s="365"/>
      <c r="AL342" s="865">
        <f t="shared" si="245"/>
        <v>0</v>
      </c>
      <c r="AM342" s="866">
        <f t="shared" si="257"/>
        <v>0</v>
      </c>
      <c r="AN342" s="866">
        <f t="shared" si="258"/>
        <v>0</v>
      </c>
      <c r="AO342" s="866">
        <f t="shared" si="259"/>
        <v>0</v>
      </c>
      <c r="AP342" s="867">
        <f t="shared" si="260"/>
        <v>0</v>
      </c>
      <c r="AQ342" s="591">
        <f t="shared" si="246"/>
        <v>0</v>
      </c>
      <c r="AR342" s="868">
        <f>IF(AND($L342=0,$P342=0)=TRUE,VLOOKUP($E342,Plan3!$A$16:$CT$487,$E$7+3,0)/100,0)</f>
        <v>0</v>
      </c>
      <c r="AS342" s="868">
        <f>IF(AND($L342=0,$P342=0)=TRUE,VLOOKUP($E342,Plan3!$A$16:$CT$487,$E$7+6,0)/100,0)</f>
        <v>0</v>
      </c>
      <c r="AT342" s="868">
        <f>IF(AND($L342=0,$P342=0)=TRUE,VLOOKUP($E342,Plan3!$A$16:$CT$487,$E$7+9,0)/100,0)</f>
        <v>0</v>
      </c>
      <c r="AU342" s="868">
        <f>IF(AND($L342=0,$P342=0)=TRUE,VLOOKUP($E342,Plan3!$A$16:$CT$487,$E$7+12,0)/100,0)</f>
        <v>0</v>
      </c>
      <c r="AV342" s="841"/>
      <c r="AW342" s="869">
        <f t="shared" si="265"/>
        <v>0</v>
      </c>
      <c r="AX342" s="870">
        <f t="shared" si="266"/>
        <v>0</v>
      </c>
      <c r="AY342" s="871">
        <f t="shared" si="267"/>
        <v>0</v>
      </c>
      <c r="AZ342" s="237" t="str">
        <f t="shared" si="234"/>
        <v xml:space="preserve">19.005.000.001 </v>
      </c>
      <c r="BA342" s="365"/>
      <c r="BB342" s="365"/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872">
        <f t="shared" si="235"/>
        <v>0</v>
      </c>
      <c r="BM342" s="873">
        <f t="shared" si="236"/>
        <v>0</v>
      </c>
      <c r="BN342" s="874">
        <f t="shared" si="261"/>
        <v>0</v>
      </c>
      <c r="BO342" s="875">
        <f t="shared" si="237"/>
        <v>0</v>
      </c>
      <c r="BP342" s="875">
        <f t="shared" si="238"/>
        <v>0</v>
      </c>
      <c r="BQ342" s="876">
        <f t="shared" si="262"/>
        <v>0</v>
      </c>
      <c r="BR342" s="877">
        <f t="shared" si="263"/>
        <v>0</v>
      </c>
      <c r="BS342" s="875">
        <f t="shared" si="239"/>
        <v>0</v>
      </c>
      <c r="BT342" s="875">
        <f t="shared" si="240"/>
        <v>0</v>
      </c>
      <c r="BU342" s="878">
        <f t="shared" si="264"/>
        <v>0</v>
      </c>
      <c r="CE342" s="486"/>
    </row>
    <row r="343" spans="1:83" s="177" customFormat="1" ht="21.95" customHeight="1" x14ac:dyDescent="0.2">
      <c r="A343" s="237">
        <f t="shared" si="241"/>
        <v>0</v>
      </c>
      <c r="B343" s="237">
        <f t="shared" si="242"/>
        <v>0</v>
      </c>
      <c r="C343" s="393">
        <f t="shared" si="227"/>
        <v>0</v>
      </c>
      <c r="D343" s="393" t="str">
        <f t="shared" si="228"/>
        <v xml:space="preserve">19 </v>
      </c>
      <c r="E343" s="967" t="s">
        <v>707</v>
      </c>
      <c r="F343" s="967" t="s">
        <v>2320</v>
      </c>
      <c r="G343" s="967"/>
      <c r="H343" s="968"/>
      <c r="I343" s="968"/>
      <c r="J343" s="975">
        <v>689.04</v>
      </c>
      <c r="K343" s="367">
        <v>0</v>
      </c>
      <c r="L343" s="367">
        <f>IF($H343="",0,VLOOKUP($E343,Plan3!$A$16:$CT$384,$E$7,0)%)</f>
        <v>0</v>
      </c>
      <c r="M343" s="368">
        <f t="shared" si="247"/>
        <v>0</v>
      </c>
      <c r="N343" s="368">
        <f t="shared" si="248"/>
        <v>0</v>
      </c>
      <c r="O343" s="367">
        <v>0</v>
      </c>
      <c r="P343" s="367">
        <f>VLOOKUP($E343,Plan3!$A$492:$P$858,13,0)%</f>
        <v>0</v>
      </c>
      <c r="Q343" s="368">
        <f t="shared" si="249"/>
        <v>0</v>
      </c>
      <c r="R343" s="368">
        <f t="shared" si="250"/>
        <v>0</v>
      </c>
      <c r="S343" s="880">
        <v>0</v>
      </c>
      <c r="T343" s="880">
        <f t="shared" si="251"/>
        <v>0</v>
      </c>
      <c r="U343" s="880">
        <f>IF($I343="",0,($S343-$T343)*(1+('Econômico Macro'!$R$12/100)))</f>
        <v>0</v>
      </c>
      <c r="V343" s="880">
        <f t="shared" si="252"/>
        <v>0</v>
      </c>
      <c r="W343" s="880">
        <f t="shared" si="253"/>
        <v>0</v>
      </c>
      <c r="X343" s="367">
        <f t="shared" si="229"/>
        <v>0</v>
      </c>
      <c r="Y343" s="367">
        <f t="shared" si="230"/>
        <v>0</v>
      </c>
      <c r="Z343" s="367">
        <f t="shared" si="231"/>
        <v>0</v>
      </c>
      <c r="AA343" s="367">
        <f t="shared" si="232"/>
        <v>0</v>
      </c>
      <c r="AB343" s="369" t="str">
        <f t="shared" si="233"/>
        <v>Não Iniciada</v>
      </c>
      <c r="AC343" s="365"/>
      <c r="AD343" s="368">
        <v>1</v>
      </c>
      <c r="AE343" s="368">
        <f t="shared" si="254"/>
        <v>-1</v>
      </c>
      <c r="AF343" s="365"/>
      <c r="AG343" s="863">
        <f t="shared" si="243"/>
        <v>0</v>
      </c>
      <c r="AH343" s="864">
        <f t="shared" si="255"/>
        <v>0</v>
      </c>
      <c r="AI343" s="863">
        <f t="shared" si="244"/>
        <v>0</v>
      </c>
      <c r="AJ343" s="864">
        <f t="shared" si="256"/>
        <v>0</v>
      </c>
      <c r="AK343" s="365"/>
      <c r="AL343" s="865">
        <f t="shared" si="245"/>
        <v>0</v>
      </c>
      <c r="AM343" s="866">
        <f t="shared" si="257"/>
        <v>0</v>
      </c>
      <c r="AN343" s="866">
        <f t="shared" si="258"/>
        <v>0</v>
      </c>
      <c r="AO343" s="866">
        <f t="shared" si="259"/>
        <v>0</v>
      </c>
      <c r="AP343" s="867">
        <f t="shared" si="260"/>
        <v>0</v>
      </c>
      <c r="AQ343" s="591"/>
      <c r="AR343" s="868"/>
      <c r="AS343" s="868"/>
      <c r="AT343" s="868"/>
      <c r="AU343" s="868"/>
      <c r="AV343" s="841"/>
      <c r="AW343" s="869"/>
      <c r="AX343" s="870"/>
      <c r="AY343" s="871"/>
      <c r="AZ343" s="237" t="str">
        <f t="shared" si="234"/>
        <v xml:space="preserve">19.006 </v>
      </c>
      <c r="BA343" s="365"/>
      <c r="BB343" s="365"/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872">
        <f t="shared" si="235"/>
        <v>0</v>
      </c>
      <c r="BM343" s="873">
        <f t="shared" si="236"/>
        <v>0</v>
      </c>
      <c r="BN343" s="874">
        <f t="shared" si="261"/>
        <v>0</v>
      </c>
      <c r="BO343" s="875">
        <f t="shared" si="237"/>
        <v>0</v>
      </c>
      <c r="BP343" s="875">
        <f t="shared" si="238"/>
        <v>0</v>
      </c>
      <c r="BQ343" s="876">
        <f t="shared" si="262"/>
        <v>0</v>
      </c>
      <c r="BR343" s="877">
        <f t="shared" si="263"/>
        <v>0</v>
      </c>
      <c r="BS343" s="875">
        <f t="shared" si="239"/>
        <v>0</v>
      </c>
      <c r="BT343" s="875">
        <f t="shared" si="240"/>
        <v>0</v>
      </c>
      <c r="BU343" s="878">
        <f t="shared" si="264"/>
        <v>0</v>
      </c>
      <c r="CE343" s="486"/>
    </row>
    <row r="344" spans="1:83" s="177" customFormat="1" ht="21.95" customHeight="1" x14ac:dyDescent="0.2">
      <c r="A344" s="237">
        <f t="shared" si="241"/>
        <v>0</v>
      </c>
      <c r="B344" s="237">
        <f t="shared" si="242"/>
        <v>0</v>
      </c>
      <c r="C344" s="393">
        <f t="shared" si="227"/>
        <v>0</v>
      </c>
      <c r="D344" s="393" t="str">
        <f t="shared" si="228"/>
        <v xml:space="preserve">19 </v>
      </c>
      <c r="E344" s="959" t="s">
        <v>709</v>
      </c>
      <c r="F344" s="959" t="s">
        <v>2359</v>
      </c>
      <c r="G344" s="959" t="s">
        <v>90</v>
      </c>
      <c r="H344" s="965">
        <v>278.02999999999997</v>
      </c>
      <c r="I344" s="960">
        <v>2.4782999999999999</v>
      </c>
      <c r="J344" s="966">
        <v>689.04</v>
      </c>
      <c r="K344" s="367">
        <v>0</v>
      </c>
      <c r="L344" s="367">
        <f>IF($H344="",0,VLOOKUP($E344,Plan3!$A$16:$CT$384,$E$7,0)%)</f>
        <v>0</v>
      </c>
      <c r="M344" s="368">
        <f t="shared" si="247"/>
        <v>0</v>
      </c>
      <c r="N344" s="368">
        <f t="shared" si="248"/>
        <v>0</v>
      </c>
      <c r="O344" s="367">
        <v>0</v>
      </c>
      <c r="P344" s="367">
        <f>VLOOKUP($E344,Plan3!$A$492:$P$858,13,0)%</f>
        <v>0</v>
      </c>
      <c r="Q344" s="368">
        <f t="shared" si="249"/>
        <v>0</v>
      </c>
      <c r="R344" s="368">
        <f t="shared" si="250"/>
        <v>0</v>
      </c>
      <c r="S344" s="880">
        <v>697.03286400000002</v>
      </c>
      <c r="T344" s="880">
        <f t="shared" si="251"/>
        <v>0</v>
      </c>
      <c r="U344" s="880">
        <f>IF($I344="",0,($S344-$T344)*(1+('Econômico Macro'!$R$12/100)))</f>
        <v>709.09153254720013</v>
      </c>
      <c r="V344" s="880">
        <f t="shared" si="252"/>
        <v>709.09153254720013</v>
      </c>
      <c r="W344" s="880">
        <f t="shared" si="253"/>
        <v>0</v>
      </c>
      <c r="X344" s="367">
        <f t="shared" si="229"/>
        <v>0</v>
      </c>
      <c r="Y344" s="367">
        <f t="shared" si="230"/>
        <v>0</v>
      </c>
      <c r="Z344" s="367">
        <f t="shared" si="231"/>
        <v>0</v>
      </c>
      <c r="AA344" s="367">
        <f t="shared" si="232"/>
        <v>0</v>
      </c>
      <c r="AB344" s="369" t="str">
        <f t="shared" si="233"/>
        <v>Não Iniciada</v>
      </c>
      <c r="AC344" s="365"/>
      <c r="AD344" s="368">
        <v>1</v>
      </c>
      <c r="AE344" s="368">
        <f t="shared" si="254"/>
        <v>-1</v>
      </c>
      <c r="AF344" s="365"/>
      <c r="AG344" s="863">
        <f t="shared" si="243"/>
        <v>0</v>
      </c>
      <c r="AH344" s="864">
        <f t="shared" si="255"/>
        <v>0</v>
      </c>
      <c r="AI344" s="863">
        <f t="shared" si="244"/>
        <v>0</v>
      </c>
      <c r="AJ344" s="864">
        <f t="shared" si="256"/>
        <v>0</v>
      </c>
      <c r="AK344" s="365"/>
      <c r="AL344" s="865">
        <f t="shared" si="245"/>
        <v>0</v>
      </c>
      <c r="AM344" s="866">
        <f t="shared" si="257"/>
        <v>0</v>
      </c>
      <c r="AN344" s="866">
        <f t="shared" si="258"/>
        <v>0</v>
      </c>
      <c r="AO344" s="866">
        <f t="shared" si="259"/>
        <v>0</v>
      </c>
      <c r="AP344" s="867">
        <f t="shared" si="260"/>
        <v>0</v>
      </c>
      <c r="AQ344" s="591">
        <f t="shared" si="246"/>
        <v>0</v>
      </c>
      <c r="AR344" s="868">
        <f>IF(AND($L344=0,$P344=0)=TRUE,VLOOKUP($E344,Plan3!$A$16:$CT$487,$E$7+3,0)/100,0)</f>
        <v>0</v>
      </c>
      <c r="AS344" s="868">
        <f>IF(AND($L344=0,$P344=0)=TRUE,VLOOKUP($E344,Plan3!$A$16:$CT$487,$E$7+6,0)/100,0)</f>
        <v>0</v>
      </c>
      <c r="AT344" s="868">
        <f>IF(AND($L344=0,$P344=0)=TRUE,VLOOKUP($E344,Plan3!$A$16:$CT$487,$E$7+9,0)/100,0)</f>
        <v>0</v>
      </c>
      <c r="AU344" s="868">
        <f>IF(AND($L344=0,$P344=0)=TRUE,VLOOKUP($E344,Plan3!$A$16:$CT$487,$E$7+12,0)/100,0)</f>
        <v>0</v>
      </c>
      <c r="AV344" s="841"/>
      <c r="AW344" s="869">
        <f t="shared" si="265"/>
        <v>0</v>
      </c>
      <c r="AX344" s="870">
        <f t="shared" si="266"/>
        <v>0</v>
      </c>
      <c r="AY344" s="871">
        <f t="shared" si="267"/>
        <v>0</v>
      </c>
      <c r="AZ344" s="237" t="str">
        <f t="shared" si="234"/>
        <v xml:space="preserve">19.006.000.001 </v>
      </c>
      <c r="BA344" s="365"/>
      <c r="BB344" s="365"/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872">
        <f t="shared" si="235"/>
        <v>0</v>
      </c>
      <c r="BM344" s="873">
        <f t="shared" si="236"/>
        <v>0</v>
      </c>
      <c r="BN344" s="874">
        <f t="shared" si="261"/>
        <v>0</v>
      </c>
      <c r="BO344" s="875">
        <f t="shared" si="237"/>
        <v>0</v>
      </c>
      <c r="BP344" s="875">
        <f t="shared" si="238"/>
        <v>0</v>
      </c>
      <c r="BQ344" s="876">
        <f t="shared" si="262"/>
        <v>0</v>
      </c>
      <c r="BR344" s="877">
        <f t="shared" si="263"/>
        <v>0</v>
      </c>
      <c r="BS344" s="875">
        <f t="shared" si="239"/>
        <v>0</v>
      </c>
      <c r="BT344" s="875">
        <f t="shared" si="240"/>
        <v>0</v>
      </c>
      <c r="BU344" s="878">
        <f t="shared" si="264"/>
        <v>0</v>
      </c>
      <c r="CE344" s="486"/>
    </row>
    <row r="345" spans="1:83" s="177" customFormat="1" ht="21.95" customHeight="1" x14ac:dyDescent="0.2">
      <c r="A345" s="237">
        <f t="shared" si="241"/>
        <v>0</v>
      </c>
      <c r="B345" s="237">
        <f t="shared" si="242"/>
        <v>0</v>
      </c>
      <c r="C345" s="393">
        <f t="shared" si="227"/>
        <v>0</v>
      </c>
      <c r="D345" s="393" t="str">
        <f t="shared" si="228"/>
        <v xml:space="preserve">19 </v>
      </c>
      <c r="E345" s="967" t="s">
        <v>1525</v>
      </c>
      <c r="F345" s="967" t="s">
        <v>1522</v>
      </c>
      <c r="G345" s="967"/>
      <c r="H345" s="968"/>
      <c r="I345" s="968"/>
      <c r="J345" s="969">
        <v>17193.64</v>
      </c>
      <c r="K345" s="367">
        <v>0</v>
      </c>
      <c r="L345" s="367">
        <f>IF($H345="",0,VLOOKUP($E345,Plan3!$A$16:$CT$384,$E$7,0)%)</f>
        <v>0</v>
      </c>
      <c r="M345" s="368">
        <f t="shared" si="247"/>
        <v>0</v>
      </c>
      <c r="N345" s="368">
        <f t="shared" si="248"/>
        <v>0</v>
      </c>
      <c r="O345" s="367">
        <v>0</v>
      </c>
      <c r="P345" s="367">
        <f>VLOOKUP($E345,Plan3!$A$492:$P$858,13,0)%</f>
        <v>0</v>
      </c>
      <c r="Q345" s="368">
        <f t="shared" si="249"/>
        <v>0</v>
      </c>
      <c r="R345" s="368">
        <f t="shared" si="250"/>
        <v>0</v>
      </c>
      <c r="S345" s="880">
        <v>0</v>
      </c>
      <c r="T345" s="880">
        <f t="shared" si="251"/>
        <v>0</v>
      </c>
      <c r="U345" s="880">
        <f>IF($I345="",0,($S345-$T345)*(1+('Econômico Macro'!$R$12/100)))</f>
        <v>0</v>
      </c>
      <c r="V345" s="880">
        <f t="shared" si="252"/>
        <v>0</v>
      </c>
      <c r="W345" s="880">
        <f t="shared" si="253"/>
        <v>0</v>
      </c>
      <c r="X345" s="367">
        <f t="shared" si="229"/>
        <v>0</v>
      </c>
      <c r="Y345" s="367">
        <f t="shared" si="230"/>
        <v>0</v>
      </c>
      <c r="Z345" s="367">
        <f t="shared" si="231"/>
        <v>0</v>
      </c>
      <c r="AA345" s="367">
        <f t="shared" si="232"/>
        <v>0</v>
      </c>
      <c r="AB345" s="369" t="str">
        <f t="shared" si="233"/>
        <v>Não Iniciada</v>
      </c>
      <c r="AC345" s="365"/>
      <c r="AD345" s="368">
        <v>1</v>
      </c>
      <c r="AE345" s="368">
        <f t="shared" si="254"/>
        <v>-1</v>
      </c>
      <c r="AF345" s="365"/>
      <c r="AG345" s="863">
        <f t="shared" si="243"/>
        <v>0</v>
      </c>
      <c r="AH345" s="864">
        <f t="shared" si="255"/>
        <v>0</v>
      </c>
      <c r="AI345" s="863">
        <f t="shared" si="244"/>
        <v>0</v>
      </c>
      <c r="AJ345" s="864">
        <f t="shared" si="256"/>
        <v>0</v>
      </c>
      <c r="AK345" s="365"/>
      <c r="AL345" s="865">
        <f t="shared" si="245"/>
        <v>0</v>
      </c>
      <c r="AM345" s="866">
        <f t="shared" si="257"/>
        <v>0</v>
      </c>
      <c r="AN345" s="866">
        <f t="shared" si="258"/>
        <v>0</v>
      </c>
      <c r="AO345" s="866">
        <f t="shared" si="259"/>
        <v>0</v>
      </c>
      <c r="AP345" s="867">
        <f t="shared" si="260"/>
        <v>0</v>
      </c>
      <c r="AQ345" s="591"/>
      <c r="AR345" s="868"/>
      <c r="AS345" s="868"/>
      <c r="AT345" s="868"/>
      <c r="AU345" s="868"/>
      <c r="AV345" s="841"/>
      <c r="AW345" s="869"/>
      <c r="AX345" s="870"/>
      <c r="AY345" s="871"/>
      <c r="AZ345" s="237" t="str">
        <f t="shared" si="234"/>
        <v xml:space="preserve">19.007 </v>
      </c>
      <c r="BA345" s="365"/>
      <c r="BB345" s="365"/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872">
        <f t="shared" si="235"/>
        <v>0</v>
      </c>
      <c r="BM345" s="873">
        <f t="shared" si="236"/>
        <v>0</v>
      </c>
      <c r="BN345" s="874">
        <f t="shared" si="261"/>
        <v>0</v>
      </c>
      <c r="BO345" s="875">
        <f t="shared" si="237"/>
        <v>0</v>
      </c>
      <c r="BP345" s="875">
        <f t="shared" si="238"/>
        <v>0</v>
      </c>
      <c r="BQ345" s="876">
        <f t="shared" si="262"/>
        <v>0</v>
      </c>
      <c r="BR345" s="877">
        <f t="shared" si="263"/>
        <v>0</v>
      </c>
      <c r="BS345" s="875">
        <f t="shared" si="239"/>
        <v>0</v>
      </c>
      <c r="BT345" s="875">
        <f t="shared" si="240"/>
        <v>0</v>
      </c>
      <c r="BU345" s="878">
        <f t="shared" si="264"/>
        <v>0</v>
      </c>
      <c r="CE345" s="486"/>
    </row>
    <row r="346" spans="1:83" s="177" customFormat="1" ht="21.95" customHeight="1" x14ac:dyDescent="0.2">
      <c r="A346" s="237">
        <f t="shared" si="241"/>
        <v>0</v>
      </c>
      <c r="B346" s="237">
        <f t="shared" si="242"/>
        <v>0</v>
      </c>
      <c r="C346" s="393">
        <f t="shared" si="227"/>
        <v>0</v>
      </c>
      <c r="D346" s="393" t="str">
        <f t="shared" si="228"/>
        <v xml:space="preserve">19 </v>
      </c>
      <c r="E346" s="959" t="s">
        <v>1527</v>
      </c>
      <c r="F346" s="959" t="s">
        <v>2321</v>
      </c>
      <c r="G346" s="959" t="s">
        <v>90</v>
      </c>
      <c r="H346" s="965">
        <v>224.05</v>
      </c>
      <c r="I346" s="970">
        <v>17.707100000000001</v>
      </c>
      <c r="J346" s="964">
        <v>3967.28</v>
      </c>
      <c r="K346" s="367">
        <v>0</v>
      </c>
      <c r="L346" s="367">
        <f>IF($H346="",0,VLOOKUP($E346,Plan3!$A$16:$CT$384,$E$7,0)%)</f>
        <v>0</v>
      </c>
      <c r="M346" s="368">
        <f t="shared" si="247"/>
        <v>0</v>
      </c>
      <c r="N346" s="368">
        <f t="shared" si="248"/>
        <v>0</v>
      </c>
      <c r="O346" s="367">
        <v>0</v>
      </c>
      <c r="P346" s="367">
        <f>VLOOKUP($E346,Plan3!$A$492:$P$858,13,0)%</f>
        <v>0</v>
      </c>
      <c r="Q346" s="368">
        <f t="shared" si="249"/>
        <v>0</v>
      </c>
      <c r="R346" s="368">
        <f t="shared" si="250"/>
        <v>0</v>
      </c>
      <c r="S346" s="880">
        <v>4013.3004480000004</v>
      </c>
      <c r="T346" s="880">
        <f t="shared" si="251"/>
        <v>0</v>
      </c>
      <c r="U346" s="880">
        <f>IF($I346="",0,($S346-$T346)*(1+('Econômico Macro'!$R$12/100)))</f>
        <v>4082.7305457504008</v>
      </c>
      <c r="V346" s="880">
        <f t="shared" si="252"/>
        <v>4082.7305457504008</v>
      </c>
      <c r="W346" s="880">
        <f t="shared" si="253"/>
        <v>0</v>
      </c>
      <c r="X346" s="367">
        <f t="shared" si="229"/>
        <v>0</v>
      </c>
      <c r="Y346" s="367">
        <f t="shared" si="230"/>
        <v>0</v>
      </c>
      <c r="Z346" s="367">
        <f t="shared" si="231"/>
        <v>0</v>
      </c>
      <c r="AA346" s="367">
        <f t="shared" si="232"/>
        <v>0</v>
      </c>
      <c r="AB346" s="369" t="str">
        <f t="shared" si="233"/>
        <v>Não Iniciada</v>
      </c>
      <c r="AC346" s="365"/>
      <c r="AD346" s="368">
        <v>1</v>
      </c>
      <c r="AE346" s="368">
        <f t="shared" si="254"/>
        <v>-1</v>
      </c>
      <c r="AF346" s="365"/>
      <c r="AG346" s="863">
        <f t="shared" si="243"/>
        <v>0</v>
      </c>
      <c r="AH346" s="864">
        <f t="shared" si="255"/>
        <v>0</v>
      </c>
      <c r="AI346" s="863">
        <f t="shared" si="244"/>
        <v>0</v>
      </c>
      <c r="AJ346" s="864">
        <f t="shared" si="256"/>
        <v>0</v>
      </c>
      <c r="AK346" s="365"/>
      <c r="AL346" s="865">
        <f t="shared" si="245"/>
        <v>0</v>
      </c>
      <c r="AM346" s="866">
        <f t="shared" si="257"/>
        <v>0</v>
      </c>
      <c r="AN346" s="866">
        <f t="shared" si="258"/>
        <v>0</v>
      </c>
      <c r="AO346" s="866">
        <f t="shared" si="259"/>
        <v>0</v>
      </c>
      <c r="AP346" s="867">
        <f t="shared" si="260"/>
        <v>0</v>
      </c>
      <c r="AQ346" s="591">
        <f t="shared" si="246"/>
        <v>0</v>
      </c>
      <c r="AR346" s="868">
        <f>IF(AND($L346=0,$P346=0)=TRUE,VLOOKUP($E346,Plan3!$A$16:$CT$487,$E$7+3,0)/100,0)</f>
        <v>0</v>
      </c>
      <c r="AS346" s="868">
        <f>IF(AND($L346=0,$P346=0)=TRUE,VLOOKUP($E346,Plan3!$A$16:$CT$487,$E$7+6,0)/100,0)</f>
        <v>0</v>
      </c>
      <c r="AT346" s="868">
        <f>IF(AND($L346=0,$P346=0)=TRUE,VLOOKUP($E346,Plan3!$A$16:$CT$487,$E$7+9,0)/100,0)</f>
        <v>0</v>
      </c>
      <c r="AU346" s="868">
        <f>IF(AND($L346=0,$P346=0)=TRUE,VLOOKUP($E346,Plan3!$A$16:$CT$487,$E$7+12,0)/100,0)</f>
        <v>0</v>
      </c>
      <c r="AV346" s="841"/>
      <c r="AW346" s="869">
        <f t="shared" si="265"/>
        <v>0</v>
      </c>
      <c r="AX346" s="870">
        <f t="shared" si="266"/>
        <v>0</v>
      </c>
      <c r="AY346" s="871">
        <f t="shared" si="267"/>
        <v>0</v>
      </c>
      <c r="AZ346" s="237" t="str">
        <f t="shared" si="234"/>
        <v xml:space="preserve">19.007.000.001 </v>
      </c>
      <c r="BA346" s="365"/>
      <c r="BB346" s="365"/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872">
        <f t="shared" si="235"/>
        <v>0</v>
      </c>
      <c r="BM346" s="873">
        <f t="shared" si="236"/>
        <v>0</v>
      </c>
      <c r="BN346" s="874">
        <f t="shared" si="261"/>
        <v>0</v>
      </c>
      <c r="BO346" s="875">
        <f t="shared" si="237"/>
        <v>0</v>
      </c>
      <c r="BP346" s="875">
        <f t="shared" si="238"/>
        <v>0</v>
      </c>
      <c r="BQ346" s="876">
        <f t="shared" si="262"/>
        <v>0</v>
      </c>
      <c r="BR346" s="877">
        <f t="shared" si="263"/>
        <v>0</v>
      </c>
      <c r="BS346" s="875">
        <f t="shared" si="239"/>
        <v>0</v>
      </c>
      <c r="BT346" s="875">
        <f t="shared" si="240"/>
        <v>0</v>
      </c>
      <c r="BU346" s="878">
        <f t="shared" si="264"/>
        <v>0</v>
      </c>
      <c r="CE346" s="486"/>
    </row>
    <row r="347" spans="1:83" s="177" customFormat="1" ht="21.95" customHeight="1" x14ac:dyDescent="0.2">
      <c r="A347" s="237">
        <f t="shared" si="241"/>
        <v>0</v>
      </c>
      <c r="B347" s="237">
        <f t="shared" si="242"/>
        <v>0</v>
      </c>
      <c r="C347" s="393">
        <f t="shared" si="227"/>
        <v>0</v>
      </c>
      <c r="D347" s="393" t="str">
        <f t="shared" si="228"/>
        <v xml:space="preserve">19 </v>
      </c>
      <c r="E347" s="959" t="s">
        <v>1529</v>
      </c>
      <c r="F347" s="959" t="s">
        <v>2322</v>
      </c>
      <c r="G347" s="959" t="s">
        <v>90</v>
      </c>
      <c r="H347" s="965">
        <v>288.20999999999998</v>
      </c>
      <c r="I347" s="970">
        <v>17.707100000000001</v>
      </c>
      <c r="J347" s="964">
        <v>5103.3599999999997</v>
      </c>
      <c r="K347" s="367">
        <v>0</v>
      </c>
      <c r="L347" s="367">
        <f>IF($H347="",0,VLOOKUP($E347,Plan3!$A$16:$CT$384,$E$7,0)%)</f>
        <v>0</v>
      </c>
      <c r="M347" s="368">
        <f t="shared" si="247"/>
        <v>0</v>
      </c>
      <c r="N347" s="368">
        <f t="shared" si="248"/>
        <v>0</v>
      </c>
      <c r="O347" s="367">
        <v>0</v>
      </c>
      <c r="P347" s="367">
        <f>VLOOKUP($E347,Plan3!$A$492:$P$858,13,0)%</f>
        <v>0</v>
      </c>
      <c r="Q347" s="368">
        <f t="shared" si="249"/>
        <v>0</v>
      </c>
      <c r="R347" s="368">
        <f t="shared" si="250"/>
        <v>0</v>
      </c>
      <c r="S347" s="880">
        <v>5162.5589760000003</v>
      </c>
      <c r="T347" s="880">
        <f t="shared" si="251"/>
        <v>0</v>
      </c>
      <c r="U347" s="880">
        <f>IF($I347="",0,($S347-$T347)*(1+('Econômico Macro'!$R$12/100)))</f>
        <v>5251.8712462848007</v>
      </c>
      <c r="V347" s="880">
        <f t="shared" si="252"/>
        <v>5251.8712462848007</v>
      </c>
      <c r="W347" s="880">
        <f t="shared" si="253"/>
        <v>0</v>
      </c>
      <c r="X347" s="367">
        <f t="shared" si="229"/>
        <v>0</v>
      </c>
      <c r="Y347" s="367">
        <f t="shared" si="230"/>
        <v>0</v>
      </c>
      <c r="Z347" s="367">
        <f t="shared" si="231"/>
        <v>0</v>
      </c>
      <c r="AA347" s="367">
        <f t="shared" si="232"/>
        <v>0</v>
      </c>
      <c r="AB347" s="369" t="str">
        <f t="shared" si="233"/>
        <v>Não Iniciada</v>
      </c>
      <c r="AC347" s="365"/>
      <c r="AD347" s="368">
        <v>1</v>
      </c>
      <c r="AE347" s="368">
        <f t="shared" si="254"/>
        <v>-1</v>
      </c>
      <c r="AF347" s="365"/>
      <c r="AG347" s="863">
        <f t="shared" si="243"/>
        <v>0</v>
      </c>
      <c r="AH347" s="864">
        <f t="shared" si="255"/>
        <v>0</v>
      </c>
      <c r="AI347" s="863">
        <f t="shared" si="244"/>
        <v>0</v>
      </c>
      <c r="AJ347" s="864">
        <f t="shared" si="256"/>
        <v>0</v>
      </c>
      <c r="AK347" s="365"/>
      <c r="AL347" s="865">
        <f t="shared" si="245"/>
        <v>0</v>
      </c>
      <c r="AM347" s="866">
        <f t="shared" si="257"/>
        <v>0</v>
      </c>
      <c r="AN347" s="866">
        <f t="shared" si="258"/>
        <v>0</v>
      </c>
      <c r="AO347" s="866">
        <f t="shared" si="259"/>
        <v>0</v>
      </c>
      <c r="AP347" s="867">
        <f t="shared" si="260"/>
        <v>0</v>
      </c>
      <c r="AQ347" s="591">
        <f t="shared" si="246"/>
        <v>0</v>
      </c>
      <c r="AR347" s="868">
        <f>IF(AND($L347=0,$P347=0)=TRUE,VLOOKUP($E347,Plan3!$A$16:$CT$487,$E$7+3,0)/100,0)</f>
        <v>0</v>
      </c>
      <c r="AS347" s="868">
        <f>IF(AND($L347=0,$P347=0)=TRUE,VLOOKUP($E347,Plan3!$A$16:$CT$487,$E$7+6,0)/100,0)</f>
        <v>0</v>
      </c>
      <c r="AT347" s="868">
        <f>IF(AND($L347=0,$P347=0)=TRUE,VLOOKUP($E347,Plan3!$A$16:$CT$487,$E$7+9,0)/100,0)</f>
        <v>0</v>
      </c>
      <c r="AU347" s="868">
        <f>IF(AND($L347=0,$P347=0)=TRUE,VLOOKUP($E347,Plan3!$A$16:$CT$487,$E$7+12,0)/100,0)</f>
        <v>0</v>
      </c>
      <c r="AV347" s="841"/>
      <c r="AW347" s="869">
        <f t="shared" si="265"/>
        <v>0</v>
      </c>
      <c r="AX347" s="870">
        <f t="shared" si="266"/>
        <v>0</v>
      </c>
      <c r="AY347" s="871">
        <f t="shared" si="267"/>
        <v>0</v>
      </c>
      <c r="AZ347" s="237" t="str">
        <f t="shared" si="234"/>
        <v xml:space="preserve">19.007.000.002 </v>
      </c>
      <c r="BA347" s="365"/>
      <c r="BB347" s="365"/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872">
        <f t="shared" si="235"/>
        <v>0</v>
      </c>
      <c r="BM347" s="873">
        <f t="shared" si="236"/>
        <v>0</v>
      </c>
      <c r="BN347" s="874">
        <f t="shared" si="261"/>
        <v>0</v>
      </c>
      <c r="BO347" s="875">
        <f t="shared" si="237"/>
        <v>0</v>
      </c>
      <c r="BP347" s="875">
        <f t="shared" si="238"/>
        <v>0</v>
      </c>
      <c r="BQ347" s="876">
        <f t="shared" si="262"/>
        <v>0</v>
      </c>
      <c r="BR347" s="877">
        <f t="shared" si="263"/>
        <v>0</v>
      </c>
      <c r="BS347" s="875">
        <f t="shared" si="239"/>
        <v>0</v>
      </c>
      <c r="BT347" s="875">
        <f t="shared" si="240"/>
        <v>0</v>
      </c>
      <c r="BU347" s="878">
        <f t="shared" si="264"/>
        <v>0</v>
      </c>
      <c r="CE347" s="486"/>
    </row>
    <row r="348" spans="1:83" s="177" customFormat="1" ht="21.95" customHeight="1" x14ac:dyDescent="0.2">
      <c r="A348" s="237">
        <f t="shared" si="241"/>
        <v>0</v>
      </c>
      <c r="B348" s="237">
        <f t="shared" si="242"/>
        <v>0</v>
      </c>
      <c r="C348" s="393">
        <f t="shared" si="227"/>
        <v>0</v>
      </c>
      <c r="D348" s="393" t="str">
        <f t="shared" si="228"/>
        <v xml:space="preserve">19 </v>
      </c>
      <c r="E348" s="959" t="s">
        <v>2323</v>
      </c>
      <c r="F348" s="959" t="s">
        <v>2324</v>
      </c>
      <c r="G348" s="959" t="s">
        <v>90</v>
      </c>
      <c r="H348" s="960">
        <v>0</v>
      </c>
      <c r="I348" s="960">
        <v>2.8591000000000002</v>
      </c>
      <c r="J348" s="973">
        <v>0</v>
      </c>
      <c r="K348" s="367">
        <v>0</v>
      </c>
      <c r="L348" s="367">
        <f>IF($H348="",0,VLOOKUP($E348,Plan3!$A$16:$CT$384,$E$7,0)%)</f>
        <v>0</v>
      </c>
      <c r="M348" s="368">
        <f t="shared" si="247"/>
        <v>0</v>
      </c>
      <c r="N348" s="368">
        <f t="shared" si="248"/>
        <v>0</v>
      </c>
      <c r="O348" s="367">
        <v>0</v>
      </c>
      <c r="P348" s="367">
        <f>VLOOKUP($E348,Plan3!$A$492:$P$858,13,0)%</f>
        <v>0</v>
      </c>
      <c r="Q348" s="368">
        <f t="shared" si="249"/>
        <v>0</v>
      </c>
      <c r="R348" s="368">
        <f t="shared" si="250"/>
        <v>0</v>
      </c>
      <c r="S348" s="880">
        <v>0</v>
      </c>
      <c r="T348" s="880">
        <f t="shared" si="251"/>
        <v>0</v>
      </c>
      <c r="U348" s="880">
        <f>IF($I348="",0,($S348-$T348)*(1+('Econômico Macro'!$R$12/100)))</f>
        <v>0</v>
      </c>
      <c r="V348" s="880">
        <f t="shared" si="252"/>
        <v>0</v>
      </c>
      <c r="W348" s="880">
        <f t="shared" si="253"/>
        <v>0</v>
      </c>
      <c r="X348" s="367">
        <f t="shared" si="229"/>
        <v>0</v>
      </c>
      <c r="Y348" s="367">
        <f t="shared" si="230"/>
        <v>0</v>
      </c>
      <c r="Z348" s="367">
        <f t="shared" si="231"/>
        <v>0</v>
      </c>
      <c r="AA348" s="367">
        <f t="shared" si="232"/>
        <v>0</v>
      </c>
      <c r="AB348" s="369" t="str">
        <f t="shared" si="233"/>
        <v>Não Iniciada</v>
      </c>
      <c r="AC348" s="365"/>
      <c r="AD348" s="368">
        <v>1</v>
      </c>
      <c r="AE348" s="368">
        <f t="shared" si="254"/>
        <v>-1</v>
      </c>
      <c r="AF348" s="365"/>
      <c r="AG348" s="863">
        <f t="shared" si="243"/>
        <v>0</v>
      </c>
      <c r="AH348" s="864">
        <f t="shared" si="255"/>
        <v>0</v>
      </c>
      <c r="AI348" s="863">
        <f t="shared" si="244"/>
        <v>0</v>
      </c>
      <c r="AJ348" s="864">
        <f t="shared" si="256"/>
        <v>0</v>
      </c>
      <c r="AK348" s="365"/>
      <c r="AL348" s="865">
        <f t="shared" si="245"/>
        <v>0</v>
      </c>
      <c r="AM348" s="866">
        <f t="shared" si="257"/>
        <v>0</v>
      </c>
      <c r="AN348" s="866">
        <f t="shared" si="258"/>
        <v>0</v>
      </c>
      <c r="AO348" s="866">
        <f t="shared" si="259"/>
        <v>0</v>
      </c>
      <c r="AP348" s="867">
        <f t="shared" si="260"/>
        <v>0</v>
      </c>
      <c r="AQ348" s="591"/>
      <c r="AR348" s="868"/>
      <c r="AS348" s="868"/>
      <c r="AT348" s="868"/>
      <c r="AU348" s="868"/>
      <c r="AV348" s="841"/>
      <c r="AW348" s="869"/>
      <c r="AX348" s="870"/>
      <c r="AY348" s="871"/>
      <c r="AZ348" s="237" t="str">
        <f t="shared" si="234"/>
        <v xml:space="preserve">19.007.000.003 </v>
      </c>
      <c r="BA348" s="365"/>
      <c r="BB348" s="365"/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872">
        <f t="shared" si="235"/>
        <v>0</v>
      </c>
      <c r="BM348" s="873">
        <f t="shared" si="236"/>
        <v>0</v>
      </c>
      <c r="BN348" s="874">
        <f t="shared" si="261"/>
        <v>0</v>
      </c>
      <c r="BO348" s="875">
        <f t="shared" si="237"/>
        <v>0</v>
      </c>
      <c r="BP348" s="875">
        <f t="shared" si="238"/>
        <v>0</v>
      </c>
      <c r="BQ348" s="876">
        <f t="shared" si="262"/>
        <v>0</v>
      </c>
      <c r="BR348" s="877">
        <f t="shared" si="263"/>
        <v>0</v>
      </c>
      <c r="BS348" s="875">
        <f t="shared" si="239"/>
        <v>0</v>
      </c>
      <c r="BT348" s="875">
        <f t="shared" si="240"/>
        <v>0</v>
      </c>
      <c r="BU348" s="878">
        <f t="shared" si="264"/>
        <v>0</v>
      </c>
      <c r="CE348" s="486"/>
    </row>
    <row r="349" spans="1:83" s="177" customFormat="1" ht="21.95" customHeight="1" x14ac:dyDescent="0.2">
      <c r="A349" s="237">
        <f t="shared" si="241"/>
        <v>0</v>
      </c>
      <c r="B349" s="237">
        <f t="shared" si="242"/>
        <v>0</v>
      </c>
      <c r="C349" s="393">
        <f t="shared" si="227"/>
        <v>0</v>
      </c>
      <c r="D349" s="393" t="str">
        <f t="shared" si="228"/>
        <v xml:space="preserve">19 </v>
      </c>
      <c r="E349" s="959" t="s">
        <v>2325</v>
      </c>
      <c r="F349" s="959" t="s">
        <v>1524</v>
      </c>
      <c r="G349" s="959" t="s">
        <v>90</v>
      </c>
      <c r="H349" s="965">
        <v>365.74</v>
      </c>
      <c r="I349" s="960">
        <v>2.4782999999999999</v>
      </c>
      <c r="J349" s="966">
        <v>906.41</v>
      </c>
      <c r="K349" s="367">
        <v>0</v>
      </c>
      <c r="L349" s="367">
        <f>IF($H349="",0,VLOOKUP($E349,Plan3!$A$16:$CT$384,$E$7,0)%)</f>
        <v>0</v>
      </c>
      <c r="M349" s="368">
        <f t="shared" si="247"/>
        <v>0</v>
      </c>
      <c r="N349" s="368">
        <f t="shared" si="248"/>
        <v>0</v>
      </c>
      <c r="O349" s="367">
        <v>0</v>
      </c>
      <c r="P349" s="367">
        <f>VLOOKUP($E349,Plan3!$A$492:$P$858,13,0)%</f>
        <v>0</v>
      </c>
      <c r="Q349" s="368">
        <f t="shared" si="249"/>
        <v>0</v>
      </c>
      <c r="R349" s="368">
        <f t="shared" si="250"/>
        <v>0</v>
      </c>
      <c r="S349" s="880">
        <v>916.92435599999999</v>
      </c>
      <c r="T349" s="880">
        <f t="shared" si="251"/>
        <v>0</v>
      </c>
      <c r="U349" s="880">
        <f>IF($I349="",0,($S349-$T349)*(1+('Econômico Macro'!$R$12/100)))</f>
        <v>932.7871473588001</v>
      </c>
      <c r="V349" s="880">
        <f t="shared" si="252"/>
        <v>932.7871473588001</v>
      </c>
      <c r="W349" s="880">
        <f t="shared" si="253"/>
        <v>0</v>
      </c>
      <c r="X349" s="367">
        <f t="shared" si="229"/>
        <v>0</v>
      </c>
      <c r="Y349" s="367">
        <f t="shared" si="230"/>
        <v>0</v>
      </c>
      <c r="Z349" s="367">
        <f t="shared" si="231"/>
        <v>0</v>
      </c>
      <c r="AA349" s="367">
        <f t="shared" si="232"/>
        <v>0</v>
      </c>
      <c r="AB349" s="369" t="str">
        <f t="shared" si="233"/>
        <v>Não Iniciada</v>
      </c>
      <c r="AC349" s="365"/>
      <c r="AD349" s="368">
        <v>1</v>
      </c>
      <c r="AE349" s="368">
        <f t="shared" si="254"/>
        <v>-1</v>
      </c>
      <c r="AF349" s="365"/>
      <c r="AG349" s="863">
        <f t="shared" si="243"/>
        <v>0</v>
      </c>
      <c r="AH349" s="864">
        <f t="shared" si="255"/>
        <v>0</v>
      </c>
      <c r="AI349" s="863">
        <f t="shared" si="244"/>
        <v>0</v>
      </c>
      <c r="AJ349" s="864">
        <f t="shared" si="256"/>
        <v>0</v>
      </c>
      <c r="AK349" s="365"/>
      <c r="AL349" s="865">
        <f t="shared" si="245"/>
        <v>0</v>
      </c>
      <c r="AM349" s="866">
        <f t="shared" si="257"/>
        <v>0</v>
      </c>
      <c r="AN349" s="866">
        <f t="shared" si="258"/>
        <v>0</v>
      </c>
      <c r="AO349" s="866">
        <f t="shared" si="259"/>
        <v>0</v>
      </c>
      <c r="AP349" s="867">
        <f t="shared" si="260"/>
        <v>0</v>
      </c>
      <c r="AQ349" s="591">
        <f t="shared" si="246"/>
        <v>0</v>
      </c>
      <c r="AR349" s="868">
        <f>IF(AND($L349=0,$P349=0)=TRUE,VLOOKUP($E349,Plan3!$A$16:$CT$487,$E$7+3,0)/100,0)</f>
        <v>0</v>
      </c>
      <c r="AS349" s="868">
        <f>IF(AND($L349=0,$P349=0)=TRUE,VLOOKUP($E349,Plan3!$A$16:$CT$487,$E$7+6,0)/100,0)</f>
        <v>0</v>
      </c>
      <c r="AT349" s="868">
        <f>IF(AND($L349=0,$P349=0)=TRUE,VLOOKUP($E349,Plan3!$A$16:$CT$487,$E$7+9,0)/100,0)</f>
        <v>0</v>
      </c>
      <c r="AU349" s="868">
        <f>IF(AND($L349=0,$P349=0)=TRUE,VLOOKUP($E349,Plan3!$A$16:$CT$487,$E$7+12,0)/100,0)</f>
        <v>0</v>
      </c>
      <c r="AV349" s="841"/>
      <c r="AW349" s="869">
        <f t="shared" si="265"/>
        <v>0</v>
      </c>
      <c r="AX349" s="870">
        <f t="shared" si="266"/>
        <v>0</v>
      </c>
      <c r="AY349" s="871">
        <f t="shared" si="267"/>
        <v>0</v>
      </c>
      <c r="AZ349" s="237" t="str">
        <f t="shared" si="234"/>
        <v xml:space="preserve">19.007.000.004 </v>
      </c>
      <c r="BA349" s="365"/>
      <c r="BB349" s="365"/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872">
        <f t="shared" si="235"/>
        <v>0</v>
      </c>
      <c r="BM349" s="873">
        <f t="shared" si="236"/>
        <v>0</v>
      </c>
      <c r="BN349" s="874">
        <f t="shared" si="261"/>
        <v>0</v>
      </c>
      <c r="BO349" s="875">
        <f t="shared" si="237"/>
        <v>0</v>
      </c>
      <c r="BP349" s="875">
        <f t="shared" si="238"/>
        <v>0</v>
      </c>
      <c r="BQ349" s="876">
        <f t="shared" si="262"/>
        <v>0</v>
      </c>
      <c r="BR349" s="877">
        <f t="shared" si="263"/>
        <v>0</v>
      </c>
      <c r="BS349" s="875">
        <f t="shared" si="239"/>
        <v>0</v>
      </c>
      <c r="BT349" s="875">
        <f t="shared" si="240"/>
        <v>0</v>
      </c>
      <c r="BU349" s="878">
        <f t="shared" si="264"/>
        <v>0</v>
      </c>
      <c r="CE349" s="486"/>
    </row>
    <row r="350" spans="1:83" s="177" customFormat="1" ht="21.95" customHeight="1" x14ac:dyDescent="0.2">
      <c r="A350" s="237">
        <f t="shared" si="241"/>
        <v>0</v>
      </c>
      <c r="B350" s="237">
        <f t="shared" si="242"/>
        <v>0</v>
      </c>
      <c r="C350" s="393">
        <f t="shared" si="227"/>
        <v>0</v>
      </c>
      <c r="D350" s="393" t="str">
        <f t="shared" si="228"/>
        <v xml:space="preserve">19 </v>
      </c>
      <c r="E350" s="959" t="s">
        <v>2326</v>
      </c>
      <c r="F350" s="959" t="s">
        <v>2327</v>
      </c>
      <c r="G350" s="959" t="s">
        <v>15</v>
      </c>
      <c r="H350" s="960">
        <v>2.8</v>
      </c>
      <c r="I350" s="960">
        <v>1.9793000000000001</v>
      </c>
      <c r="J350" s="973">
        <v>5.54</v>
      </c>
      <c r="K350" s="367">
        <v>0</v>
      </c>
      <c r="L350" s="367">
        <f>IF($H350="",0,VLOOKUP($E350,Plan3!$A$16:$CT$384,$E$7,0)%)</f>
        <v>0</v>
      </c>
      <c r="M350" s="368">
        <f t="shared" si="247"/>
        <v>0</v>
      </c>
      <c r="N350" s="368">
        <f t="shared" si="248"/>
        <v>0</v>
      </c>
      <c r="O350" s="367">
        <v>0</v>
      </c>
      <c r="P350" s="367">
        <f>VLOOKUP($E350,Plan3!$A$492:$P$858,13,0)%</f>
        <v>0</v>
      </c>
      <c r="Q350" s="368">
        <f t="shared" si="249"/>
        <v>0</v>
      </c>
      <c r="R350" s="368">
        <f t="shared" si="250"/>
        <v>0</v>
      </c>
      <c r="S350" s="880">
        <v>5.6042640000000006</v>
      </c>
      <c r="T350" s="880">
        <f t="shared" si="251"/>
        <v>0</v>
      </c>
      <c r="U350" s="880">
        <f>IF($I350="",0,($S350-$T350)*(1+('Econômico Macro'!$R$12/100)))</f>
        <v>5.7012177672000011</v>
      </c>
      <c r="V350" s="880">
        <f t="shared" si="252"/>
        <v>5.7012177672000011</v>
      </c>
      <c r="W350" s="880">
        <f t="shared" si="253"/>
        <v>0</v>
      </c>
      <c r="X350" s="367">
        <f t="shared" si="229"/>
        <v>0</v>
      </c>
      <c r="Y350" s="367">
        <f t="shared" si="230"/>
        <v>0</v>
      </c>
      <c r="Z350" s="367">
        <f t="shared" si="231"/>
        <v>0</v>
      </c>
      <c r="AA350" s="367">
        <f t="shared" si="232"/>
        <v>0</v>
      </c>
      <c r="AB350" s="369" t="str">
        <f t="shared" si="233"/>
        <v>Não Iniciada</v>
      </c>
      <c r="AC350" s="365"/>
      <c r="AD350" s="368">
        <v>1</v>
      </c>
      <c r="AE350" s="368">
        <f t="shared" si="254"/>
        <v>-1</v>
      </c>
      <c r="AF350" s="365"/>
      <c r="AG350" s="863">
        <f t="shared" si="243"/>
        <v>0</v>
      </c>
      <c r="AH350" s="864">
        <f t="shared" si="255"/>
        <v>0</v>
      </c>
      <c r="AI350" s="863">
        <f t="shared" si="244"/>
        <v>0</v>
      </c>
      <c r="AJ350" s="864">
        <f t="shared" si="256"/>
        <v>0</v>
      </c>
      <c r="AK350" s="365"/>
      <c r="AL350" s="865">
        <f t="shared" si="245"/>
        <v>0</v>
      </c>
      <c r="AM350" s="866">
        <f t="shared" si="257"/>
        <v>0</v>
      </c>
      <c r="AN350" s="866">
        <f t="shared" si="258"/>
        <v>0</v>
      </c>
      <c r="AO350" s="866">
        <f t="shared" si="259"/>
        <v>0</v>
      </c>
      <c r="AP350" s="867">
        <f t="shared" si="260"/>
        <v>0</v>
      </c>
      <c r="AQ350" s="591">
        <f t="shared" si="246"/>
        <v>0</v>
      </c>
      <c r="AR350" s="868">
        <f>IF(AND($L350=0,$P350=0)=TRUE,VLOOKUP($E350,Plan3!$A$16:$CT$487,$E$7+3,0)/100,0)</f>
        <v>0</v>
      </c>
      <c r="AS350" s="868">
        <f>IF(AND($L350=0,$P350=0)=TRUE,VLOOKUP($E350,Plan3!$A$16:$CT$487,$E$7+6,0)/100,0)</f>
        <v>0</v>
      </c>
      <c r="AT350" s="868">
        <f>IF(AND($L350=0,$P350=0)=TRUE,VLOOKUP($E350,Plan3!$A$16:$CT$487,$E$7+9,0)/100,0)</f>
        <v>0</v>
      </c>
      <c r="AU350" s="868">
        <f>IF(AND($L350=0,$P350=0)=TRUE,VLOOKUP($E350,Plan3!$A$16:$CT$487,$E$7+12,0)/100,0)</f>
        <v>0</v>
      </c>
      <c r="AV350" s="841"/>
      <c r="AW350" s="869">
        <f t="shared" si="265"/>
        <v>0</v>
      </c>
      <c r="AX350" s="870">
        <f t="shared" si="266"/>
        <v>0</v>
      </c>
      <c r="AY350" s="871">
        <f t="shared" si="267"/>
        <v>0</v>
      </c>
      <c r="AZ350" s="237" t="str">
        <f t="shared" si="234"/>
        <v xml:space="preserve">19.007.000.005 </v>
      </c>
      <c r="BA350" s="365"/>
      <c r="BB350" s="365"/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872">
        <f t="shared" si="235"/>
        <v>0</v>
      </c>
      <c r="BM350" s="873">
        <f t="shared" si="236"/>
        <v>0</v>
      </c>
      <c r="BN350" s="874">
        <f t="shared" si="261"/>
        <v>0</v>
      </c>
      <c r="BO350" s="875">
        <f t="shared" si="237"/>
        <v>0</v>
      </c>
      <c r="BP350" s="875">
        <f t="shared" si="238"/>
        <v>0</v>
      </c>
      <c r="BQ350" s="876">
        <f t="shared" si="262"/>
        <v>0</v>
      </c>
      <c r="BR350" s="877">
        <f t="shared" si="263"/>
        <v>0</v>
      </c>
      <c r="BS350" s="875">
        <f t="shared" si="239"/>
        <v>0</v>
      </c>
      <c r="BT350" s="875">
        <f t="shared" si="240"/>
        <v>0</v>
      </c>
      <c r="BU350" s="878">
        <f t="shared" si="264"/>
        <v>0</v>
      </c>
      <c r="CE350" s="486"/>
    </row>
    <row r="351" spans="1:83" s="177" customFormat="1" ht="21.95" customHeight="1" x14ac:dyDescent="0.2">
      <c r="A351" s="237">
        <f t="shared" si="241"/>
        <v>0</v>
      </c>
      <c r="B351" s="237">
        <f t="shared" si="242"/>
        <v>0</v>
      </c>
      <c r="C351" s="393">
        <f t="shared" si="227"/>
        <v>0</v>
      </c>
      <c r="D351" s="393" t="str">
        <f t="shared" si="228"/>
        <v xml:space="preserve">19 </v>
      </c>
      <c r="E351" s="959" t="s">
        <v>2328</v>
      </c>
      <c r="F351" s="959" t="s">
        <v>2141</v>
      </c>
      <c r="G351" s="959" t="s">
        <v>90</v>
      </c>
      <c r="H351" s="965">
        <v>670.54</v>
      </c>
      <c r="I351" s="960">
        <v>2.4782999999999999</v>
      </c>
      <c r="J351" s="964">
        <v>1661.8</v>
      </c>
      <c r="K351" s="367">
        <v>0</v>
      </c>
      <c r="L351" s="367">
        <f>IF($H351="",0,VLOOKUP($E351,Plan3!$A$16:$CT$384,$E$7,0)%)</f>
        <v>0</v>
      </c>
      <c r="M351" s="368">
        <f t="shared" si="247"/>
        <v>0</v>
      </c>
      <c r="N351" s="368">
        <f t="shared" si="248"/>
        <v>0</v>
      </c>
      <c r="O351" s="367">
        <v>0</v>
      </c>
      <c r="P351" s="367">
        <f>VLOOKUP($E351,Plan3!$A$492:$P$858,13,0)%</f>
        <v>0</v>
      </c>
      <c r="Q351" s="368">
        <f t="shared" si="249"/>
        <v>0</v>
      </c>
      <c r="R351" s="368">
        <f t="shared" si="250"/>
        <v>0</v>
      </c>
      <c r="S351" s="880">
        <v>1681.0768800000001</v>
      </c>
      <c r="T351" s="880">
        <f t="shared" si="251"/>
        <v>0</v>
      </c>
      <c r="U351" s="880">
        <f>IF($I351="",0,($S351-$T351)*(1+('Econômico Macro'!$R$12/100)))</f>
        <v>1710.1595100240002</v>
      </c>
      <c r="V351" s="880">
        <f t="shared" si="252"/>
        <v>1710.1595100240002</v>
      </c>
      <c r="W351" s="880">
        <f t="shared" si="253"/>
        <v>0</v>
      </c>
      <c r="X351" s="367">
        <f t="shared" si="229"/>
        <v>0</v>
      </c>
      <c r="Y351" s="367">
        <f t="shared" si="230"/>
        <v>0</v>
      </c>
      <c r="Z351" s="367">
        <f t="shared" si="231"/>
        <v>0</v>
      </c>
      <c r="AA351" s="367">
        <f t="shared" si="232"/>
        <v>0</v>
      </c>
      <c r="AB351" s="369" t="str">
        <f t="shared" si="233"/>
        <v>Não Iniciada</v>
      </c>
      <c r="AC351" s="365"/>
      <c r="AD351" s="368">
        <v>1</v>
      </c>
      <c r="AE351" s="368">
        <f t="shared" si="254"/>
        <v>-1</v>
      </c>
      <c r="AF351" s="365"/>
      <c r="AG351" s="863">
        <f t="shared" si="243"/>
        <v>0</v>
      </c>
      <c r="AH351" s="864">
        <f t="shared" si="255"/>
        <v>0</v>
      </c>
      <c r="AI351" s="863">
        <f t="shared" si="244"/>
        <v>0</v>
      </c>
      <c r="AJ351" s="864">
        <f t="shared" si="256"/>
        <v>0</v>
      </c>
      <c r="AK351" s="365"/>
      <c r="AL351" s="865">
        <f t="shared" si="245"/>
        <v>0</v>
      </c>
      <c r="AM351" s="866">
        <f t="shared" si="257"/>
        <v>0</v>
      </c>
      <c r="AN351" s="866">
        <f t="shared" si="258"/>
        <v>0</v>
      </c>
      <c r="AO351" s="866">
        <f t="shared" si="259"/>
        <v>0</v>
      </c>
      <c r="AP351" s="867">
        <f t="shared" si="260"/>
        <v>0</v>
      </c>
      <c r="AQ351" s="591">
        <f t="shared" si="246"/>
        <v>0</v>
      </c>
      <c r="AR351" s="868">
        <f>IF(AND($L351=0,$P351=0)=TRUE,VLOOKUP($E351,Plan3!$A$16:$CT$487,$E$7+3,0)/100,0)</f>
        <v>0</v>
      </c>
      <c r="AS351" s="868">
        <f>IF(AND($L351=0,$P351=0)=TRUE,VLOOKUP($E351,Plan3!$A$16:$CT$487,$E$7+6,0)/100,0)</f>
        <v>0</v>
      </c>
      <c r="AT351" s="868">
        <f>IF(AND($L351=0,$P351=0)=TRUE,VLOOKUP($E351,Plan3!$A$16:$CT$487,$E$7+9,0)/100,0)</f>
        <v>0</v>
      </c>
      <c r="AU351" s="868">
        <f>IF(AND($L351=0,$P351=0)=TRUE,VLOOKUP($E351,Plan3!$A$16:$CT$487,$E$7+12,0)/100,0)</f>
        <v>0</v>
      </c>
      <c r="AV351" s="841"/>
      <c r="AW351" s="869">
        <f t="shared" si="265"/>
        <v>0</v>
      </c>
      <c r="AX351" s="870">
        <f t="shared" si="266"/>
        <v>0</v>
      </c>
      <c r="AY351" s="871">
        <f t="shared" si="267"/>
        <v>0</v>
      </c>
      <c r="AZ351" s="237" t="str">
        <f t="shared" si="234"/>
        <v xml:space="preserve">19.007.000.006 </v>
      </c>
      <c r="BA351" s="365"/>
      <c r="BB351" s="365"/>
      <c r="BC351" s="365"/>
      <c r="BD351" s="365"/>
      <c r="BE351" s="365"/>
      <c r="BF351" s="365"/>
      <c r="BG351" s="365"/>
      <c r="BH351" s="365"/>
      <c r="BI351" s="365"/>
      <c r="BJ351" s="365"/>
      <c r="BK351" s="365"/>
      <c r="BL351" s="872">
        <f t="shared" si="235"/>
        <v>0</v>
      </c>
      <c r="BM351" s="873">
        <f t="shared" si="236"/>
        <v>0</v>
      </c>
      <c r="BN351" s="874">
        <f t="shared" si="261"/>
        <v>0</v>
      </c>
      <c r="BO351" s="875">
        <f t="shared" si="237"/>
        <v>0</v>
      </c>
      <c r="BP351" s="875">
        <f t="shared" si="238"/>
        <v>0</v>
      </c>
      <c r="BQ351" s="876">
        <f t="shared" si="262"/>
        <v>0</v>
      </c>
      <c r="BR351" s="877">
        <f t="shared" si="263"/>
        <v>0</v>
      </c>
      <c r="BS351" s="875">
        <f t="shared" si="239"/>
        <v>0</v>
      </c>
      <c r="BT351" s="875">
        <f t="shared" si="240"/>
        <v>0</v>
      </c>
      <c r="BU351" s="878">
        <f t="shared" si="264"/>
        <v>0</v>
      </c>
      <c r="CE351" s="486"/>
    </row>
    <row r="352" spans="1:83" s="177" customFormat="1" ht="21.95" customHeight="1" x14ac:dyDescent="0.2">
      <c r="A352" s="237">
        <f t="shared" si="241"/>
        <v>0</v>
      </c>
      <c r="B352" s="237">
        <f t="shared" si="242"/>
        <v>0</v>
      </c>
      <c r="C352" s="393">
        <f t="shared" si="227"/>
        <v>0</v>
      </c>
      <c r="D352" s="393" t="str">
        <f t="shared" si="228"/>
        <v xml:space="preserve">19 </v>
      </c>
      <c r="E352" s="959" t="s">
        <v>2329</v>
      </c>
      <c r="F352" s="959" t="s">
        <v>2142</v>
      </c>
      <c r="G352" s="959" t="s">
        <v>15</v>
      </c>
      <c r="H352" s="965">
        <v>249.57</v>
      </c>
      <c r="I352" s="960">
        <v>1.2641</v>
      </c>
      <c r="J352" s="966">
        <v>315.48</v>
      </c>
      <c r="K352" s="367">
        <v>0</v>
      </c>
      <c r="L352" s="367">
        <f>IF($H352="",0,VLOOKUP($E352,Plan3!$A$16:$CT$384,$E$7,0)%)</f>
        <v>0</v>
      </c>
      <c r="M352" s="368">
        <f t="shared" si="247"/>
        <v>0</v>
      </c>
      <c r="N352" s="368">
        <f t="shared" si="248"/>
        <v>0</v>
      </c>
      <c r="O352" s="367">
        <v>0</v>
      </c>
      <c r="P352" s="367">
        <f>VLOOKUP($E352,Plan3!$A$492:$P$858,13,0)%</f>
        <v>0</v>
      </c>
      <c r="Q352" s="368">
        <f t="shared" si="249"/>
        <v>0</v>
      </c>
      <c r="R352" s="368">
        <f t="shared" si="250"/>
        <v>0</v>
      </c>
      <c r="S352" s="880">
        <v>319.13956800000005</v>
      </c>
      <c r="T352" s="880">
        <f t="shared" si="251"/>
        <v>0</v>
      </c>
      <c r="U352" s="880">
        <f>IF($I352="",0,($S352-$T352)*(1+('Econômico Macro'!$R$12/100)))</f>
        <v>324.66068252640008</v>
      </c>
      <c r="V352" s="880">
        <f t="shared" si="252"/>
        <v>324.66068252640008</v>
      </c>
      <c r="W352" s="880">
        <f t="shared" si="253"/>
        <v>0</v>
      </c>
      <c r="X352" s="367">
        <f t="shared" si="229"/>
        <v>0</v>
      </c>
      <c r="Y352" s="367">
        <f t="shared" si="230"/>
        <v>0</v>
      </c>
      <c r="Z352" s="367">
        <f t="shared" si="231"/>
        <v>0</v>
      </c>
      <c r="AA352" s="367">
        <f t="shared" si="232"/>
        <v>0</v>
      </c>
      <c r="AB352" s="369" t="str">
        <f t="shared" si="233"/>
        <v>Não Iniciada</v>
      </c>
      <c r="AC352" s="365"/>
      <c r="AD352" s="368">
        <v>1</v>
      </c>
      <c r="AE352" s="368">
        <f t="shared" si="254"/>
        <v>-1</v>
      </c>
      <c r="AF352" s="365"/>
      <c r="AG352" s="863">
        <f t="shared" si="243"/>
        <v>0</v>
      </c>
      <c r="AH352" s="864">
        <f t="shared" si="255"/>
        <v>0</v>
      </c>
      <c r="AI352" s="863">
        <f t="shared" si="244"/>
        <v>0</v>
      </c>
      <c r="AJ352" s="864">
        <f t="shared" si="256"/>
        <v>0</v>
      </c>
      <c r="AK352" s="365"/>
      <c r="AL352" s="865">
        <f t="shared" si="245"/>
        <v>0</v>
      </c>
      <c r="AM352" s="866">
        <f t="shared" si="257"/>
        <v>0</v>
      </c>
      <c r="AN352" s="866">
        <f t="shared" si="258"/>
        <v>0</v>
      </c>
      <c r="AO352" s="866">
        <f t="shared" si="259"/>
        <v>0</v>
      </c>
      <c r="AP352" s="867">
        <f t="shared" si="260"/>
        <v>0</v>
      </c>
      <c r="AQ352" s="591">
        <f t="shared" si="246"/>
        <v>0</v>
      </c>
      <c r="AR352" s="868">
        <f>IF(AND($L352=0,$P352=0)=TRUE,VLOOKUP($E352,Plan3!$A$16:$CT$487,$E$7+3,0)/100,0)</f>
        <v>0</v>
      </c>
      <c r="AS352" s="868">
        <f>IF(AND($L352=0,$P352=0)=TRUE,VLOOKUP($E352,Plan3!$A$16:$CT$487,$E$7+6,0)/100,0)</f>
        <v>0</v>
      </c>
      <c r="AT352" s="868">
        <f>IF(AND($L352=0,$P352=0)=TRUE,VLOOKUP($E352,Plan3!$A$16:$CT$487,$E$7+9,0)/100,0)</f>
        <v>0</v>
      </c>
      <c r="AU352" s="868">
        <f>IF(AND($L352=0,$P352=0)=TRUE,VLOOKUP($E352,Plan3!$A$16:$CT$487,$E$7+12,0)/100,0)</f>
        <v>0</v>
      </c>
      <c r="AV352" s="841"/>
      <c r="AW352" s="869">
        <f t="shared" si="265"/>
        <v>0</v>
      </c>
      <c r="AX352" s="870">
        <f t="shared" si="266"/>
        <v>0</v>
      </c>
      <c r="AY352" s="871">
        <f t="shared" si="267"/>
        <v>0</v>
      </c>
      <c r="AZ352" s="237" t="str">
        <f t="shared" si="234"/>
        <v xml:space="preserve">19.007.000.007 </v>
      </c>
      <c r="BA352" s="365"/>
      <c r="BB352" s="365"/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872">
        <f t="shared" si="235"/>
        <v>0</v>
      </c>
      <c r="BM352" s="873">
        <f t="shared" si="236"/>
        <v>0</v>
      </c>
      <c r="BN352" s="874">
        <f t="shared" si="261"/>
        <v>0</v>
      </c>
      <c r="BO352" s="875">
        <f t="shared" si="237"/>
        <v>0</v>
      </c>
      <c r="BP352" s="875">
        <f t="shared" si="238"/>
        <v>0</v>
      </c>
      <c r="BQ352" s="876">
        <f t="shared" si="262"/>
        <v>0</v>
      </c>
      <c r="BR352" s="877">
        <f t="shared" si="263"/>
        <v>0</v>
      </c>
      <c r="BS352" s="875">
        <f t="shared" si="239"/>
        <v>0</v>
      </c>
      <c r="BT352" s="875">
        <f t="shared" si="240"/>
        <v>0</v>
      </c>
      <c r="BU352" s="878">
        <f t="shared" si="264"/>
        <v>0</v>
      </c>
      <c r="CE352" s="486"/>
    </row>
    <row r="353" spans="1:83" s="177" customFormat="1" ht="21.95" customHeight="1" x14ac:dyDescent="0.2">
      <c r="A353" s="237">
        <f t="shared" si="241"/>
        <v>0</v>
      </c>
      <c r="B353" s="237">
        <f t="shared" si="242"/>
        <v>0</v>
      </c>
      <c r="C353" s="393">
        <f t="shared" si="227"/>
        <v>0</v>
      </c>
      <c r="D353" s="393" t="str">
        <f t="shared" si="228"/>
        <v xml:space="preserve">19 </v>
      </c>
      <c r="E353" s="959" t="s">
        <v>2330</v>
      </c>
      <c r="F353" s="959" t="s">
        <v>2360</v>
      </c>
      <c r="G353" s="959" t="s">
        <v>90</v>
      </c>
      <c r="H353" s="965">
        <v>264.36</v>
      </c>
      <c r="I353" s="970">
        <v>19.797899999999998</v>
      </c>
      <c r="J353" s="964">
        <v>5233.7700000000004</v>
      </c>
      <c r="K353" s="367">
        <v>0</v>
      </c>
      <c r="L353" s="367">
        <f>IF($H353="",0,VLOOKUP($E353,Plan3!$A$16:$CT$384,$E$7,0)%)</f>
        <v>0</v>
      </c>
      <c r="M353" s="368">
        <f t="shared" si="247"/>
        <v>0</v>
      </c>
      <c r="N353" s="368">
        <f t="shared" si="248"/>
        <v>0</v>
      </c>
      <c r="O353" s="367">
        <v>0</v>
      </c>
      <c r="P353" s="367">
        <f>VLOOKUP($E353,Plan3!$A$492:$P$858,13,0)%</f>
        <v>0</v>
      </c>
      <c r="Q353" s="368">
        <f t="shared" si="249"/>
        <v>0</v>
      </c>
      <c r="R353" s="368">
        <f t="shared" si="250"/>
        <v>0</v>
      </c>
      <c r="S353" s="880">
        <v>5294.4817320000011</v>
      </c>
      <c r="T353" s="880">
        <f t="shared" si="251"/>
        <v>0</v>
      </c>
      <c r="U353" s="880">
        <f>IF($I353="",0,($S353-$T353)*(1+('Econômico Macro'!$R$12/100)))</f>
        <v>5386.0762659636021</v>
      </c>
      <c r="V353" s="880">
        <f t="shared" si="252"/>
        <v>5386.0762659636021</v>
      </c>
      <c r="W353" s="880">
        <f t="shared" si="253"/>
        <v>0</v>
      </c>
      <c r="X353" s="367">
        <f t="shared" si="229"/>
        <v>0</v>
      </c>
      <c r="Y353" s="367">
        <f t="shared" si="230"/>
        <v>0</v>
      </c>
      <c r="Z353" s="367">
        <f t="shared" si="231"/>
        <v>0</v>
      </c>
      <c r="AA353" s="367">
        <f t="shared" si="232"/>
        <v>0</v>
      </c>
      <c r="AB353" s="369" t="str">
        <f t="shared" si="233"/>
        <v>Não Iniciada</v>
      </c>
      <c r="AC353" s="365"/>
      <c r="AD353" s="368">
        <v>1</v>
      </c>
      <c r="AE353" s="368">
        <f t="shared" si="254"/>
        <v>-1</v>
      </c>
      <c r="AF353" s="365"/>
      <c r="AG353" s="863">
        <f t="shared" si="243"/>
        <v>0</v>
      </c>
      <c r="AH353" s="864">
        <f t="shared" si="255"/>
        <v>0</v>
      </c>
      <c r="AI353" s="863">
        <f t="shared" si="244"/>
        <v>0</v>
      </c>
      <c r="AJ353" s="864">
        <f t="shared" si="256"/>
        <v>0</v>
      </c>
      <c r="AK353" s="365"/>
      <c r="AL353" s="865">
        <f t="shared" si="245"/>
        <v>0</v>
      </c>
      <c r="AM353" s="866">
        <f t="shared" si="257"/>
        <v>0</v>
      </c>
      <c r="AN353" s="866">
        <f t="shared" si="258"/>
        <v>0</v>
      </c>
      <c r="AO353" s="866">
        <f t="shared" si="259"/>
        <v>0</v>
      </c>
      <c r="AP353" s="867">
        <f t="shared" si="260"/>
        <v>0</v>
      </c>
      <c r="AQ353" s="591">
        <f t="shared" si="246"/>
        <v>0</v>
      </c>
      <c r="AR353" s="868">
        <f>IF(AND($L353=0,$P353=0)=TRUE,VLOOKUP($E353,Plan3!$A$16:$CT$487,$E$7+3,0)/100,0)</f>
        <v>0</v>
      </c>
      <c r="AS353" s="868">
        <f>IF(AND($L353=0,$P353=0)=TRUE,VLOOKUP($E353,Plan3!$A$16:$CT$487,$E$7+6,0)/100,0)</f>
        <v>0</v>
      </c>
      <c r="AT353" s="868">
        <f>IF(AND($L353=0,$P353=0)=TRUE,VLOOKUP($E353,Plan3!$A$16:$CT$487,$E$7+9,0)/100,0)</f>
        <v>0</v>
      </c>
      <c r="AU353" s="868">
        <f>IF(AND($L353=0,$P353=0)=TRUE,VLOOKUP($E353,Plan3!$A$16:$CT$487,$E$7+12,0)/100,0)</f>
        <v>0</v>
      </c>
      <c r="AV353" s="841"/>
      <c r="AW353" s="869">
        <f t="shared" si="265"/>
        <v>0</v>
      </c>
      <c r="AX353" s="870">
        <f t="shared" si="266"/>
        <v>0</v>
      </c>
      <c r="AY353" s="871">
        <f t="shared" si="267"/>
        <v>0</v>
      </c>
      <c r="AZ353" s="237" t="str">
        <f t="shared" si="234"/>
        <v xml:space="preserve">19.007.000.008 </v>
      </c>
      <c r="BA353" s="365"/>
      <c r="BB353" s="365"/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872">
        <f t="shared" si="235"/>
        <v>0</v>
      </c>
      <c r="BM353" s="873">
        <f t="shared" si="236"/>
        <v>0</v>
      </c>
      <c r="BN353" s="874">
        <f t="shared" si="261"/>
        <v>0</v>
      </c>
      <c r="BO353" s="875">
        <f t="shared" si="237"/>
        <v>0</v>
      </c>
      <c r="BP353" s="875">
        <f t="shared" si="238"/>
        <v>0</v>
      </c>
      <c r="BQ353" s="876">
        <f t="shared" si="262"/>
        <v>0</v>
      </c>
      <c r="BR353" s="877">
        <f t="shared" si="263"/>
        <v>0</v>
      </c>
      <c r="BS353" s="875">
        <f t="shared" si="239"/>
        <v>0</v>
      </c>
      <c r="BT353" s="875">
        <f t="shared" si="240"/>
        <v>0</v>
      </c>
      <c r="BU353" s="878">
        <f t="shared" si="264"/>
        <v>0</v>
      </c>
      <c r="CE353" s="486"/>
    </row>
    <row r="354" spans="1:83" s="177" customFormat="1" ht="21.95" customHeight="1" x14ac:dyDescent="0.2">
      <c r="A354" s="237">
        <f t="shared" si="241"/>
        <v>0</v>
      </c>
      <c r="B354" s="237">
        <f t="shared" si="242"/>
        <v>0</v>
      </c>
      <c r="C354" s="393">
        <f t="shared" si="227"/>
        <v>0</v>
      </c>
      <c r="D354" s="393" t="str">
        <f t="shared" si="228"/>
        <v xml:space="preserve">19 </v>
      </c>
      <c r="E354" s="967" t="s">
        <v>1531</v>
      </c>
      <c r="F354" s="967" t="s">
        <v>1526</v>
      </c>
      <c r="G354" s="967"/>
      <c r="H354" s="968"/>
      <c r="I354" s="968"/>
      <c r="J354" s="975">
        <v>434.95</v>
      </c>
      <c r="K354" s="367">
        <v>0</v>
      </c>
      <c r="L354" s="367">
        <f>IF($H354="",0,VLOOKUP($E354,Plan3!$A$16:$CT$384,$E$7,0)%)</f>
        <v>0</v>
      </c>
      <c r="M354" s="368">
        <f t="shared" si="247"/>
        <v>0</v>
      </c>
      <c r="N354" s="368">
        <f t="shared" si="248"/>
        <v>0</v>
      </c>
      <c r="O354" s="367">
        <v>0</v>
      </c>
      <c r="P354" s="367">
        <f>VLOOKUP($E354,Plan3!$A$492:$P$858,13,0)%</f>
        <v>0</v>
      </c>
      <c r="Q354" s="368">
        <f t="shared" si="249"/>
        <v>0</v>
      </c>
      <c r="R354" s="368">
        <f t="shared" si="250"/>
        <v>0</v>
      </c>
      <c r="S354" s="880">
        <v>0</v>
      </c>
      <c r="T354" s="880">
        <f t="shared" si="251"/>
        <v>0</v>
      </c>
      <c r="U354" s="880">
        <f>IF($I354="",0,($S354-$T354)*(1+('Econômico Macro'!$R$12/100)))</f>
        <v>0</v>
      </c>
      <c r="V354" s="880">
        <f t="shared" si="252"/>
        <v>0</v>
      </c>
      <c r="W354" s="880">
        <f t="shared" si="253"/>
        <v>0</v>
      </c>
      <c r="X354" s="367">
        <f t="shared" si="229"/>
        <v>0</v>
      </c>
      <c r="Y354" s="367">
        <f t="shared" si="230"/>
        <v>0</v>
      </c>
      <c r="Z354" s="367">
        <f t="shared" si="231"/>
        <v>0</v>
      </c>
      <c r="AA354" s="367">
        <f t="shared" si="232"/>
        <v>0</v>
      </c>
      <c r="AB354" s="369" t="str">
        <f t="shared" si="233"/>
        <v>Não Iniciada</v>
      </c>
      <c r="AC354" s="365"/>
      <c r="AD354" s="368">
        <v>1</v>
      </c>
      <c r="AE354" s="368">
        <f t="shared" si="254"/>
        <v>-1</v>
      </c>
      <c r="AF354" s="365"/>
      <c r="AG354" s="863">
        <f t="shared" si="243"/>
        <v>0</v>
      </c>
      <c r="AH354" s="864">
        <f t="shared" si="255"/>
        <v>0</v>
      </c>
      <c r="AI354" s="863">
        <f t="shared" si="244"/>
        <v>0</v>
      </c>
      <c r="AJ354" s="864">
        <f t="shared" si="256"/>
        <v>0</v>
      </c>
      <c r="AK354" s="365"/>
      <c r="AL354" s="865">
        <f t="shared" si="245"/>
        <v>0</v>
      </c>
      <c r="AM354" s="866">
        <f t="shared" si="257"/>
        <v>0</v>
      </c>
      <c r="AN354" s="866">
        <f t="shared" si="258"/>
        <v>0</v>
      </c>
      <c r="AO354" s="866">
        <f t="shared" si="259"/>
        <v>0</v>
      </c>
      <c r="AP354" s="867">
        <f t="shared" si="260"/>
        <v>0</v>
      </c>
      <c r="AQ354" s="591"/>
      <c r="AR354" s="868"/>
      <c r="AS354" s="868"/>
      <c r="AT354" s="868"/>
      <c r="AU354" s="868"/>
      <c r="AV354" s="841"/>
      <c r="AW354" s="869"/>
      <c r="AX354" s="870"/>
      <c r="AY354" s="871"/>
      <c r="AZ354" s="237" t="str">
        <f t="shared" si="234"/>
        <v xml:space="preserve">19.008 </v>
      </c>
      <c r="BA354" s="365"/>
      <c r="BB354" s="365"/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872">
        <f t="shared" si="235"/>
        <v>0</v>
      </c>
      <c r="BM354" s="873">
        <f t="shared" si="236"/>
        <v>0</v>
      </c>
      <c r="BN354" s="874">
        <f t="shared" si="261"/>
        <v>0</v>
      </c>
      <c r="BO354" s="875">
        <f t="shared" si="237"/>
        <v>0</v>
      </c>
      <c r="BP354" s="875">
        <f t="shared" si="238"/>
        <v>0</v>
      </c>
      <c r="BQ354" s="876">
        <f t="shared" si="262"/>
        <v>0</v>
      </c>
      <c r="BR354" s="877">
        <f t="shared" si="263"/>
        <v>0</v>
      </c>
      <c r="BS354" s="875">
        <f t="shared" si="239"/>
        <v>0</v>
      </c>
      <c r="BT354" s="875">
        <f t="shared" si="240"/>
        <v>0</v>
      </c>
      <c r="BU354" s="878">
        <f t="shared" si="264"/>
        <v>0</v>
      </c>
      <c r="CE354" s="486"/>
    </row>
    <row r="355" spans="1:83" s="177" customFormat="1" ht="21.95" customHeight="1" x14ac:dyDescent="0.2">
      <c r="A355" s="237">
        <f t="shared" si="241"/>
        <v>0</v>
      </c>
      <c r="B355" s="237">
        <f t="shared" si="242"/>
        <v>0</v>
      </c>
      <c r="C355" s="393">
        <f t="shared" si="227"/>
        <v>0</v>
      </c>
      <c r="D355" s="393" t="str">
        <f t="shared" si="228"/>
        <v xml:space="preserve">19 </v>
      </c>
      <c r="E355" s="959" t="s">
        <v>1532</v>
      </c>
      <c r="F355" s="959" t="s">
        <v>2361</v>
      </c>
      <c r="G355" s="959" t="s">
        <v>90</v>
      </c>
      <c r="H355" s="965">
        <v>344.08</v>
      </c>
      <c r="I355" s="960">
        <v>1.2641</v>
      </c>
      <c r="J355" s="966">
        <v>434.95</v>
      </c>
      <c r="K355" s="367">
        <v>0</v>
      </c>
      <c r="L355" s="367">
        <f>IF($H355="",0,VLOOKUP($E355,Plan3!$A$16:$CT$384,$E$7,0)%)</f>
        <v>0</v>
      </c>
      <c r="M355" s="368">
        <f t="shared" si="247"/>
        <v>0</v>
      </c>
      <c r="N355" s="368">
        <f t="shared" si="248"/>
        <v>0</v>
      </c>
      <c r="O355" s="367">
        <v>0</v>
      </c>
      <c r="P355" s="367">
        <f>VLOOKUP($E355,Plan3!$A$492:$P$858,13,0)%</f>
        <v>0</v>
      </c>
      <c r="Q355" s="368">
        <f t="shared" si="249"/>
        <v>0</v>
      </c>
      <c r="R355" s="368">
        <f t="shared" si="250"/>
        <v>0</v>
      </c>
      <c r="S355" s="880">
        <v>439.99542000000002</v>
      </c>
      <c r="T355" s="880">
        <f t="shared" si="251"/>
        <v>0</v>
      </c>
      <c r="U355" s="880">
        <f>IF($I355="",0,($S355-$T355)*(1+('Econômico Macro'!$R$12/100)))</f>
        <v>447.60734076600005</v>
      </c>
      <c r="V355" s="880">
        <f t="shared" si="252"/>
        <v>447.60734076600005</v>
      </c>
      <c r="W355" s="880">
        <f t="shared" si="253"/>
        <v>0</v>
      </c>
      <c r="X355" s="367">
        <f t="shared" si="229"/>
        <v>0</v>
      </c>
      <c r="Y355" s="367">
        <f t="shared" si="230"/>
        <v>0</v>
      </c>
      <c r="Z355" s="367">
        <f t="shared" si="231"/>
        <v>0</v>
      </c>
      <c r="AA355" s="367">
        <f t="shared" si="232"/>
        <v>0</v>
      </c>
      <c r="AB355" s="369" t="str">
        <f t="shared" si="233"/>
        <v>Não Iniciada</v>
      </c>
      <c r="AC355" s="365"/>
      <c r="AD355" s="368">
        <v>1</v>
      </c>
      <c r="AE355" s="368">
        <f t="shared" si="254"/>
        <v>-1</v>
      </c>
      <c r="AF355" s="365"/>
      <c r="AG355" s="863">
        <f t="shared" si="243"/>
        <v>0</v>
      </c>
      <c r="AH355" s="864">
        <f t="shared" si="255"/>
        <v>0</v>
      </c>
      <c r="AI355" s="863">
        <f t="shared" si="244"/>
        <v>0</v>
      </c>
      <c r="AJ355" s="864">
        <f t="shared" si="256"/>
        <v>0</v>
      </c>
      <c r="AK355" s="365"/>
      <c r="AL355" s="865">
        <f t="shared" si="245"/>
        <v>0</v>
      </c>
      <c r="AM355" s="866">
        <f t="shared" si="257"/>
        <v>0</v>
      </c>
      <c r="AN355" s="866">
        <f t="shared" si="258"/>
        <v>0</v>
      </c>
      <c r="AO355" s="866">
        <f t="shared" si="259"/>
        <v>0</v>
      </c>
      <c r="AP355" s="867">
        <f t="shared" si="260"/>
        <v>0</v>
      </c>
      <c r="AQ355" s="591">
        <f t="shared" si="246"/>
        <v>0</v>
      </c>
      <c r="AR355" s="868">
        <f>IF(AND($L355=0,$P355=0)=TRUE,VLOOKUP($E355,Plan3!$A$16:$CT$487,$E$7+3,0)/100,0)</f>
        <v>0</v>
      </c>
      <c r="AS355" s="868">
        <f>IF(AND($L355=0,$P355=0)=TRUE,VLOOKUP($E355,Plan3!$A$16:$CT$487,$E$7+6,0)/100,0)</f>
        <v>0</v>
      </c>
      <c r="AT355" s="868">
        <f>IF(AND($L355=0,$P355=0)=TRUE,VLOOKUP($E355,Plan3!$A$16:$CT$487,$E$7+9,0)/100,0)</f>
        <v>0</v>
      </c>
      <c r="AU355" s="868">
        <f>IF(AND($L355=0,$P355=0)=TRUE,VLOOKUP($E355,Plan3!$A$16:$CT$487,$E$7+12,0)/100,0)</f>
        <v>0</v>
      </c>
      <c r="AV355" s="841"/>
      <c r="AW355" s="869">
        <f t="shared" si="265"/>
        <v>0</v>
      </c>
      <c r="AX355" s="870">
        <f t="shared" si="266"/>
        <v>0</v>
      </c>
      <c r="AY355" s="871">
        <f t="shared" si="267"/>
        <v>0</v>
      </c>
      <c r="AZ355" s="237" t="str">
        <f t="shared" si="234"/>
        <v xml:space="preserve">19.008.000.001 </v>
      </c>
      <c r="BA355" s="365"/>
      <c r="BB355" s="365"/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872">
        <f t="shared" si="235"/>
        <v>0</v>
      </c>
      <c r="BM355" s="873">
        <f t="shared" si="236"/>
        <v>0</v>
      </c>
      <c r="BN355" s="874">
        <f t="shared" si="261"/>
        <v>0</v>
      </c>
      <c r="BO355" s="875">
        <f t="shared" si="237"/>
        <v>0</v>
      </c>
      <c r="BP355" s="875">
        <f t="shared" si="238"/>
        <v>0</v>
      </c>
      <c r="BQ355" s="876">
        <f t="shared" si="262"/>
        <v>0</v>
      </c>
      <c r="BR355" s="877">
        <f t="shared" si="263"/>
        <v>0</v>
      </c>
      <c r="BS355" s="875">
        <f t="shared" si="239"/>
        <v>0</v>
      </c>
      <c r="BT355" s="875">
        <f t="shared" si="240"/>
        <v>0</v>
      </c>
      <c r="BU355" s="878">
        <f t="shared" si="264"/>
        <v>0</v>
      </c>
      <c r="CE355" s="486"/>
    </row>
    <row r="356" spans="1:83" s="177" customFormat="1" ht="21.95" customHeight="1" x14ac:dyDescent="0.2">
      <c r="A356" s="237">
        <f t="shared" si="241"/>
        <v>0</v>
      </c>
      <c r="B356" s="237">
        <f t="shared" si="242"/>
        <v>0</v>
      </c>
      <c r="C356" s="393">
        <f t="shared" si="227"/>
        <v>0</v>
      </c>
      <c r="D356" s="393" t="str">
        <f t="shared" si="228"/>
        <v xml:space="preserve">19 </v>
      </c>
      <c r="E356" s="967" t="s">
        <v>2331</v>
      </c>
      <c r="F356" s="967" t="s">
        <v>722</v>
      </c>
      <c r="G356" s="967"/>
      <c r="H356" s="968"/>
      <c r="I356" s="968"/>
      <c r="J356" s="974">
        <v>8378.6299999999992</v>
      </c>
      <c r="K356" s="367">
        <v>0</v>
      </c>
      <c r="L356" s="367">
        <f>IF($H356="",0,VLOOKUP($E356,Plan3!$A$16:$CT$384,$E$7,0)%)</f>
        <v>0</v>
      </c>
      <c r="M356" s="368">
        <f t="shared" si="247"/>
        <v>0</v>
      </c>
      <c r="N356" s="368">
        <f t="shared" si="248"/>
        <v>0</v>
      </c>
      <c r="O356" s="367">
        <v>0</v>
      </c>
      <c r="P356" s="367">
        <f>VLOOKUP($E356,Plan3!$A$492:$P$858,13,0)%</f>
        <v>0</v>
      </c>
      <c r="Q356" s="368">
        <f t="shared" si="249"/>
        <v>0</v>
      </c>
      <c r="R356" s="368">
        <f t="shared" si="250"/>
        <v>0</v>
      </c>
      <c r="S356" s="880">
        <v>0</v>
      </c>
      <c r="T356" s="880">
        <f t="shared" si="251"/>
        <v>0</v>
      </c>
      <c r="U356" s="880">
        <f>IF($I356="",0,($S356-$T356)*(1+('Econômico Macro'!$R$12/100)))</f>
        <v>0</v>
      </c>
      <c r="V356" s="880">
        <f t="shared" si="252"/>
        <v>0</v>
      </c>
      <c r="W356" s="880">
        <f t="shared" si="253"/>
        <v>0</v>
      </c>
      <c r="X356" s="367">
        <f t="shared" si="229"/>
        <v>0</v>
      </c>
      <c r="Y356" s="367">
        <f t="shared" si="230"/>
        <v>0</v>
      </c>
      <c r="Z356" s="367">
        <f t="shared" si="231"/>
        <v>0</v>
      </c>
      <c r="AA356" s="367">
        <f t="shared" si="232"/>
        <v>0</v>
      </c>
      <c r="AB356" s="369" t="str">
        <f t="shared" si="233"/>
        <v>Não Iniciada</v>
      </c>
      <c r="AC356" s="365"/>
      <c r="AD356" s="368">
        <v>1</v>
      </c>
      <c r="AE356" s="368">
        <f t="shared" si="254"/>
        <v>-1</v>
      </c>
      <c r="AF356" s="365"/>
      <c r="AG356" s="863">
        <f t="shared" si="243"/>
        <v>0</v>
      </c>
      <c r="AH356" s="864">
        <f t="shared" si="255"/>
        <v>0</v>
      </c>
      <c r="AI356" s="863">
        <f t="shared" si="244"/>
        <v>0</v>
      </c>
      <c r="AJ356" s="864">
        <f t="shared" si="256"/>
        <v>0</v>
      </c>
      <c r="AK356" s="365"/>
      <c r="AL356" s="865">
        <f t="shared" si="245"/>
        <v>0</v>
      </c>
      <c r="AM356" s="866">
        <f t="shared" si="257"/>
        <v>0</v>
      </c>
      <c r="AN356" s="866">
        <f t="shared" si="258"/>
        <v>0</v>
      </c>
      <c r="AO356" s="866">
        <f t="shared" si="259"/>
        <v>0</v>
      </c>
      <c r="AP356" s="867">
        <f t="shared" si="260"/>
        <v>0</v>
      </c>
      <c r="AQ356" s="591"/>
      <c r="AR356" s="868"/>
      <c r="AS356" s="868"/>
      <c r="AT356" s="868"/>
      <c r="AU356" s="868"/>
      <c r="AV356" s="841"/>
      <c r="AW356" s="869"/>
      <c r="AX356" s="870"/>
      <c r="AY356" s="871"/>
      <c r="AZ356" s="237" t="str">
        <f t="shared" si="234"/>
        <v xml:space="preserve">19.009 </v>
      </c>
      <c r="BA356" s="365"/>
      <c r="BB356" s="365"/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872">
        <f t="shared" si="235"/>
        <v>0</v>
      </c>
      <c r="BM356" s="873">
        <f t="shared" si="236"/>
        <v>0</v>
      </c>
      <c r="BN356" s="874">
        <f t="shared" si="261"/>
        <v>0</v>
      </c>
      <c r="BO356" s="875">
        <f t="shared" si="237"/>
        <v>0</v>
      </c>
      <c r="BP356" s="875">
        <f t="shared" si="238"/>
        <v>0</v>
      </c>
      <c r="BQ356" s="876">
        <f t="shared" si="262"/>
        <v>0</v>
      </c>
      <c r="BR356" s="877">
        <f t="shared" si="263"/>
        <v>0</v>
      </c>
      <c r="BS356" s="875">
        <f t="shared" si="239"/>
        <v>0</v>
      </c>
      <c r="BT356" s="875">
        <f t="shared" si="240"/>
        <v>0</v>
      </c>
      <c r="BU356" s="878">
        <f t="shared" si="264"/>
        <v>0</v>
      </c>
      <c r="CE356" s="486"/>
    </row>
    <row r="357" spans="1:83" s="177" customFormat="1" ht="21.95" customHeight="1" x14ac:dyDescent="0.2">
      <c r="A357" s="237">
        <f t="shared" si="241"/>
        <v>0</v>
      </c>
      <c r="B357" s="237">
        <f t="shared" si="242"/>
        <v>0</v>
      </c>
      <c r="C357" s="393">
        <f t="shared" si="227"/>
        <v>0</v>
      </c>
      <c r="D357" s="393" t="str">
        <f t="shared" si="228"/>
        <v xml:space="preserve">19 </v>
      </c>
      <c r="E357" s="959" t="s">
        <v>2332</v>
      </c>
      <c r="F357" s="959" t="s">
        <v>505</v>
      </c>
      <c r="G357" s="959" t="s">
        <v>15</v>
      </c>
      <c r="H357" s="965">
        <v>153.27000000000001</v>
      </c>
      <c r="I357" s="960">
        <v>1.0622</v>
      </c>
      <c r="J357" s="966">
        <v>162.80000000000001</v>
      </c>
      <c r="K357" s="367">
        <v>0</v>
      </c>
      <c r="L357" s="367">
        <f>IF($H357="",0,VLOOKUP($E357,Plan3!$A$16:$CT$384,$E$7,0)%)</f>
        <v>0</v>
      </c>
      <c r="M357" s="368">
        <f t="shared" si="247"/>
        <v>0</v>
      </c>
      <c r="N357" s="368">
        <f t="shared" si="248"/>
        <v>0</v>
      </c>
      <c r="O357" s="367">
        <v>0</v>
      </c>
      <c r="P357" s="367">
        <f>VLOOKUP($E357,Plan3!$A$492:$P$858,13,0)%</f>
        <v>0</v>
      </c>
      <c r="Q357" s="368">
        <f t="shared" si="249"/>
        <v>0</v>
      </c>
      <c r="R357" s="368">
        <f t="shared" si="250"/>
        <v>0</v>
      </c>
      <c r="S357" s="880">
        <v>164.68848000000003</v>
      </c>
      <c r="T357" s="880">
        <f t="shared" si="251"/>
        <v>0</v>
      </c>
      <c r="U357" s="880">
        <f>IF($I357="",0,($S357-$T357)*(1+('Econômico Macro'!$R$12/100)))</f>
        <v>167.53759070400005</v>
      </c>
      <c r="V357" s="880">
        <f t="shared" si="252"/>
        <v>167.53759070400005</v>
      </c>
      <c r="W357" s="880">
        <f t="shared" si="253"/>
        <v>0</v>
      </c>
      <c r="X357" s="367">
        <f t="shared" si="229"/>
        <v>0</v>
      </c>
      <c r="Y357" s="367">
        <f t="shared" si="230"/>
        <v>0</v>
      </c>
      <c r="Z357" s="367">
        <f t="shared" si="231"/>
        <v>0</v>
      </c>
      <c r="AA357" s="367">
        <f t="shared" si="232"/>
        <v>0</v>
      </c>
      <c r="AB357" s="369" t="str">
        <f t="shared" si="233"/>
        <v>Não Iniciada</v>
      </c>
      <c r="AC357" s="365"/>
      <c r="AD357" s="368">
        <v>1</v>
      </c>
      <c r="AE357" s="368">
        <f t="shared" si="254"/>
        <v>-1</v>
      </c>
      <c r="AF357" s="365"/>
      <c r="AG357" s="863">
        <f t="shared" si="243"/>
        <v>0</v>
      </c>
      <c r="AH357" s="864">
        <f t="shared" si="255"/>
        <v>0</v>
      </c>
      <c r="AI357" s="863">
        <f t="shared" si="244"/>
        <v>0</v>
      </c>
      <c r="AJ357" s="864">
        <f t="shared" si="256"/>
        <v>0</v>
      </c>
      <c r="AK357" s="365"/>
      <c r="AL357" s="865">
        <f t="shared" si="245"/>
        <v>0</v>
      </c>
      <c r="AM357" s="866">
        <f t="shared" si="257"/>
        <v>0</v>
      </c>
      <c r="AN357" s="866">
        <f t="shared" si="258"/>
        <v>0</v>
      </c>
      <c r="AO357" s="866">
        <f t="shared" si="259"/>
        <v>0</v>
      </c>
      <c r="AP357" s="867">
        <f t="shared" si="260"/>
        <v>0</v>
      </c>
      <c r="AQ357" s="591">
        <f t="shared" si="246"/>
        <v>0</v>
      </c>
      <c r="AR357" s="868">
        <f>IF(AND($L357=0,$P357=0)=TRUE,VLOOKUP($E357,Plan3!$A$16:$CT$487,$E$7+3,0)/100,0)</f>
        <v>0</v>
      </c>
      <c r="AS357" s="868">
        <f>IF(AND($L357=0,$P357=0)=TRUE,VLOOKUP($E357,Plan3!$A$16:$CT$487,$E$7+6,0)/100,0)</f>
        <v>0</v>
      </c>
      <c r="AT357" s="868">
        <f>IF(AND($L357=0,$P357=0)=TRUE,VLOOKUP($E357,Plan3!$A$16:$CT$487,$E$7+9,0)/100,0)</f>
        <v>0</v>
      </c>
      <c r="AU357" s="868">
        <f>IF(AND($L357=0,$P357=0)=TRUE,VLOOKUP($E357,Plan3!$A$16:$CT$487,$E$7+12,0)/100,0)</f>
        <v>0</v>
      </c>
      <c r="AV357" s="841"/>
      <c r="AW357" s="869">
        <f t="shared" si="265"/>
        <v>0</v>
      </c>
      <c r="AX357" s="870">
        <f t="shared" si="266"/>
        <v>0</v>
      </c>
      <c r="AY357" s="871">
        <f t="shared" si="267"/>
        <v>0</v>
      </c>
      <c r="AZ357" s="237" t="str">
        <f t="shared" si="234"/>
        <v xml:space="preserve">19.009.000.001 </v>
      </c>
      <c r="BA357" s="365"/>
      <c r="BB357" s="365"/>
      <c r="BC357" s="365"/>
      <c r="BD357" s="365"/>
      <c r="BE357" s="365"/>
      <c r="BF357" s="365"/>
      <c r="BG357" s="365"/>
      <c r="BH357" s="365"/>
      <c r="BI357" s="365"/>
      <c r="BJ357" s="365"/>
      <c r="BK357" s="365"/>
      <c r="BL357" s="872">
        <f t="shared" si="235"/>
        <v>0</v>
      </c>
      <c r="BM357" s="873">
        <f t="shared" si="236"/>
        <v>0</v>
      </c>
      <c r="BN357" s="874">
        <f t="shared" si="261"/>
        <v>0</v>
      </c>
      <c r="BO357" s="875">
        <f t="shared" si="237"/>
        <v>0</v>
      </c>
      <c r="BP357" s="875">
        <f t="shared" si="238"/>
        <v>0</v>
      </c>
      <c r="BQ357" s="876">
        <f t="shared" si="262"/>
        <v>0</v>
      </c>
      <c r="BR357" s="877">
        <f t="shared" si="263"/>
        <v>0</v>
      </c>
      <c r="BS357" s="875">
        <f t="shared" si="239"/>
        <v>0</v>
      </c>
      <c r="BT357" s="875">
        <f t="shared" si="240"/>
        <v>0</v>
      </c>
      <c r="BU357" s="878">
        <f t="shared" si="264"/>
        <v>0</v>
      </c>
      <c r="CE357" s="486"/>
    </row>
    <row r="358" spans="1:83" s="177" customFormat="1" ht="21.95" customHeight="1" x14ac:dyDescent="0.2">
      <c r="A358" s="237">
        <f t="shared" si="241"/>
        <v>0</v>
      </c>
      <c r="B358" s="237">
        <f t="shared" si="242"/>
        <v>0</v>
      </c>
      <c r="C358" s="393">
        <f t="shared" si="227"/>
        <v>0</v>
      </c>
      <c r="D358" s="393" t="str">
        <f t="shared" si="228"/>
        <v xml:space="preserve">19 </v>
      </c>
      <c r="E358" s="959" t="s">
        <v>2333</v>
      </c>
      <c r="F358" s="959" t="s">
        <v>2143</v>
      </c>
      <c r="G358" s="959" t="s">
        <v>90</v>
      </c>
      <c r="H358" s="965">
        <v>121.58</v>
      </c>
      <c r="I358" s="960">
        <v>1.4240999999999999</v>
      </c>
      <c r="J358" s="966">
        <v>173.14</v>
      </c>
      <c r="K358" s="367">
        <v>0</v>
      </c>
      <c r="L358" s="367">
        <f>IF($H358="",0,VLOOKUP($E358,Plan3!$A$16:$CT$384,$E$7,0)%)</f>
        <v>0</v>
      </c>
      <c r="M358" s="368">
        <f t="shared" si="247"/>
        <v>0</v>
      </c>
      <c r="N358" s="368">
        <f t="shared" si="248"/>
        <v>0</v>
      </c>
      <c r="O358" s="367">
        <v>0</v>
      </c>
      <c r="P358" s="367">
        <f>VLOOKUP($E358,Plan3!$A$492:$P$858,13,0)%</f>
        <v>0</v>
      </c>
      <c r="Q358" s="368">
        <f t="shared" si="249"/>
        <v>0</v>
      </c>
      <c r="R358" s="368">
        <f t="shared" si="250"/>
        <v>0</v>
      </c>
      <c r="S358" s="880">
        <v>175.14842400000001</v>
      </c>
      <c r="T358" s="880">
        <f t="shared" si="251"/>
        <v>0</v>
      </c>
      <c r="U358" s="880">
        <f>IF($I358="",0,($S358-$T358)*(1+('Econômico Macro'!$R$12/100)))</f>
        <v>178.17849173520003</v>
      </c>
      <c r="V358" s="880">
        <f t="shared" si="252"/>
        <v>178.17849173520003</v>
      </c>
      <c r="W358" s="880">
        <f t="shared" si="253"/>
        <v>0</v>
      </c>
      <c r="X358" s="367">
        <f t="shared" si="229"/>
        <v>0</v>
      </c>
      <c r="Y358" s="367">
        <f t="shared" si="230"/>
        <v>0</v>
      </c>
      <c r="Z358" s="367">
        <f t="shared" si="231"/>
        <v>0</v>
      </c>
      <c r="AA358" s="367">
        <f t="shared" si="232"/>
        <v>0</v>
      </c>
      <c r="AB358" s="369" t="str">
        <f t="shared" si="233"/>
        <v>Não Iniciada</v>
      </c>
      <c r="AC358" s="365"/>
      <c r="AD358" s="368">
        <v>1</v>
      </c>
      <c r="AE358" s="368">
        <f t="shared" si="254"/>
        <v>-1</v>
      </c>
      <c r="AF358" s="365"/>
      <c r="AG358" s="863">
        <f t="shared" si="243"/>
        <v>0</v>
      </c>
      <c r="AH358" s="864">
        <f t="shared" si="255"/>
        <v>0</v>
      </c>
      <c r="AI358" s="863">
        <f t="shared" si="244"/>
        <v>0</v>
      </c>
      <c r="AJ358" s="864">
        <f t="shared" si="256"/>
        <v>0</v>
      </c>
      <c r="AK358" s="365"/>
      <c r="AL358" s="865">
        <f t="shared" si="245"/>
        <v>0</v>
      </c>
      <c r="AM358" s="866">
        <f t="shared" si="257"/>
        <v>0</v>
      </c>
      <c r="AN358" s="866">
        <f t="shared" si="258"/>
        <v>0</v>
      </c>
      <c r="AO358" s="866">
        <f t="shared" si="259"/>
        <v>0</v>
      </c>
      <c r="AP358" s="867">
        <f t="shared" si="260"/>
        <v>0</v>
      </c>
      <c r="AQ358" s="591">
        <f t="shared" si="246"/>
        <v>0</v>
      </c>
      <c r="AR358" s="868">
        <f>IF(AND($L358=0,$P358=0)=TRUE,VLOOKUP($E358,Plan3!$A$16:$CT$487,$E$7+3,0)/100,0)</f>
        <v>0</v>
      </c>
      <c r="AS358" s="868">
        <f>IF(AND($L358=0,$P358=0)=TRUE,VLOOKUP($E358,Plan3!$A$16:$CT$487,$E$7+6,0)/100,0)</f>
        <v>0</v>
      </c>
      <c r="AT358" s="868">
        <f>IF(AND($L358=0,$P358=0)=TRUE,VLOOKUP($E358,Plan3!$A$16:$CT$487,$E$7+9,0)/100,0)</f>
        <v>0</v>
      </c>
      <c r="AU358" s="868">
        <f>IF(AND($L358=0,$P358=0)=TRUE,VLOOKUP($E358,Plan3!$A$16:$CT$487,$E$7+12,0)/100,0)</f>
        <v>0</v>
      </c>
      <c r="AV358" s="841"/>
      <c r="AW358" s="869">
        <f t="shared" si="265"/>
        <v>0</v>
      </c>
      <c r="AX358" s="870">
        <f t="shared" si="266"/>
        <v>0</v>
      </c>
      <c r="AY358" s="871">
        <f t="shared" si="267"/>
        <v>0</v>
      </c>
      <c r="AZ358" s="237" t="str">
        <f t="shared" si="234"/>
        <v xml:space="preserve">19.009.000.002 </v>
      </c>
      <c r="BA358" s="365"/>
      <c r="BB358" s="365"/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872">
        <f t="shared" si="235"/>
        <v>0</v>
      </c>
      <c r="BM358" s="873">
        <f t="shared" si="236"/>
        <v>0</v>
      </c>
      <c r="BN358" s="874">
        <f t="shared" si="261"/>
        <v>0</v>
      </c>
      <c r="BO358" s="875">
        <f t="shared" si="237"/>
        <v>0</v>
      </c>
      <c r="BP358" s="875">
        <f t="shared" si="238"/>
        <v>0</v>
      </c>
      <c r="BQ358" s="876">
        <f t="shared" si="262"/>
        <v>0</v>
      </c>
      <c r="BR358" s="877">
        <f t="shared" si="263"/>
        <v>0</v>
      </c>
      <c r="BS358" s="875">
        <f t="shared" si="239"/>
        <v>0</v>
      </c>
      <c r="BT358" s="875">
        <f t="shared" si="240"/>
        <v>0</v>
      </c>
      <c r="BU358" s="878">
        <f t="shared" si="264"/>
        <v>0</v>
      </c>
      <c r="CE358" s="486"/>
    </row>
    <row r="359" spans="1:83" s="177" customFormat="1" ht="21.95" customHeight="1" x14ac:dyDescent="0.2">
      <c r="A359" s="237">
        <f t="shared" si="241"/>
        <v>0</v>
      </c>
      <c r="B359" s="237">
        <f t="shared" si="242"/>
        <v>0</v>
      </c>
      <c r="C359" s="393">
        <f t="shared" si="227"/>
        <v>0</v>
      </c>
      <c r="D359" s="393" t="str">
        <f t="shared" si="228"/>
        <v xml:space="preserve">19 </v>
      </c>
      <c r="E359" s="959" t="s">
        <v>2334</v>
      </c>
      <c r="F359" s="959" t="s">
        <v>2335</v>
      </c>
      <c r="G359" s="959" t="s">
        <v>90</v>
      </c>
      <c r="H359" s="965">
        <v>852.59</v>
      </c>
      <c r="I359" s="960">
        <v>3.6034000000000002</v>
      </c>
      <c r="J359" s="964">
        <v>3072.22</v>
      </c>
      <c r="K359" s="367">
        <v>0</v>
      </c>
      <c r="L359" s="367">
        <f>IF($H359="",0,VLOOKUP($E359,Plan3!$A$16:$CT$384,$E$7,0)%)</f>
        <v>0</v>
      </c>
      <c r="M359" s="368">
        <f t="shared" si="247"/>
        <v>0</v>
      </c>
      <c r="N359" s="368">
        <f t="shared" si="248"/>
        <v>0</v>
      </c>
      <c r="O359" s="367">
        <v>0</v>
      </c>
      <c r="P359" s="367">
        <f>VLOOKUP($E359,Plan3!$A$492:$P$858,13,0)%</f>
        <v>0</v>
      </c>
      <c r="Q359" s="368">
        <f t="shared" si="249"/>
        <v>0</v>
      </c>
      <c r="R359" s="368">
        <f t="shared" si="250"/>
        <v>0</v>
      </c>
      <c r="S359" s="880">
        <v>3107.8577519999999</v>
      </c>
      <c r="T359" s="880">
        <f t="shared" si="251"/>
        <v>0</v>
      </c>
      <c r="U359" s="880">
        <f>IF($I359="",0,($S359-$T359)*(1+('Econômico Macro'!$R$12/100)))</f>
        <v>3161.6236911096003</v>
      </c>
      <c r="V359" s="880">
        <f t="shared" si="252"/>
        <v>3161.6236911096003</v>
      </c>
      <c r="W359" s="880">
        <f t="shared" si="253"/>
        <v>0</v>
      </c>
      <c r="X359" s="367">
        <f t="shared" si="229"/>
        <v>0</v>
      </c>
      <c r="Y359" s="367">
        <f t="shared" si="230"/>
        <v>0</v>
      </c>
      <c r="Z359" s="367">
        <f t="shared" si="231"/>
        <v>0</v>
      </c>
      <c r="AA359" s="367">
        <f t="shared" si="232"/>
        <v>0</v>
      </c>
      <c r="AB359" s="369" t="str">
        <f t="shared" si="233"/>
        <v>Não Iniciada</v>
      </c>
      <c r="AC359" s="365"/>
      <c r="AD359" s="368">
        <v>1</v>
      </c>
      <c r="AE359" s="368">
        <f t="shared" si="254"/>
        <v>-1</v>
      </c>
      <c r="AF359" s="365"/>
      <c r="AG359" s="863">
        <f t="shared" si="243"/>
        <v>0</v>
      </c>
      <c r="AH359" s="864">
        <f t="shared" si="255"/>
        <v>0</v>
      </c>
      <c r="AI359" s="863">
        <f t="shared" si="244"/>
        <v>0</v>
      </c>
      <c r="AJ359" s="864">
        <f t="shared" si="256"/>
        <v>0</v>
      </c>
      <c r="AK359" s="365"/>
      <c r="AL359" s="865">
        <f t="shared" si="245"/>
        <v>0</v>
      </c>
      <c r="AM359" s="866">
        <f t="shared" si="257"/>
        <v>0</v>
      </c>
      <c r="AN359" s="866">
        <f t="shared" si="258"/>
        <v>0</v>
      </c>
      <c r="AO359" s="866">
        <f t="shared" si="259"/>
        <v>0</v>
      </c>
      <c r="AP359" s="867">
        <f t="shared" si="260"/>
        <v>0</v>
      </c>
      <c r="AQ359" s="591">
        <f t="shared" si="246"/>
        <v>0</v>
      </c>
      <c r="AR359" s="868">
        <f>IF(AND($L359=0,$P359=0)=TRUE,VLOOKUP($E359,Plan3!$A$16:$CT$487,$E$7+3,0)/100,0)</f>
        <v>0</v>
      </c>
      <c r="AS359" s="868">
        <f>IF(AND($L359=0,$P359=0)=TRUE,VLOOKUP($E359,Plan3!$A$16:$CT$487,$E$7+6,0)/100,0)</f>
        <v>0</v>
      </c>
      <c r="AT359" s="868">
        <f>IF(AND($L359=0,$P359=0)=TRUE,VLOOKUP($E359,Plan3!$A$16:$CT$487,$E$7+9,0)/100,0)</f>
        <v>0</v>
      </c>
      <c r="AU359" s="868">
        <f>IF(AND($L359=0,$P359=0)=TRUE,VLOOKUP($E359,Plan3!$A$16:$CT$487,$E$7+12,0)/100,0)</f>
        <v>0</v>
      </c>
      <c r="AV359" s="841"/>
      <c r="AW359" s="869">
        <f t="shared" si="265"/>
        <v>0</v>
      </c>
      <c r="AX359" s="870">
        <f t="shared" si="266"/>
        <v>0</v>
      </c>
      <c r="AY359" s="871">
        <f t="shared" si="267"/>
        <v>0</v>
      </c>
      <c r="AZ359" s="237" t="str">
        <f t="shared" si="234"/>
        <v xml:space="preserve">19.009.000.003 </v>
      </c>
      <c r="BA359" s="365"/>
      <c r="BB359" s="365"/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872">
        <f t="shared" si="235"/>
        <v>0</v>
      </c>
      <c r="BM359" s="873">
        <f t="shared" si="236"/>
        <v>0</v>
      </c>
      <c r="BN359" s="874">
        <f t="shared" si="261"/>
        <v>0</v>
      </c>
      <c r="BO359" s="875">
        <f t="shared" si="237"/>
        <v>0</v>
      </c>
      <c r="BP359" s="875">
        <f t="shared" si="238"/>
        <v>0</v>
      </c>
      <c r="BQ359" s="876">
        <f t="shared" si="262"/>
        <v>0</v>
      </c>
      <c r="BR359" s="877">
        <f t="shared" si="263"/>
        <v>0</v>
      </c>
      <c r="BS359" s="875">
        <f t="shared" si="239"/>
        <v>0</v>
      </c>
      <c r="BT359" s="875">
        <f t="shared" si="240"/>
        <v>0</v>
      </c>
      <c r="BU359" s="878">
        <f t="shared" si="264"/>
        <v>0</v>
      </c>
      <c r="CE359" s="486"/>
    </row>
    <row r="360" spans="1:83" s="177" customFormat="1" ht="21.95" customHeight="1" x14ac:dyDescent="0.2">
      <c r="A360" s="237">
        <f t="shared" si="241"/>
        <v>0</v>
      </c>
      <c r="B360" s="237">
        <f t="shared" si="242"/>
        <v>0</v>
      </c>
      <c r="C360" s="393">
        <f t="shared" si="227"/>
        <v>0</v>
      </c>
      <c r="D360" s="393" t="str">
        <f t="shared" si="228"/>
        <v xml:space="preserve">19 </v>
      </c>
      <c r="E360" s="959" t="s">
        <v>2336</v>
      </c>
      <c r="F360" s="959" t="s">
        <v>1534</v>
      </c>
      <c r="G360" s="959" t="s">
        <v>90</v>
      </c>
      <c r="H360" s="963">
        <v>1017.62</v>
      </c>
      <c r="I360" s="960">
        <v>4.8844000000000003</v>
      </c>
      <c r="J360" s="964">
        <v>4970.47</v>
      </c>
      <c r="K360" s="367">
        <v>0</v>
      </c>
      <c r="L360" s="367">
        <f>IF($H360="",0,VLOOKUP($E360,Plan3!$A$16:$CT$384,$E$7,0)%)</f>
        <v>0</v>
      </c>
      <c r="M360" s="368">
        <f t="shared" si="247"/>
        <v>0</v>
      </c>
      <c r="N360" s="368">
        <f t="shared" si="248"/>
        <v>0</v>
      </c>
      <c r="O360" s="367">
        <v>0</v>
      </c>
      <c r="P360" s="367">
        <f>VLOOKUP($E360,Plan3!$A$492:$P$858,13,0)%</f>
        <v>0</v>
      </c>
      <c r="Q360" s="368">
        <f t="shared" si="249"/>
        <v>0</v>
      </c>
      <c r="R360" s="368">
        <f t="shared" si="250"/>
        <v>0</v>
      </c>
      <c r="S360" s="880">
        <v>5028.1274520000006</v>
      </c>
      <c r="T360" s="880">
        <f t="shared" si="251"/>
        <v>0</v>
      </c>
      <c r="U360" s="880">
        <f>IF($I360="",0,($S360-$T360)*(1+('Econômico Macro'!$R$12/100)))</f>
        <v>5115.1140569196014</v>
      </c>
      <c r="V360" s="880">
        <f t="shared" si="252"/>
        <v>5115.1140569196014</v>
      </c>
      <c r="W360" s="880">
        <f t="shared" si="253"/>
        <v>0</v>
      </c>
      <c r="X360" s="367">
        <f t="shared" si="229"/>
        <v>0</v>
      </c>
      <c r="Y360" s="367">
        <f t="shared" si="230"/>
        <v>0</v>
      </c>
      <c r="Z360" s="367">
        <f t="shared" si="231"/>
        <v>0</v>
      </c>
      <c r="AA360" s="367">
        <f t="shared" si="232"/>
        <v>0</v>
      </c>
      <c r="AB360" s="369" t="str">
        <f t="shared" si="233"/>
        <v>Não Iniciada</v>
      </c>
      <c r="AC360" s="365"/>
      <c r="AD360" s="368">
        <v>1</v>
      </c>
      <c r="AE360" s="368">
        <f t="shared" si="254"/>
        <v>-1</v>
      </c>
      <c r="AF360" s="365"/>
      <c r="AG360" s="863">
        <f t="shared" si="243"/>
        <v>0</v>
      </c>
      <c r="AH360" s="864">
        <f t="shared" si="255"/>
        <v>0</v>
      </c>
      <c r="AI360" s="863">
        <f t="shared" si="244"/>
        <v>0</v>
      </c>
      <c r="AJ360" s="864">
        <f t="shared" si="256"/>
        <v>0</v>
      </c>
      <c r="AK360" s="365"/>
      <c r="AL360" s="865">
        <f t="shared" si="245"/>
        <v>0</v>
      </c>
      <c r="AM360" s="866">
        <f t="shared" si="257"/>
        <v>0</v>
      </c>
      <c r="AN360" s="866">
        <f t="shared" si="258"/>
        <v>0</v>
      </c>
      <c r="AO360" s="866">
        <f t="shared" si="259"/>
        <v>0</v>
      </c>
      <c r="AP360" s="867">
        <f t="shared" si="260"/>
        <v>0</v>
      </c>
      <c r="AQ360" s="591">
        <f t="shared" si="246"/>
        <v>0</v>
      </c>
      <c r="AR360" s="868">
        <f>IF(AND($L360=0,$P360=0)=TRUE,VLOOKUP($E360,Plan3!$A$16:$CT$487,$E$7+3,0)/100,0)</f>
        <v>0</v>
      </c>
      <c r="AS360" s="868">
        <f>IF(AND($L360=0,$P360=0)=TRUE,VLOOKUP($E360,Plan3!$A$16:$CT$487,$E$7+6,0)/100,0)</f>
        <v>0</v>
      </c>
      <c r="AT360" s="868">
        <f>IF(AND($L360=0,$P360=0)=TRUE,VLOOKUP($E360,Plan3!$A$16:$CT$487,$E$7+9,0)/100,0)</f>
        <v>0</v>
      </c>
      <c r="AU360" s="868">
        <f>IF(AND($L360=0,$P360=0)=TRUE,VLOOKUP($E360,Plan3!$A$16:$CT$487,$E$7+12,0)/100,0)</f>
        <v>0</v>
      </c>
      <c r="AV360" s="841"/>
      <c r="AW360" s="869">
        <f t="shared" si="265"/>
        <v>0</v>
      </c>
      <c r="AX360" s="870">
        <f t="shared" si="266"/>
        <v>0</v>
      </c>
      <c r="AY360" s="871">
        <f t="shared" si="267"/>
        <v>0</v>
      </c>
      <c r="AZ360" s="237" t="str">
        <f t="shared" si="234"/>
        <v xml:space="preserve">19.009.000.004 </v>
      </c>
      <c r="BA360" s="365"/>
      <c r="BB360" s="365"/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872">
        <f t="shared" si="235"/>
        <v>0</v>
      </c>
      <c r="BM360" s="873">
        <f t="shared" si="236"/>
        <v>0</v>
      </c>
      <c r="BN360" s="874">
        <f t="shared" si="261"/>
        <v>0</v>
      </c>
      <c r="BO360" s="875">
        <f t="shared" si="237"/>
        <v>0</v>
      </c>
      <c r="BP360" s="875">
        <f t="shared" si="238"/>
        <v>0</v>
      </c>
      <c r="BQ360" s="876">
        <f t="shared" si="262"/>
        <v>0</v>
      </c>
      <c r="BR360" s="877">
        <f t="shared" si="263"/>
        <v>0</v>
      </c>
      <c r="BS360" s="875">
        <f t="shared" si="239"/>
        <v>0</v>
      </c>
      <c r="BT360" s="875">
        <f t="shared" si="240"/>
        <v>0</v>
      </c>
      <c r="BU360" s="878">
        <f t="shared" si="264"/>
        <v>0</v>
      </c>
      <c r="CE360" s="486"/>
    </row>
    <row r="361" spans="1:83" s="177" customFormat="1" ht="21.95" customHeight="1" x14ac:dyDescent="0.2">
      <c r="A361" s="237">
        <f t="shared" si="241"/>
        <v>0</v>
      </c>
      <c r="B361" s="237">
        <f t="shared" si="242"/>
        <v>0</v>
      </c>
      <c r="C361" s="393" t="str">
        <f t="shared" si="227"/>
        <v xml:space="preserve">20 </v>
      </c>
      <c r="D361" s="393" t="str">
        <f t="shared" si="228"/>
        <v xml:space="preserve">20 </v>
      </c>
      <c r="E361" s="161" t="s">
        <v>150</v>
      </c>
      <c r="F361" s="161" t="s">
        <v>723</v>
      </c>
      <c r="G361" s="162"/>
      <c r="H361" s="162"/>
      <c r="I361" s="162"/>
      <c r="J361" s="163">
        <v>168850.1</v>
      </c>
      <c r="K361" s="164">
        <v>0</v>
      </c>
      <c r="L361" s="164">
        <f t="array" ref="L361">SUM(IF($D362:$D$379=$E361,$L362:$L$379*$J362:$J$379))/$J361</f>
        <v>0</v>
      </c>
      <c r="M361" s="163"/>
      <c r="N361" s="163">
        <f>$L361*$J361</f>
        <v>0</v>
      </c>
      <c r="O361" s="164">
        <v>0</v>
      </c>
      <c r="P361" s="164">
        <f t="array" ref="P361">SUM(IF($D362:$D$379=$E361,$P362:$P$379*$J362:$J$379))/$J361</f>
        <v>0</v>
      </c>
      <c r="Q361" s="163">
        <f>$P361*$H361</f>
        <v>0</v>
      </c>
      <c r="R361" s="163">
        <f>$P361*$J361</f>
        <v>0</v>
      </c>
      <c r="S361" s="163">
        <v>170808.76115999999</v>
      </c>
      <c r="T361" s="163">
        <f>SUM(T362:T379)</f>
        <v>0</v>
      </c>
      <c r="U361" s="163"/>
      <c r="V361" s="163">
        <f t="shared" ref="V361:W361" si="268">SUM(V362:V379)</f>
        <v>173763.75272806804</v>
      </c>
      <c r="W361" s="163">
        <f t="shared" si="268"/>
        <v>0</v>
      </c>
      <c r="X361" s="164">
        <f t="shared" si="229"/>
        <v>0</v>
      </c>
      <c r="Y361" s="164">
        <f t="shared" si="230"/>
        <v>0</v>
      </c>
      <c r="Z361" s="164">
        <f t="shared" si="231"/>
        <v>0</v>
      </c>
      <c r="AA361" s="164">
        <f t="shared" si="232"/>
        <v>0</v>
      </c>
      <c r="AB361" s="201" t="str">
        <f t="shared" si="233"/>
        <v>Não Iniciada</v>
      </c>
      <c r="AC361" s="155" t="s">
        <v>763</v>
      </c>
      <c r="AD361" s="689">
        <v>0</v>
      </c>
      <c r="AE361" s="835">
        <f>Q361-AD361</f>
        <v>0</v>
      </c>
      <c r="AF361" s="155"/>
      <c r="AG361" s="207"/>
      <c r="AH361" s="208"/>
      <c r="AI361" s="207"/>
      <c r="AJ361" s="208"/>
      <c r="AK361" s="155"/>
      <c r="AL361" s="212"/>
      <c r="AM361" s="209"/>
      <c r="AN361" s="209"/>
      <c r="AO361" s="209"/>
      <c r="AP361" s="213"/>
      <c r="AQ361" s="401"/>
      <c r="AR361" s="247"/>
      <c r="AS361" s="247"/>
      <c r="AT361" s="247"/>
      <c r="AU361" s="247"/>
      <c r="AV361" s="155"/>
      <c r="AW361" s="250"/>
      <c r="AX361" s="248"/>
      <c r="AY361" s="402"/>
      <c r="AZ361" s="237" t="str">
        <f t="shared" si="234"/>
        <v xml:space="preserve">20 </v>
      </c>
      <c r="BA361" s="155"/>
      <c r="BB361" s="155"/>
      <c r="BC361" s="155"/>
      <c r="BD361" s="155"/>
      <c r="BE361" s="155"/>
      <c r="BF361" s="155"/>
      <c r="BG361" s="155"/>
      <c r="BH361" s="155"/>
      <c r="BI361" s="155"/>
      <c r="BJ361" s="155"/>
      <c r="BK361" s="155"/>
      <c r="BL361" s="666" t="str">
        <f t="shared" si="235"/>
        <v xml:space="preserve">20 </v>
      </c>
      <c r="BM361" s="667">
        <f t="shared" si="236"/>
        <v>0</v>
      </c>
      <c r="BN361" s="668">
        <f>IF($BQ361=0,0,RANK($BQ361,$BQ$12:$BQ$379))</f>
        <v>0</v>
      </c>
      <c r="BO361" s="669">
        <f t="shared" si="237"/>
        <v>0</v>
      </c>
      <c r="BP361" s="669">
        <f t="shared" si="238"/>
        <v>0</v>
      </c>
      <c r="BQ361" s="670">
        <f>IF($BP361=0,0,$BP361/$BP$380)</f>
        <v>0</v>
      </c>
      <c r="BR361" s="671">
        <f>IF($BU361=0,0,RANK($BU361,$BU$12:$BU$379))</f>
        <v>0</v>
      </c>
      <c r="BS361" s="669">
        <f t="shared" si="239"/>
        <v>0</v>
      </c>
      <c r="BT361" s="669">
        <f t="shared" si="240"/>
        <v>0</v>
      </c>
      <c r="BU361" s="672">
        <f>IF($BT361=0,0,$BT361/$BT$380)</f>
        <v>0</v>
      </c>
      <c r="CE361" s="486"/>
    </row>
    <row r="362" spans="1:83" s="177" customFormat="1" ht="21.95" customHeight="1" x14ac:dyDescent="0.2">
      <c r="A362" s="237">
        <f t="shared" si="241"/>
        <v>0</v>
      </c>
      <c r="B362" s="237">
        <f t="shared" si="242"/>
        <v>0</v>
      </c>
      <c r="C362" s="393">
        <f t="shared" si="227"/>
        <v>0</v>
      </c>
      <c r="D362" s="393" t="str">
        <f t="shared" si="228"/>
        <v xml:space="preserve">20 </v>
      </c>
      <c r="E362" s="967" t="s">
        <v>711</v>
      </c>
      <c r="F362" s="967" t="s">
        <v>191</v>
      </c>
      <c r="G362" s="967"/>
      <c r="H362" s="968"/>
      <c r="I362" s="968"/>
      <c r="J362" s="969">
        <v>27574.49</v>
      </c>
      <c r="K362" s="367">
        <v>0</v>
      </c>
      <c r="L362" s="367">
        <f>IF($H362="",0,VLOOKUP($E362,Plan3!$A$16:$CT$384,$E$7,0)%)</f>
        <v>0</v>
      </c>
      <c r="M362" s="368">
        <f t="shared" si="247"/>
        <v>0</v>
      </c>
      <c r="N362" s="368">
        <f t="shared" si="248"/>
        <v>0</v>
      </c>
      <c r="O362" s="367">
        <v>0</v>
      </c>
      <c r="P362" s="367">
        <f>VLOOKUP($E362,Plan3!$A$492:$P$858,13,0)%</f>
        <v>0</v>
      </c>
      <c r="Q362" s="368">
        <f t="shared" si="249"/>
        <v>0</v>
      </c>
      <c r="R362" s="368">
        <f t="shared" si="250"/>
        <v>0</v>
      </c>
      <c r="S362" s="880">
        <v>0</v>
      </c>
      <c r="T362" s="880">
        <f t="shared" si="251"/>
        <v>0</v>
      </c>
      <c r="U362" s="880">
        <f>IF($I362="",0,($S362-$T362)*(1+('Econômico Macro'!$R$12/100)))</f>
        <v>0</v>
      </c>
      <c r="V362" s="880">
        <f t="shared" si="252"/>
        <v>0</v>
      </c>
      <c r="W362" s="880">
        <f t="shared" si="253"/>
        <v>0</v>
      </c>
      <c r="X362" s="367">
        <f t="shared" si="229"/>
        <v>0</v>
      </c>
      <c r="Y362" s="367">
        <f t="shared" si="230"/>
        <v>0</v>
      </c>
      <c r="Z362" s="367">
        <f t="shared" si="231"/>
        <v>0</v>
      </c>
      <c r="AA362" s="367">
        <f t="shared" si="232"/>
        <v>0</v>
      </c>
      <c r="AB362" s="369" t="str">
        <f t="shared" si="233"/>
        <v>Não Iniciada</v>
      </c>
      <c r="AC362" s="365"/>
      <c r="AD362" s="368">
        <v>1</v>
      </c>
      <c r="AE362" s="368">
        <f t="shared" si="254"/>
        <v>-1</v>
      </c>
      <c r="AF362" s="365"/>
      <c r="AG362" s="863">
        <f t="shared" si="243"/>
        <v>0</v>
      </c>
      <c r="AH362" s="864">
        <f t="shared" si="255"/>
        <v>0</v>
      </c>
      <c r="AI362" s="863">
        <f t="shared" si="244"/>
        <v>0</v>
      </c>
      <c r="AJ362" s="864">
        <f t="shared" si="256"/>
        <v>0</v>
      </c>
      <c r="AK362" s="365"/>
      <c r="AL362" s="865">
        <f t="shared" si="245"/>
        <v>0</v>
      </c>
      <c r="AM362" s="866">
        <f t="shared" si="257"/>
        <v>0</v>
      </c>
      <c r="AN362" s="866">
        <f t="shared" si="258"/>
        <v>0</v>
      </c>
      <c r="AO362" s="866">
        <f t="shared" si="259"/>
        <v>0</v>
      </c>
      <c r="AP362" s="867">
        <f t="shared" si="260"/>
        <v>0</v>
      </c>
      <c r="AQ362" s="591"/>
      <c r="AR362" s="868"/>
      <c r="AS362" s="868"/>
      <c r="AT362" s="868"/>
      <c r="AU362" s="868"/>
      <c r="AV362" s="841"/>
      <c r="AW362" s="869"/>
      <c r="AX362" s="870"/>
      <c r="AY362" s="871"/>
      <c r="AZ362" s="237" t="str">
        <f t="shared" si="234"/>
        <v xml:space="preserve">20.001 </v>
      </c>
      <c r="BA362" s="365"/>
      <c r="BB362" s="365"/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872">
        <f t="shared" si="235"/>
        <v>0</v>
      </c>
      <c r="BM362" s="873">
        <f t="shared" si="236"/>
        <v>0</v>
      </c>
      <c r="BN362" s="874">
        <f t="shared" si="261"/>
        <v>0</v>
      </c>
      <c r="BO362" s="875">
        <f t="shared" si="237"/>
        <v>0</v>
      </c>
      <c r="BP362" s="875">
        <f t="shared" si="238"/>
        <v>0</v>
      </c>
      <c r="BQ362" s="876">
        <f t="shared" si="262"/>
        <v>0</v>
      </c>
      <c r="BR362" s="877">
        <f t="shared" si="263"/>
        <v>0</v>
      </c>
      <c r="BS362" s="875">
        <f t="shared" si="239"/>
        <v>0</v>
      </c>
      <c r="BT362" s="875">
        <f t="shared" si="240"/>
        <v>0</v>
      </c>
      <c r="BU362" s="878">
        <f t="shared" si="264"/>
        <v>0</v>
      </c>
      <c r="CE362" s="486"/>
    </row>
    <row r="363" spans="1:83" s="177" customFormat="1" ht="21.95" customHeight="1" x14ac:dyDescent="0.2">
      <c r="A363" s="237">
        <f t="shared" si="241"/>
        <v>0</v>
      </c>
      <c r="B363" s="237">
        <f t="shared" si="242"/>
        <v>0</v>
      </c>
      <c r="C363" s="393">
        <f t="shared" si="227"/>
        <v>0</v>
      </c>
      <c r="D363" s="393" t="str">
        <f t="shared" si="228"/>
        <v xml:space="preserve">20 </v>
      </c>
      <c r="E363" s="959" t="s">
        <v>713</v>
      </c>
      <c r="F363" s="959" t="s">
        <v>2144</v>
      </c>
      <c r="G363" s="959" t="s">
        <v>90</v>
      </c>
      <c r="H363" s="970">
        <v>53.62</v>
      </c>
      <c r="I363" s="970">
        <v>15.1761</v>
      </c>
      <c r="J363" s="966">
        <v>813.74</v>
      </c>
      <c r="K363" s="367">
        <v>0</v>
      </c>
      <c r="L363" s="367">
        <f>IF($H363="",0,VLOOKUP($E363,Plan3!$A$16:$CT$384,$E$7,0)%)</f>
        <v>0</v>
      </c>
      <c r="M363" s="368">
        <f t="shared" si="247"/>
        <v>0</v>
      </c>
      <c r="N363" s="368">
        <f t="shared" si="248"/>
        <v>0</v>
      </c>
      <c r="O363" s="367">
        <v>0</v>
      </c>
      <c r="P363" s="367">
        <f>VLOOKUP($E363,Plan3!$A$492:$P$858,13,0)%</f>
        <v>0</v>
      </c>
      <c r="Q363" s="368">
        <f t="shared" si="249"/>
        <v>0</v>
      </c>
      <c r="R363" s="368">
        <f t="shared" si="250"/>
        <v>0</v>
      </c>
      <c r="S363" s="880">
        <v>823.17938400000003</v>
      </c>
      <c r="T363" s="880">
        <f t="shared" si="251"/>
        <v>0</v>
      </c>
      <c r="U363" s="880">
        <f>IF($I363="",0,($S363-$T363)*(1+('Econômico Macro'!$R$12/100)))</f>
        <v>837.4203873432001</v>
      </c>
      <c r="V363" s="880">
        <f t="shared" si="252"/>
        <v>837.4203873432001</v>
      </c>
      <c r="W363" s="880">
        <f t="shared" si="253"/>
        <v>0</v>
      </c>
      <c r="X363" s="367">
        <f t="shared" si="229"/>
        <v>0</v>
      </c>
      <c r="Y363" s="367">
        <f t="shared" si="230"/>
        <v>0</v>
      </c>
      <c r="Z363" s="367">
        <f t="shared" si="231"/>
        <v>0</v>
      </c>
      <c r="AA363" s="367">
        <f t="shared" si="232"/>
        <v>0</v>
      </c>
      <c r="AB363" s="369" t="str">
        <f t="shared" si="233"/>
        <v>Não Iniciada</v>
      </c>
      <c r="AC363" s="365"/>
      <c r="AD363" s="368">
        <v>1</v>
      </c>
      <c r="AE363" s="368">
        <f t="shared" si="254"/>
        <v>-1</v>
      </c>
      <c r="AF363" s="365"/>
      <c r="AG363" s="863">
        <f t="shared" si="243"/>
        <v>0</v>
      </c>
      <c r="AH363" s="864">
        <f t="shared" si="255"/>
        <v>0</v>
      </c>
      <c r="AI363" s="863">
        <f t="shared" si="244"/>
        <v>0</v>
      </c>
      <c r="AJ363" s="864">
        <f t="shared" si="256"/>
        <v>0</v>
      </c>
      <c r="AK363" s="365"/>
      <c r="AL363" s="865">
        <f t="shared" si="245"/>
        <v>0</v>
      </c>
      <c r="AM363" s="866">
        <f t="shared" si="257"/>
        <v>0</v>
      </c>
      <c r="AN363" s="866">
        <f t="shared" si="258"/>
        <v>0</v>
      </c>
      <c r="AO363" s="866">
        <f t="shared" si="259"/>
        <v>0</v>
      </c>
      <c r="AP363" s="867">
        <f t="shared" si="260"/>
        <v>0</v>
      </c>
      <c r="AQ363" s="591">
        <f t="shared" si="246"/>
        <v>0</v>
      </c>
      <c r="AR363" s="868">
        <f>IF(AND($L363=0,$P363=0)=TRUE,VLOOKUP($E363,Plan3!$A$16:$CT$487,$E$7+3,0)/100,0)</f>
        <v>0</v>
      </c>
      <c r="AS363" s="868">
        <f>IF(AND($L363=0,$P363=0)=TRUE,VLOOKUP($E363,Plan3!$A$16:$CT$487,$E$7+6,0)/100,0)</f>
        <v>0</v>
      </c>
      <c r="AT363" s="868">
        <f>IF(AND($L363=0,$P363=0)=TRUE,VLOOKUP($E363,Plan3!$A$16:$CT$487,$E$7+9,0)/100,0)</f>
        <v>0</v>
      </c>
      <c r="AU363" s="868">
        <f>IF(AND($L363=0,$P363=0)=TRUE,VLOOKUP($E363,Plan3!$A$16:$CT$487,$E$7+12,0)/100,0)</f>
        <v>0</v>
      </c>
      <c r="AV363" s="841"/>
      <c r="AW363" s="869">
        <f t="shared" si="265"/>
        <v>0</v>
      </c>
      <c r="AX363" s="870">
        <f t="shared" si="266"/>
        <v>0</v>
      </c>
      <c r="AY363" s="871">
        <f t="shared" si="267"/>
        <v>0</v>
      </c>
      <c r="AZ363" s="237" t="str">
        <f t="shared" si="234"/>
        <v xml:space="preserve">20.001.000.001 </v>
      </c>
      <c r="BA363" s="365"/>
      <c r="BB363" s="365"/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872">
        <f t="shared" si="235"/>
        <v>0</v>
      </c>
      <c r="BM363" s="873">
        <f t="shared" si="236"/>
        <v>0</v>
      </c>
      <c r="BN363" s="874">
        <f t="shared" si="261"/>
        <v>0</v>
      </c>
      <c r="BO363" s="875">
        <f t="shared" si="237"/>
        <v>0</v>
      </c>
      <c r="BP363" s="875">
        <f t="shared" si="238"/>
        <v>0</v>
      </c>
      <c r="BQ363" s="876">
        <f t="shared" si="262"/>
        <v>0</v>
      </c>
      <c r="BR363" s="877">
        <f t="shared" si="263"/>
        <v>0</v>
      </c>
      <c r="BS363" s="875">
        <f t="shared" si="239"/>
        <v>0</v>
      </c>
      <c r="BT363" s="875">
        <f t="shared" si="240"/>
        <v>0</v>
      </c>
      <c r="BU363" s="878">
        <f t="shared" si="264"/>
        <v>0</v>
      </c>
      <c r="CE363" s="486"/>
    </row>
    <row r="364" spans="1:83" s="177" customFormat="1" ht="21.95" customHeight="1" x14ac:dyDescent="0.2">
      <c r="A364" s="237">
        <f t="shared" si="241"/>
        <v>0</v>
      </c>
      <c r="B364" s="237">
        <f t="shared" si="242"/>
        <v>0</v>
      </c>
      <c r="C364" s="393">
        <f t="shared" si="227"/>
        <v>0</v>
      </c>
      <c r="D364" s="393" t="str">
        <f t="shared" si="228"/>
        <v xml:space="preserve">20 </v>
      </c>
      <c r="E364" s="959" t="s">
        <v>714</v>
      </c>
      <c r="F364" s="959" t="s">
        <v>509</v>
      </c>
      <c r="G364" s="959" t="s">
        <v>90</v>
      </c>
      <c r="H364" s="970">
        <v>86.89</v>
      </c>
      <c r="I364" s="970">
        <v>20.264199999999999</v>
      </c>
      <c r="J364" s="964">
        <v>1760.75</v>
      </c>
      <c r="K364" s="367">
        <v>0</v>
      </c>
      <c r="L364" s="367">
        <f>IF($H364="",0,VLOOKUP($E364,Plan3!$A$16:$CT$384,$E$7,0)%)</f>
        <v>0</v>
      </c>
      <c r="M364" s="368">
        <f t="shared" si="247"/>
        <v>0</v>
      </c>
      <c r="N364" s="368">
        <f t="shared" si="248"/>
        <v>0</v>
      </c>
      <c r="O364" s="367">
        <v>0</v>
      </c>
      <c r="P364" s="367">
        <f>VLOOKUP($E364,Plan3!$A$492:$P$858,13,0)%</f>
        <v>0</v>
      </c>
      <c r="Q364" s="368">
        <f t="shared" si="249"/>
        <v>0</v>
      </c>
      <c r="R364" s="368">
        <f t="shared" si="250"/>
        <v>0</v>
      </c>
      <c r="S364" s="880">
        <v>1781.1747</v>
      </c>
      <c r="T364" s="880">
        <f t="shared" si="251"/>
        <v>0</v>
      </c>
      <c r="U364" s="880">
        <f>IF($I364="",0,($S364-$T364)*(1+('Econômico Macro'!$R$12/100)))</f>
        <v>1811.9890223100001</v>
      </c>
      <c r="V364" s="880">
        <f t="shared" si="252"/>
        <v>1811.9890223100001</v>
      </c>
      <c r="W364" s="880">
        <f t="shared" si="253"/>
        <v>0</v>
      </c>
      <c r="X364" s="367">
        <f t="shared" si="229"/>
        <v>0</v>
      </c>
      <c r="Y364" s="367">
        <f t="shared" si="230"/>
        <v>0</v>
      </c>
      <c r="Z364" s="367">
        <f t="shared" si="231"/>
        <v>0</v>
      </c>
      <c r="AA364" s="367">
        <f t="shared" si="232"/>
        <v>0</v>
      </c>
      <c r="AB364" s="369" t="str">
        <f t="shared" si="233"/>
        <v>Não Iniciada</v>
      </c>
      <c r="AC364" s="365"/>
      <c r="AD364" s="368">
        <v>1</v>
      </c>
      <c r="AE364" s="368">
        <f t="shared" si="254"/>
        <v>-1</v>
      </c>
      <c r="AF364" s="365"/>
      <c r="AG364" s="863">
        <f t="shared" si="243"/>
        <v>0</v>
      </c>
      <c r="AH364" s="864">
        <f t="shared" si="255"/>
        <v>0</v>
      </c>
      <c r="AI364" s="863">
        <f t="shared" si="244"/>
        <v>0</v>
      </c>
      <c r="AJ364" s="864">
        <f t="shared" si="256"/>
        <v>0</v>
      </c>
      <c r="AK364" s="365"/>
      <c r="AL364" s="865">
        <f t="shared" si="245"/>
        <v>0</v>
      </c>
      <c r="AM364" s="866">
        <f t="shared" si="257"/>
        <v>0</v>
      </c>
      <c r="AN364" s="866">
        <f t="shared" si="258"/>
        <v>0</v>
      </c>
      <c r="AO364" s="866">
        <f t="shared" si="259"/>
        <v>0</v>
      </c>
      <c r="AP364" s="867">
        <f t="shared" si="260"/>
        <v>0</v>
      </c>
      <c r="AQ364" s="591">
        <f t="shared" si="246"/>
        <v>0</v>
      </c>
      <c r="AR364" s="868">
        <f>IF(AND($L364=0,$P364=0)=TRUE,VLOOKUP($E364,Plan3!$A$16:$CT$487,$E$7+3,0)/100,0)</f>
        <v>0</v>
      </c>
      <c r="AS364" s="868">
        <f>IF(AND($L364=0,$P364=0)=TRUE,VLOOKUP($E364,Plan3!$A$16:$CT$487,$E$7+6,0)/100,0)</f>
        <v>0</v>
      </c>
      <c r="AT364" s="868">
        <f>IF(AND($L364=0,$P364=0)=TRUE,VLOOKUP($E364,Plan3!$A$16:$CT$487,$E$7+9,0)/100,0)</f>
        <v>0</v>
      </c>
      <c r="AU364" s="868">
        <f>IF(AND($L364=0,$P364=0)=TRUE,VLOOKUP($E364,Plan3!$A$16:$CT$487,$E$7+12,0)/100,0)</f>
        <v>0</v>
      </c>
      <c r="AV364" s="841"/>
      <c r="AW364" s="869">
        <f t="shared" si="265"/>
        <v>0</v>
      </c>
      <c r="AX364" s="870">
        <f t="shared" si="266"/>
        <v>0</v>
      </c>
      <c r="AY364" s="871">
        <f t="shared" si="267"/>
        <v>0</v>
      </c>
      <c r="AZ364" s="237" t="str">
        <f t="shared" si="234"/>
        <v xml:space="preserve">20.001.000.002 </v>
      </c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872">
        <f t="shared" si="235"/>
        <v>0</v>
      </c>
      <c r="BM364" s="873">
        <f t="shared" si="236"/>
        <v>0</v>
      </c>
      <c r="BN364" s="874">
        <f t="shared" si="261"/>
        <v>0</v>
      </c>
      <c r="BO364" s="875">
        <f t="shared" si="237"/>
        <v>0</v>
      </c>
      <c r="BP364" s="875">
        <f t="shared" si="238"/>
        <v>0</v>
      </c>
      <c r="BQ364" s="876">
        <f t="shared" si="262"/>
        <v>0</v>
      </c>
      <c r="BR364" s="877">
        <f t="shared" si="263"/>
        <v>0</v>
      </c>
      <c r="BS364" s="875">
        <f t="shared" si="239"/>
        <v>0</v>
      </c>
      <c r="BT364" s="875">
        <f t="shared" si="240"/>
        <v>0</v>
      </c>
      <c r="BU364" s="878">
        <f t="shared" si="264"/>
        <v>0</v>
      </c>
      <c r="CE364" s="486"/>
    </row>
    <row r="365" spans="1:83" s="177" customFormat="1" ht="21.95" customHeight="1" x14ac:dyDescent="0.2">
      <c r="A365" s="237">
        <f t="shared" si="241"/>
        <v>0</v>
      </c>
      <c r="B365" s="237">
        <f t="shared" si="242"/>
        <v>0</v>
      </c>
      <c r="C365" s="393">
        <f t="shared" si="227"/>
        <v>0</v>
      </c>
      <c r="D365" s="393" t="str">
        <f t="shared" si="228"/>
        <v xml:space="preserve">20 </v>
      </c>
      <c r="E365" s="959" t="s">
        <v>2145</v>
      </c>
      <c r="F365" s="959" t="s">
        <v>420</v>
      </c>
      <c r="G365" s="959" t="s">
        <v>7</v>
      </c>
      <c r="H365" s="960">
        <v>1</v>
      </c>
      <c r="I365" s="961">
        <v>25000</v>
      </c>
      <c r="J365" s="962">
        <v>25000</v>
      </c>
      <c r="K365" s="367">
        <v>0</v>
      </c>
      <c r="L365" s="367">
        <f>IF($H365="",0,VLOOKUP($E365,Plan3!$A$16:$CT$384,$E$7,0)%)</f>
        <v>0</v>
      </c>
      <c r="M365" s="368">
        <f t="shared" si="247"/>
        <v>0</v>
      </c>
      <c r="N365" s="368">
        <f t="shared" si="248"/>
        <v>0</v>
      </c>
      <c r="O365" s="367">
        <v>0</v>
      </c>
      <c r="P365" s="367">
        <f>VLOOKUP($E365,Plan3!$A$492:$P$858,13,0)%</f>
        <v>0</v>
      </c>
      <c r="Q365" s="368">
        <f t="shared" si="249"/>
        <v>0</v>
      </c>
      <c r="R365" s="368">
        <f t="shared" si="250"/>
        <v>0</v>
      </c>
      <c r="S365" s="880">
        <v>25290</v>
      </c>
      <c r="T365" s="880">
        <f t="shared" si="251"/>
        <v>0</v>
      </c>
      <c r="U365" s="880">
        <f>IF($I365="",0,($S365-$T365)*(1+('Econômico Macro'!$R$12/100)))</f>
        <v>25727.517000000003</v>
      </c>
      <c r="V365" s="880">
        <f t="shared" si="252"/>
        <v>25727.517000000003</v>
      </c>
      <c r="W365" s="880">
        <f t="shared" si="253"/>
        <v>0</v>
      </c>
      <c r="X365" s="367">
        <f t="shared" si="229"/>
        <v>0</v>
      </c>
      <c r="Y365" s="367">
        <f t="shared" si="230"/>
        <v>0</v>
      </c>
      <c r="Z365" s="367">
        <f t="shared" si="231"/>
        <v>0</v>
      </c>
      <c r="AA365" s="367">
        <f t="shared" si="232"/>
        <v>0</v>
      </c>
      <c r="AB365" s="369" t="str">
        <f t="shared" si="233"/>
        <v>Não Iniciada</v>
      </c>
      <c r="AC365" s="365"/>
      <c r="AD365" s="368">
        <v>1</v>
      </c>
      <c r="AE365" s="368">
        <f t="shared" si="254"/>
        <v>-1</v>
      </c>
      <c r="AF365" s="365"/>
      <c r="AG365" s="863">
        <f t="shared" si="243"/>
        <v>0</v>
      </c>
      <c r="AH365" s="864">
        <f t="shared" si="255"/>
        <v>0</v>
      </c>
      <c r="AI365" s="863">
        <f t="shared" si="244"/>
        <v>0</v>
      </c>
      <c r="AJ365" s="864">
        <f t="shared" si="256"/>
        <v>0</v>
      </c>
      <c r="AK365" s="365"/>
      <c r="AL365" s="865">
        <f t="shared" si="245"/>
        <v>0</v>
      </c>
      <c r="AM365" s="866">
        <f t="shared" si="257"/>
        <v>0</v>
      </c>
      <c r="AN365" s="866">
        <f t="shared" si="258"/>
        <v>0</v>
      </c>
      <c r="AO365" s="866">
        <f t="shared" si="259"/>
        <v>0</v>
      </c>
      <c r="AP365" s="867">
        <f t="shared" si="260"/>
        <v>0</v>
      </c>
      <c r="AQ365" s="591">
        <f t="shared" si="246"/>
        <v>0</v>
      </c>
      <c r="AR365" s="868">
        <f>IF(AND($L365=0,$P365=0)=TRUE,VLOOKUP($E365,Plan3!$A$16:$CT$487,$E$7+3,0)/100,0)</f>
        <v>0</v>
      </c>
      <c r="AS365" s="868">
        <f>IF(AND($L365=0,$P365=0)=TRUE,VLOOKUP($E365,Plan3!$A$16:$CT$487,$E$7+6,0)/100,0)</f>
        <v>0</v>
      </c>
      <c r="AT365" s="868">
        <f>IF(AND($L365=0,$P365=0)=TRUE,VLOOKUP($E365,Plan3!$A$16:$CT$487,$E$7+9,0)/100,0)</f>
        <v>0</v>
      </c>
      <c r="AU365" s="868">
        <f>IF(AND($L365=0,$P365=0)=TRUE,VLOOKUP($E365,Plan3!$A$16:$CT$487,$E$7+12,0)/100,0)</f>
        <v>0</v>
      </c>
      <c r="AV365" s="841"/>
      <c r="AW365" s="869">
        <f t="shared" si="265"/>
        <v>0</v>
      </c>
      <c r="AX365" s="870">
        <f t="shared" si="266"/>
        <v>0</v>
      </c>
      <c r="AY365" s="871">
        <f t="shared" si="267"/>
        <v>0</v>
      </c>
      <c r="AZ365" s="237" t="str">
        <f t="shared" si="234"/>
        <v xml:space="preserve">20.001.000.003 </v>
      </c>
      <c r="BA365" s="365"/>
      <c r="BB365" s="365"/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872">
        <f t="shared" si="235"/>
        <v>0</v>
      </c>
      <c r="BM365" s="873">
        <f t="shared" si="236"/>
        <v>0</v>
      </c>
      <c r="BN365" s="874">
        <f t="shared" si="261"/>
        <v>0</v>
      </c>
      <c r="BO365" s="875">
        <f t="shared" si="237"/>
        <v>0</v>
      </c>
      <c r="BP365" s="875">
        <f t="shared" si="238"/>
        <v>0</v>
      </c>
      <c r="BQ365" s="876">
        <f t="shared" si="262"/>
        <v>0</v>
      </c>
      <c r="BR365" s="877">
        <f t="shared" si="263"/>
        <v>0</v>
      </c>
      <c r="BS365" s="875">
        <f t="shared" si="239"/>
        <v>0</v>
      </c>
      <c r="BT365" s="875">
        <f t="shared" si="240"/>
        <v>0</v>
      </c>
      <c r="BU365" s="878">
        <f t="shared" si="264"/>
        <v>0</v>
      </c>
      <c r="CE365" s="486"/>
    </row>
    <row r="366" spans="1:83" s="177" customFormat="1" ht="21.95" customHeight="1" x14ac:dyDescent="0.2">
      <c r="A366" s="237">
        <f t="shared" si="241"/>
        <v>0</v>
      </c>
      <c r="B366" s="237">
        <f t="shared" si="242"/>
        <v>0</v>
      </c>
      <c r="C366" s="393">
        <f t="shared" si="227"/>
        <v>0</v>
      </c>
      <c r="D366" s="393" t="str">
        <f t="shared" si="228"/>
        <v xml:space="preserve">20 </v>
      </c>
      <c r="E366" s="967" t="s">
        <v>715</v>
      </c>
      <c r="F366" s="967" t="s">
        <v>724</v>
      </c>
      <c r="G366" s="967"/>
      <c r="H366" s="968"/>
      <c r="I366" s="968"/>
      <c r="J366" s="969">
        <v>28942.51</v>
      </c>
      <c r="K366" s="367">
        <v>0</v>
      </c>
      <c r="L366" s="367">
        <f>IF($H366="",0,VLOOKUP($E366,Plan3!$A$16:$CT$384,$E$7,0)%)</f>
        <v>0</v>
      </c>
      <c r="M366" s="368">
        <f t="shared" si="247"/>
        <v>0</v>
      </c>
      <c r="N366" s="368">
        <f t="shared" si="248"/>
        <v>0</v>
      </c>
      <c r="O366" s="367">
        <v>0</v>
      </c>
      <c r="P366" s="367">
        <f>VLOOKUP($E366,Plan3!$A$492:$P$858,13,0)%</f>
        <v>0</v>
      </c>
      <c r="Q366" s="368">
        <f t="shared" si="249"/>
        <v>0</v>
      </c>
      <c r="R366" s="368">
        <f t="shared" si="250"/>
        <v>0</v>
      </c>
      <c r="S366" s="880">
        <v>0</v>
      </c>
      <c r="T366" s="880">
        <f t="shared" si="251"/>
        <v>0</v>
      </c>
      <c r="U366" s="880">
        <f>IF($I366="",0,($S366-$T366)*(1+('Econômico Macro'!$R$12/100)))</f>
        <v>0</v>
      </c>
      <c r="V366" s="880">
        <f t="shared" si="252"/>
        <v>0</v>
      </c>
      <c r="W366" s="880">
        <f t="shared" si="253"/>
        <v>0</v>
      </c>
      <c r="X366" s="367">
        <f t="shared" si="229"/>
        <v>0</v>
      </c>
      <c r="Y366" s="367">
        <f t="shared" si="230"/>
        <v>0</v>
      </c>
      <c r="Z366" s="367">
        <f t="shared" si="231"/>
        <v>0</v>
      </c>
      <c r="AA366" s="367">
        <f t="shared" si="232"/>
        <v>0</v>
      </c>
      <c r="AB366" s="369" t="str">
        <f t="shared" si="233"/>
        <v>Não Iniciada</v>
      </c>
      <c r="AC366" s="365"/>
      <c r="AD366" s="368">
        <v>1</v>
      </c>
      <c r="AE366" s="368">
        <f t="shared" si="254"/>
        <v>-1</v>
      </c>
      <c r="AF366" s="365"/>
      <c r="AG366" s="863">
        <f t="shared" si="243"/>
        <v>0</v>
      </c>
      <c r="AH366" s="864">
        <f t="shared" si="255"/>
        <v>0</v>
      </c>
      <c r="AI366" s="863">
        <f t="shared" si="244"/>
        <v>0</v>
      </c>
      <c r="AJ366" s="864">
        <f t="shared" si="256"/>
        <v>0</v>
      </c>
      <c r="AK366" s="365"/>
      <c r="AL366" s="865">
        <f t="shared" si="245"/>
        <v>0</v>
      </c>
      <c r="AM366" s="866">
        <f t="shared" si="257"/>
        <v>0</v>
      </c>
      <c r="AN366" s="866">
        <f t="shared" si="258"/>
        <v>0</v>
      </c>
      <c r="AO366" s="866">
        <f t="shared" si="259"/>
        <v>0</v>
      </c>
      <c r="AP366" s="867">
        <f t="shared" si="260"/>
        <v>0</v>
      </c>
      <c r="AQ366" s="591"/>
      <c r="AR366" s="868"/>
      <c r="AS366" s="868"/>
      <c r="AT366" s="868"/>
      <c r="AU366" s="868"/>
      <c r="AV366" s="841"/>
      <c r="AW366" s="869"/>
      <c r="AX366" s="870"/>
      <c r="AY366" s="871"/>
      <c r="AZ366" s="237" t="str">
        <f t="shared" si="234"/>
        <v xml:space="preserve">20.002 </v>
      </c>
      <c r="BA366" s="365"/>
      <c r="BB366" s="365"/>
      <c r="BC366" s="365"/>
      <c r="BD366" s="365"/>
      <c r="BE366" s="365"/>
      <c r="BF366" s="365"/>
      <c r="BG366" s="365"/>
      <c r="BH366" s="365"/>
      <c r="BI366" s="365"/>
      <c r="BJ366" s="365"/>
      <c r="BK366" s="365"/>
      <c r="BL366" s="872">
        <f t="shared" si="235"/>
        <v>0</v>
      </c>
      <c r="BM366" s="873">
        <f t="shared" si="236"/>
        <v>0</v>
      </c>
      <c r="BN366" s="874">
        <f t="shared" si="261"/>
        <v>0</v>
      </c>
      <c r="BO366" s="875">
        <f t="shared" si="237"/>
        <v>0</v>
      </c>
      <c r="BP366" s="875">
        <f t="shared" si="238"/>
        <v>0</v>
      </c>
      <c r="BQ366" s="876">
        <f t="shared" si="262"/>
        <v>0</v>
      </c>
      <c r="BR366" s="877">
        <f t="shared" si="263"/>
        <v>0</v>
      </c>
      <c r="BS366" s="875">
        <f t="shared" si="239"/>
        <v>0</v>
      </c>
      <c r="BT366" s="875">
        <f t="shared" si="240"/>
        <v>0</v>
      </c>
      <c r="BU366" s="878">
        <f t="shared" si="264"/>
        <v>0</v>
      </c>
      <c r="CE366" s="486"/>
    </row>
    <row r="367" spans="1:83" s="177" customFormat="1" ht="21.95" customHeight="1" x14ac:dyDescent="0.2">
      <c r="A367" s="237">
        <f t="shared" si="241"/>
        <v>0</v>
      </c>
      <c r="B367" s="237">
        <f t="shared" si="242"/>
        <v>0</v>
      </c>
      <c r="C367" s="393">
        <f t="shared" si="227"/>
        <v>0</v>
      </c>
      <c r="D367" s="393" t="str">
        <f t="shared" si="228"/>
        <v xml:space="preserve">20 </v>
      </c>
      <c r="E367" s="959" t="s">
        <v>716</v>
      </c>
      <c r="F367" s="959" t="s">
        <v>511</v>
      </c>
      <c r="G367" s="959" t="s">
        <v>90</v>
      </c>
      <c r="H367" s="963">
        <v>1818.43</v>
      </c>
      <c r="I367" s="960">
        <v>8.5</v>
      </c>
      <c r="J367" s="962">
        <v>15456.66</v>
      </c>
      <c r="K367" s="367">
        <v>0</v>
      </c>
      <c r="L367" s="367">
        <f>IF($H367="",0,VLOOKUP($E367,Plan3!$A$16:$CT$384,$E$7,0)%)</f>
        <v>0</v>
      </c>
      <c r="M367" s="368">
        <f t="shared" si="247"/>
        <v>0</v>
      </c>
      <c r="N367" s="368">
        <f t="shared" si="248"/>
        <v>0</v>
      </c>
      <c r="O367" s="367">
        <v>0</v>
      </c>
      <c r="P367" s="367">
        <f>VLOOKUP($E367,Plan3!$A$492:$P$858,13,0)%</f>
        <v>0</v>
      </c>
      <c r="Q367" s="368">
        <f t="shared" si="249"/>
        <v>0</v>
      </c>
      <c r="R367" s="368">
        <f t="shared" si="250"/>
        <v>0</v>
      </c>
      <c r="S367" s="880">
        <v>15635.957256000002</v>
      </c>
      <c r="T367" s="880">
        <f t="shared" si="251"/>
        <v>0</v>
      </c>
      <c r="U367" s="880">
        <f>IF($I367="",0,($S367-$T367)*(1+('Econômico Macro'!$R$12/100)))</f>
        <v>15906.459316528802</v>
      </c>
      <c r="V367" s="880">
        <f t="shared" si="252"/>
        <v>15906.459316528802</v>
      </c>
      <c r="W367" s="880">
        <f t="shared" si="253"/>
        <v>0</v>
      </c>
      <c r="X367" s="367">
        <f t="shared" si="229"/>
        <v>0</v>
      </c>
      <c r="Y367" s="367">
        <f t="shared" si="230"/>
        <v>0</v>
      </c>
      <c r="Z367" s="367">
        <f t="shared" si="231"/>
        <v>0</v>
      </c>
      <c r="AA367" s="367">
        <f t="shared" si="232"/>
        <v>0</v>
      </c>
      <c r="AB367" s="369" t="str">
        <f t="shared" si="233"/>
        <v>Não Iniciada</v>
      </c>
      <c r="AC367" s="365"/>
      <c r="AD367" s="368">
        <v>1</v>
      </c>
      <c r="AE367" s="368">
        <f t="shared" si="254"/>
        <v>-1</v>
      </c>
      <c r="AF367" s="365"/>
      <c r="AG367" s="863">
        <f t="shared" si="243"/>
        <v>0</v>
      </c>
      <c r="AH367" s="864">
        <f t="shared" si="255"/>
        <v>0</v>
      </c>
      <c r="AI367" s="863">
        <f t="shared" si="244"/>
        <v>0</v>
      </c>
      <c r="AJ367" s="864">
        <f t="shared" si="256"/>
        <v>0</v>
      </c>
      <c r="AK367" s="365"/>
      <c r="AL367" s="865">
        <f t="shared" si="245"/>
        <v>0</v>
      </c>
      <c r="AM367" s="866">
        <f t="shared" si="257"/>
        <v>0</v>
      </c>
      <c r="AN367" s="866">
        <f t="shared" si="258"/>
        <v>0</v>
      </c>
      <c r="AO367" s="866">
        <f t="shared" si="259"/>
        <v>0</v>
      </c>
      <c r="AP367" s="867">
        <f t="shared" si="260"/>
        <v>0</v>
      </c>
      <c r="AQ367" s="591">
        <f t="shared" si="246"/>
        <v>0</v>
      </c>
      <c r="AR367" s="868">
        <f>IF(AND($L367=0,$P367=0)=TRUE,VLOOKUP($E367,Plan3!$A$16:$CT$487,$E$7+3,0)/100,0)</f>
        <v>0</v>
      </c>
      <c r="AS367" s="868">
        <f>IF(AND($L367=0,$P367=0)=TRUE,VLOOKUP($E367,Plan3!$A$16:$CT$487,$E$7+6,0)/100,0)</f>
        <v>0</v>
      </c>
      <c r="AT367" s="868">
        <f>IF(AND($L367=0,$P367=0)=TRUE,VLOOKUP($E367,Plan3!$A$16:$CT$487,$E$7+9,0)/100,0)</f>
        <v>0</v>
      </c>
      <c r="AU367" s="868">
        <f>IF(AND($L367=0,$P367=0)=TRUE,VLOOKUP($E367,Plan3!$A$16:$CT$487,$E$7+12,0)/100,0)</f>
        <v>0</v>
      </c>
      <c r="AV367" s="841"/>
      <c r="AW367" s="869">
        <f t="shared" si="265"/>
        <v>0</v>
      </c>
      <c r="AX367" s="870">
        <f t="shared" si="266"/>
        <v>0</v>
      </c>
      <c r="AY367" s="871">
        <f t="shared" si="267"/>
        <v>0</v>
      </c>
      <c r="AZ367" s="237" t="str">
        <f t="shared" si="234"/>
        <v xml:space="preserve">20.002.000.001 </v>
      </c>
      <c r="BA367" s="365"/>
      <c r="BB367" s="365"/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872">
        <f t="shared" si="235"/>
        <v>0</v>
      </c>
      <c r="BM367" s="873">
        <f t="shared" si="236"/>
        <v>0</v>
      </c>
      <c r="BN367" s="874">
        <f t="shared" si="261"/>
        <v>0</v>
      </c>
      <c r="BO367" s="875">
        <f t="shared" si="237"/>
        <v>0</v>
      </c>
      <c r="BP367" s="875">
        <f t="shared" si="238"/>
        <v>0</v>
      </c>
      <c r="BQ367" s="876">
        <f t="shared" si="262"/>
        <v>0</v>
      </c>
      <c r="BR367" s="877">
        <f t="shared" si="263"/>
        <v>0</v>
      </c>
      <c r="BS367" s="875">
        <f t="shared" si="239"/>
        <v>0</v>
      </c>
      <c r="BT367" s="875">
        <f t="shared" si="240"/>
        <v>0</v>
      </c>
      <c r="BU367" s="878">
        <f t="shared" si="264"/>
        <v>0</v>
      </c>
      <c r="CE367" s="486"/>
    </row>
    <row r="368" spans="1:83" s="177" customFormat="1" ht="21.95" customHeight="1" x14ac:dyDescent="0.2">
      <c r="A368" s="237">
        <f t="shared" si="241"/>
        <v>0</v>
      </c>
      <c r="B368" s="237">
        <f t="shared" si="242"/>
        <v>0</v>
      </c>
      <c r="C368" s="393">
        <f t="shared" si="227"/>
        <v>0</v>
      </c>
      <c r="D368" s="393" t="str">
        <f t="shared" si="228"/>
        <v xml:space="preserve">20 </v>
      </c>
      <c r="E368" s="959" t="s">
        <v>717</v>
      </c>
      <c r="F368" s="959" t="s">
        <v>151</v>
      </c>
      <c r="G368" s="959" t="s">
        <v>7</v>
      </c>
      <c r="H368" s="960">
        <v>1</v>
      </c>
      <c r="I368" s="963">
        <v>6432.78</v>
      </c>
      <c r="J368" s="964">
        <v>6432.78</v>
      </c>
      <c r="K368" s="367">
        <v>0</v>
      </c>
      <c r="L368" s="367">
        <f>IF($H368="",0,VLOOKUP($E368,Plan3!$A$16:$CT$384,$E$7,0)%)</f>
        <v>0</v>
      </c>
      <c r="M368" s="368">
        <f t="shared" si="247"/>
        <v>0</v>
      </c>
      <c r="N368" s="368">
        <f t="shared" si="248"/>
        <v>0</v>
      </c>
      <c r="O368" s="367">
        <v>0</v>
      </c>
      <c r="P368" s="367">
        <f>VLOOKUP($E368,Plan3!$A$492:$P$858,13,0)%</f>
        <v>0</v>
      </c>
      <c r="Q368" s="368">
        <f t="shared" si="249"/>
        <v>0</v>
      </c>
      <c r="R368" s="368">
        <f t="shared" si="250"/>
        <v>0</v>
      </c>
      <c r="S368" s="880">
        <v>6507.4002479999999</v>
      </c>
      <c r="T368" s="880">
        <f t="shared" si="251"/>
        <v>0</v>
      </c>
      <c r="U368" s="880">
        <f>IF($I368="",0,($S368-$T368)*(1+('Econômico Macro'!$R$12/100)))</f>
        <v>6619.9782722904001</v>
      </c>
      <c r="V368" s="880">
        <f t="shared" si="252"/>
        <v>6619.9782722904001</v>
      </c>
      <c r="W368" s="880">
        <f t="shared" si="253"/>
        <v>0</v>
      </c>
      <c r="X368" s="367">
        <f t="shared" si="229"/>
        <v>0</v>
      </c>
      <c r="Y368" s="367">
        <f t="shared" si="230"/>
        <v>0</v>
      </c>
      <c r="Z368" s="367">
        <f t="shared" si="231"/>
        <v>0</v>
      </c>
      <c r="AA368" s="367">
        <f t="shared" si="232"/>
        <v>0</v>
      </c>
      <c r="AB368" s="369" t="str">
        <f t="shared" si="233"/>
        <v>Não Iniciada</v>
      </c>
      <c r="AC368" s="365"/>
      <c r="AD368" s="368">
        <v>1</v>
      </c>
      <c r="AE368" s="368">
        <f t="shared" si="254"/>
        <v>-1</v>
      </c>
      <c r="AF368" s="365"/>
      <c r="AG368" s="863">
        <f t="shared" si="243"/>
        <v>0</v>
      </c>
      <c r="AH368" s="864">
        <f t="shared" si="255"/>
        <v>0</v>
      </c>
      <c r="AI368" s="863">
        <f t="shared" si="244"/>
        <v>0</v>
      </c>
      <c r="AJ368" s="864">
        <f t="shared" si="256"/>
        <v>0</v>
      </c>
      <c r="AK368" s="365"/>
      <c r="AL368" s="865">
        <f t="shared" si="245"/>
        <v>0</v>
      </c>
      <c r="AM368" s="866">
        <f t="shared" si="257"/>
        <v>0</v>
      </c>
      <c r="AN368" s="866">
        <f t="shared" si="258"/>
        <v>0</v>
      </c>
      <c r="AO368" s="866">
        <f t="shared" si="259"/>
        <v>0</v>
      </c>
      <c r="AP368" s="867">
        <f t="shared" si="260"/>
        <v>0</v>
      </c>
      <c r="AQ368" s="591">
        <f t="shared" si="246"/>
        <v>0</v>
      </c>
      <c r="AR368" s="868">
        <f>IF(AND($L368=0,$P368=0)=TRUE,VLOOKUP($E368,Plan3!$A$16:$CT$487,$E$7+3,0)/100,0)</f>
        <v>0</v>
      </c>
      <c r="AS368" s="868">
        <f>IF(AND($L368=0,$P368=0)=TRUE,VLOOKUP($E368,Plan3!$A$16:$CT$487,$E$7+6,0)/100,0)</f>
        <v>0</v>
      </c>
      <c r="AT368" s="868">
        <f>IF(AND($L368=0,$P368=0)=TRUE,VLOOKUP($E368,Plan3!$A$16:$CT$487,$E$7+9,0)/100,0)</f>
        <v>0</v>
      </c>
      <c r="AU368" s="868">
        <f>IF(AND($L368=0,$P368=0)=TRUE,VLOOKUP($E368,Plan3!$A$16:$CT$487,$E$7+12,0)/100,0)</f>
        <v>0</v>
      </c>
      <c r="AV368" s="841"/>
      <c r="AW368" s="869">
        <f t="shared" si="265"/>
        <v>0</v>
      </c>
      <c r="AX368" s="870">
        <f t="shared" si="266"/>
        <v>0</v>
      </c>
      <c r="AY368" s="871">
        <f t="shared" si="267"/>
        <v>0</v>
      </c>
      <c r="AZ368" s="237" t="str">
        <f t="shared" si="234"/>
        <v xml:space="preserve">20.002.000.002 </v>
      </c>
      <c r="BA368" s="365"/>
      <c r="BB368" s="365"/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872">
        <f t="shared" si="235"/>
        <v>0</v>
      </c>
      <c r="BM368" s="873">
        <f t="shared" si="236"/>
        <v>0</v>
      </c>
      <c r="BN368" s="874">
        <f t="shared" si="261"/>
        <v>0</v>
      </c>
      <c r="BO368" s="875">
        <f t="shared" si="237"/>
        <v>0</v>
      </c>
      <c r="BP368" s="875">
        <f t="shared" si="238"/>
        <v>0</v>
      </c>
      <c r="BQ368" s="876">
        <f t="shared" si="262"/>
        <v>0</v>
      </c>
      <c r="BR368" s="877">
        <f t="shared" si="263"/>
        <v>0</v>
      </c>
      <c r="BS368" s="875">
        <f t="shared" si="239"/>
        <v>0</v>
      </c>
      <c r="BT368" s="875">
        <f t="shared" si="240"/>
        <v>0</v>
      </c>
      <c r="BU368" s="878">
        <f t="shared" si="264"/>
        <v>0</v>
      </c>
      <c r="CE368" s="486"/>
    </row>
    <row r="369" spans="1:83" s="177" customFormat="1" ht="21.95" customHeight="1" x14ac:dyDescent="0.2">
      <c r="A369" s="237">
        <f t="shared" si="241"/>
        <v>0</v>
      </c>
      <c r="B369" s="237">
        <f t="shared" si="242"/>
        <v>0</v>
      </c>
      <c r="C369" s="393">
        <f t="shared" si="227"/>
        <v>0</v>
      </c>
      <c r="D369" s="393" t="str">
        <f t="shared" si="228"/>
        <v xml:space="preserve">20 </v>
      </c>
      <c r="E369" s="959" t="s">
        <v>2146</v>
      </c>
      <c r="F369" s="959" t="s">
        <v>2147</v>
      </c>
      <c r="G369" s="959" t="s">
        <v>90</v>
      </c>
      <c r="H369" s="963">
        <v>1448.21</v>
      </c>
      <c r="I369" s="960">
        <v>3.9013</v>
      </c>
      <c r="J369" s="964">
        <v>5649.9</v>
      </c>
      <c r="K369" s="367">
        <v>0</v>
      </c>
      <c r="L369" s="367">
        <f>IF($H369="",0,VLOOKUP($E369,Plan3!$A$16:$CT$384,$E$7,0)%)</f>
        <v>0</v>
      </c>
      <c r="M369" s="368">
        <f t="shared" si="247"/>
        <v>0</v>
      </c>
      <c r="N369" s="368">
        <f t="shared" si="248"/>
        <v>0</v>
      </c>
      <c r="O369" s="367">
        <v>0</v>
      </c>
      <c r="P369" s="367">
        <f>VLOOKUP($E369,Plan3!$A$492:$P$858,13,0)%</f>
        <v>0</v>
      </c>
      <c r="Q369" s="368">
        <f t="shared" si="249"/>
        <v>0</v>
      </c>
      <c r="R369" s="368">
        <f t="shared" si="250"/>
        <v>0</v>
      </c>
      <c r="S369" s="880">
        <v>5715.4388399999998</v>
      </c>
      <c r="T369" s="880">
        <f t="shared" si="251"/>
        <v>0</v>
      </c>
      <c r="U369" s="880">
        <f>IF($I369="",0,($S369-$T369)*(1+('Econômico Macro'!$R$12/100)))</f>
        <v>5814.3159319320002</v>
      </c>
      <c r="V369" s="880">
        <f t="shared" si="252"/>
        <v>5814.3159319320002</v>
      </c>
      <c r="W369" s="880">
        <f t="shared" si="253"/>
        <v>0</v>
      </c>
      <c r="X369" s="367">
        <f t="shared" si="229"/>
        <v>0</v>
      </c>
      <c r="Y369" s="367">
        <f t="shared" si="230"/>
        <v>0</v>
      </c>
      <c r="Z369" s="367">
        <f t="shared" si="231"/>
        <v>0</v>
      </c>
      <c r="AA369" s="367">
        <f t="shared" si="232"/>
        <v>0</v>
      </c>
      <c r="AB369" s="369" t="str">
        <f t="shared" si="233"/>
        <v>Não Iniciada</v>
      </c>
      <c r="AC369" s="365"/>
      <c r="AD369" s="368">
        <v>1</v>
      </c>
      <c r="AE369" s="368">
        <f t="shared" si="254"/>
        <v>-1</v>
      </c>
      <c r="AF369" s="365"/>
      <c r="AG369" s="863">
        <f t="shared" si="243"/>
        <v>0</v>
      </c>
      <c r="AH369" s="864">
        <f t="shared" si="255"/>
        <v>0</v>
      </c>
      <c r="AI369" s="863">
        <f t="shared" si="244"/>
        <v>0</v>
      </c>
      <c r="AJ369" s="864">
        <f t="shared" si="256"/>
        <v>0</v>
      </c>
      <c r="AK369" s="365"/>
      <c r="AL369" s="865">
        <f t="shared" si="245"/>
        <v>0</v>
      </c>
      <c r="AM369" s="866">
        <f t="shared" si="257"/>
        <v>0</v>
      </c>
      <c r="AN369" s="866">
        <f t="shared" si="258"/>
        <v>0</v>
      </c>
      <c r="AO369" s="866">
        <f t="shared" si="259"/>
        <v>0</v>
      </c>
      <c r="AP369" s="867">
        <f t="shared" si="260"/>
        <v>0</v>
      </c>
      <c r="AQ369" s="591">
        <f t="shared" si="246"/>
        <v>0</v>
      </c>
      <c r="AR369" s="868">
        <f>IF(AND($L369=0,$P369=0)=TRUE,VLOOKUP($E369,Plan3!$A$16:$CT$487,$E$7+3,0)/100,0)</f>
        <v>0</v>
      </c>
      <c r="AS369" s="868">
        <f>IF(AND($L369=0,$P369=0)=TRUE,VLOOKUP($E369,Plan3!$A$16:$CT$487,$E$7+6,0)/100,0)</f>
        <v>0</v>
      </c>
      <c r="AT369" s="868">
        <f>IF(AND($L369=0,$P369=0)=TRUE,VLOOKUP($E369,Plan3!$A$16:$CT$487,$E$7+9,0)/100,0)</f>
        <v>0</v>
      </c>
      <c r="AU369" s="868">
        <f>IF(AND($L369=0,$P369=0)=TRUE,VLOOKUP($E369,Plan3!$A$16:$CT$487,$E$7+12,0)/100,0)</f>
        <v>0</v>
      </c>
      <c r="AV369" s="841"/>
      <c r="AW369" s="869">
        <f t="shared" si="265"/>
        <v>0</v>
      </c>
      <c r="AX369" s="870">
        <f t="shared" si="266"/>
        <v>0</v>
      </c>
      <c r="AY369" s="871">
        <f t="shared" si="267"/>
        <v>0</v>
      </c>
      <c r="AZ369" s="237" t="str">
        <f t="shared" si="234"/>
        <v xml:space="preserve">20.002.000.003 </v>
      </c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872">
        <f t="shared" si="235"/>
        <v>0</v>
      </c>
      <c r="BM369" s="873">
        <f t="shared" si="236"/>
        <v>0</v>
      </c>
      <c r="BN369" s="874">
        <f t="shared" si="261"/>
        <v>0</v>
      </c>
      <c r="BO369" s="875">
        <f t="shared" si="237"/>
        <v>0</v>
      </c>
      <c r="BP369" s="875">
        <f t="shared" si="238"/>
        <v>0</v>
      </c>
      <c r="BQ369" s="876">
        <f t="shared" si="262"/>
        <v>0</v>
      </c>
      <c r="BR369" s="877">
        <f t="shared" si="263"/>
        <v>0</v>
      </c>
      <c r="BS369" s="875">
        <f t="shared" si="239"/>
        <v>0</v>
      </c>
      <c r="BT369" s="875">
        <f t="shared" si="240"/>
        <v>0</v>
      </c>
      <c r="BU369" s="878">
        <f t="shared" si="264"/>
        <v>0</v>
      </c>
      <c r="CE369" s="486"/>
    </row>
    <row r="370" spans="1:83" s="177" customFormat="1" ht="21.95" customHeight="1" x14ac:dyDescent="0.2">
      <c r="A370" s="237">
        <f t="shared" si="241"/>
        <v>0</v>
      </c>
      <c r="B370" s="237">
        <f t="shared" si="242"/>
        <v>0</v>
      </c>
      <c r="C370" s="393">
        <f t="shared" si="227"/>
        <v>0</v>
      </c>
      <c r="D370" s="393" t="str">
        <f t="shared" si="228"/>
        <v xml:space="preserve">20 </v>
      </c>
      <c r="E370" s="959" t="s">
        <v>2148</v>
      </c>
      <c r="F370" s="959" t="s">
        <v>2149</v>
      </c>
      <c r="G370" s="959" t="s">
        <v>90</v>
      </c>
      <c r="H370" s="970">
        <v>98.98</v>
      </c>
      <c r="I370" s="970">
        <v>14.176299999999999</v>
      </c>
      <c r="J370" s="964">
        <v>1403.17</v>
      </c>
      <c r="K370" s="367">
        <v>0</v>
      </c>
      <c r="L370" s="367">
        <f>IF($H370="",0,VLOOKUP($E370,Plan3!$A$16:$CT$384,$E$7,0)%)</f>
        <v>0</v>
      </c>
      <c r="M370" s="368">
        <f t="shared" si="247"/>
        <v>0</v>
      </c>
      <c r="N370" s="368">
        <f t="shared" si="248"/>
        <v>0</v>
      </c>
      <c r="O370" s="367">
        <v>0</v>
      </c>
      <c r="P370" s="367">
        <f>VLOOKUP($E370,Plan3!$A$492:$P$858,13,0)%</f>
        <v>0</v>
      </c>
      <c r="Q370" s="368">
        <f t="shared" si="249"/>
        <v>0</v>
      </c>
      <c r="R370" s="368">
        <f t="shared" si="250"/>
        <v>0</v>
      </c>
      <c r="S370" s="880">
        <v>1419.4467720000002</v>
      </c>
      <c r="T370" s="880">
        <f t="shared" si="251"/>
        <v>0</v>
      </c>
      <c r="U370" s="880">
        <f>IF($I370="",0,($S370-$T370)*(1+('Econômico Macro'!$R$12/100)))</f>
        <v>1444.0032011556004</v>
      </c>
      <c r="V370" s="880">
        <f t="shared" si="252"/>
        <v>1444.0032011556004</v>
      </c>
      <c r="W370" s="880">
        <f t="shared" si="253"/>
        <v>0</v>
      </c>
      <c r="X370" s="367">
        <f t="shared" si="229"/>
        <v>0</v>
      </c>
      <c r="Y370" s="367">
        <f t="shared" si="230"/>
        <v>0</v>
      </c>
      <c r="Z370" s="367">
        <f t="shared" si="231"/>
        <v>0</v>
      </c>
      <c r="AA370" s="367">
        <f t="shared" si="232"/>
        <v>0</v>
      </c>
      <c r="AB370" s="369" t="str">
        <f t="shared" si="233"/>
        <v>Não Iniciada</v>
      </c>
      <c r="AC370" s="365"/>
      <c r="AD370" s="368">
        <v>1</v>
      </c>
      <c r="AE370" s="368">
        <f t="shared" si="254"/>
        <v>-1</v>
      </c>
      <c r="AF370" s="365"/>
      <c r="AG370" s="863">
        <f t="shared" si="243"/>
        <v>0</v>
      </c>
      <c r="AH370" s="864">
        <f t="shared" si="255"/>
        <v>0</v>
      </c>
      <c r="AI370" s="863">
        <f t="shared" si="244"/>
        <v>0</v>
      </c>
      <c r="AJ370" s="864">
        <f t="shared" si="256"/>
        <v>0</v>
      </c>
      <c r="AK370" s="365"/>
      <c r="AL370" s="865">
        <f t="shared" si="245"/>
        <v>0</v>
      </c>
      <c r="AM370" s="866">
        <f t="shared" si="257"/>
        <v>0</v>
      </c>
      <c r="AN370" s="866">
        <f t="shared" si="258"/>
        <v>0</v>
      </c>
      <c r="AO370" s="866">
        <f t="shared" si="259"/>
        <v>0</v>
      </c>
      <c r="AP370" s="867">
        <f t="shared" si="260"/>
        <v>0</v>
      </c>
      <c r="AQ370" s="591">
        <f t="shared" si="246"/>
        <v>0</v>
      </c>
      <c r="AR370" s="868">
        <f>IF(AND($L370=0,$P370=0)=TRUE,VLOOKUP($E370,Plan3!$A$16:$CT$487,$E$7+3,0)/100,0)</f>
        <v>0</v>
      </c>
      <c r="AS370" s="868">
        <f>IF(AND($L370=0,$P370=0)=TRUE,VLOOKUP($E370,Plan3!$A$16:$CT$487,$E$7+6,0)/100,0)</f>
        <v>0</v>
      </c>
      <c r="AT370" s="868">
        <f>IF(AND($L370=0,$P370=0)=TRUE,VLOOKUP($E370,Plan3!$A$16:$CT$487,$E$7+9,0)/100,0)</f>
        <v>0</v>
      </c>
      <c r="AU370" s="868">
        <f>IF(AND($L370=0,$P370=0)=TRUE,VLOOKUP($E370,Plan3!$A$16:$CT$487,$E$7+12,0)/100,0)</f>
        <v>0</v>
      </c>
      <c r="AV370" s="841"/>
      <c r="AW370" s="869">
        <f t="shared" si="265"/>
        <v>0</v>
      </c>
      <c r="AX370" s="870">
        <f t="shared" si="266"/>
        <v>0</v>
      </c>
      <c r="AY370" s="871">
        <f t="shared" si="267"/>
        <v>0</v>
      </c>
      <c r="AZ370" s="237" t="str">
        <f t="shared" si="234"/>
        <v xml:space="preserve">20.002.000.004 </v>
      </c>
      <c r="BA370" s="365"/>
      <c r="BB370" s="365"/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872">
        <f t="shared" si="235"/>
        <v>0</v>
      </c>
      <c r="BM370" s="873">
        <f t="shared" si="236"/>
        <v>0</v>
      </c>
      <c r="BN370" s="874">
        <f t="shared" si="261"/>
        <v>0</v>
      </c>
      <c r="BO370" s="875">
        <f t="shared" si="237"/>
        <v>0</v>
      </c>
      <c r="BP370" s="875">
        <f t="shared" si="238"/>
        <v>0</v>
      </c>
      <c r="BQ370" s="876">
        <f t="shared" si="262"/>
        <v>0</v>
      </c>
      <c r="BR370" s="877">
        <f t="shared" si="263"/>
        <v>0</v>
      </c>
      <c r="BS370" s="875">
        <f t="shared" si="239"/>
        <v>0</v>
      </c>
      <c r="BT370" s="875">
        <f t="shared" si="240"/>
        <v>0</v>
      </c>
      <c r="BU370" s="878">
        <f t="shared" si="264"/>
        <v>0</v>
      </c>
      <c r="CE370" s="486"/>
    </row>
    <row r="371" spans="1:83" s="177" customFormat="1" ht="21.95" customHeight="1" x14ac:dyDescent="0.2">
      <c r="A371" s="237">
        <f t="shared" si="241"/>
        <v>0</v>
      </c>
      <c r="B371" s="237">
        <f t="shared" si="242"/>
        <v>0</v>
      </c>
      <c r="C371" s="393">
        <f t="shared" si="227"/>
        <v>0</v>
      </c>
      <c r="D371" s="393" t="str">
        <f t="shared" si="228"/>
        <v xml:space="preserve">20 </v>
      </c>
      <c r="E371" s="967" t="s">
        <v>718</v>
      </c>
      <c r="F371" s="967" t="s">
        <v>1535</v>
      </c>
      <c r="G371" s="967"/>
      <c r="H371" s="968"/>
      <c r="I371" s="968"/>
      <c r="J371" s="971">
        <v>112333.1</v>
      </c>
      <c r="K371" s="367">
        <v>0</v>
      </c>
      <c r="L371" s="367">
        <f>IF($H371="",0,VLOOKUP($E371,Plan3!$A$16:$CT$384,$E$7,0)%)</f>
        <v>0</v>
      </c>
      <c r="M371" s="368">
        <f t="shared" si="247"/>
        <v>0</v>
      </c>
      <c r="N371" s="368">
        <f t="shared" si="248"/>
        <v>0</v>
      </c>
      <c r="O371" s="367">
        <v>0</v>
      </c>
      <c r="P371" s="367">
        <f>VLOOKUP($E371,Plan3!$A$492:$P$858,13,0)%</f>
        <v>0</v>
      </c>
      <c r="Q371" s="368">
        <f t="shared" si="249"/>
        <v>0</v>
      </c>
      <c r="R371" s="368">
        <f t="shared" si="250"/>
        <v>0</v>
      </c>
      <c r="S371" s="880">
        <v>0</v>
      </c>
      <c r="T371" s="880">
        <f t="shared" si="251"/>
        <v>0</v>
      </c>
      <c r="U371" s="880">
        <f>IF($I371="",0,($S371-$T371)*(1+('Econômico Macro'!$R$12/100)))</f>
        <v>0</v>
      </c>
      <c r="V371" s="880">
        <f t="shared" si="252"/>
        <v>0</v>
      </c>
      <c r="W371" s="880">
        <f t="shared" si="253"/>
        <v>0</v>
      </c>
      <c r="X371" s="367">
        <f t="shared" si="229"/>
        <v>0</v>
      </c>
      <c r="Y371" s="367">
        <f t="shared" si="230"/>
        <v>0</v>
      </c>
      <c r="Z371" s="367">
        <f t="shared" si="231"/>
        <v>0</v>
      </c>
      <c r="AA371" s="367">
        <f t="shared" si="232"/>
        <v>0</v>
      </c>
      <c r="AB371" s="369" t="str">
        <f t="shared" si="233"/>
        <v>Não Iniciada</v>
      </c>
      <c r="AC371" s="365"/>
      <c r="AD371" s="368">
        <v>1</v>
      </c>
      <c r="AE371" s="368">
        <f t="shared" si="254"/>
        <v>-1</v>
      </c>
      <c r="AF371" s="365"/>
      <c r="AG371" s="863">
        <f t="shared" si="243"/>
        <v>0</v>
      </c>
      <c r="AH371" s="864">
        <f t="shared" si="255"/>
        <v>0</v>
      </c>
      <c r="AI371" s="863">
        <f t="shared" si="244"/>
        <v>0</v>
      </c>
      <c r="AJ371" s="864">
        <f t="shared" si="256"/>
        <v>0</v>
      </c>
      <c r="AK371" s="365"/>
      <c r="AL371" s="865">
        <f t="shared" si="245"/>
        <v>0</v>
      </c>
      <c r="AM371" s="866">
        <f t="shared" si="257"/>
        <v>0</v>
      </c>
      <c r="AN371" s="866">
        <f t="shared" si="258"/>
        <v>0</v>
      </c>
      <c r="AO371" s="866">
        <f t="shared" si="259"/>
        <v>0</v>
      </c>
      <c r="AP371" s="867">
        <f t="shared" si="260"/>
        <v>0</v>
      </c>
      <c r="AQ371" s="591"/>
      <c r="AR371" s="868"/>
      <c r="AS371" s="868"/>
      <c r="AT371" s="868"/>
      <c r="AU371" s="868"/>
      <c r="AV371" s="841"/>
      <c r="AW371" s="869"/>
      <c r="AX371" s="870"/>
      <c r="AY371" s="871"/>
      <c r="AZ371" s="237" t="str">
        <f t="shared" si="234"/>
        <v xml:space="preserve">20.003 </v>
      </c>
      <c r="BA371" s="365"/>
      <c r="BB371" s="365"/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872">
        <f t="shared" si="235"/>
        <v>0</v>
      </c>
      <c r="BM371" s="873">
        <f t="shared" si="236"/>
        <v>0</v>
      </c>
      <c r="BN371" s="874">
        <f t="shared" si="261"/>
        <v>0</v>
      </c>
      <c r="BO371" s="875">
        <f t="shared" si="237"/>
        <v>0</v>
      </c>
      <c r="BP371" s="875">
        <f t="shared" si="238"/>
        <v>0</v>
      </c>
      <c r="BQ371" s="876">
        <f t="shared" si="262"/>
        <v>0</v>
      </c>
      <c r="BR371" s="877">
        <f t="shared" si="263"/>
        <v>0</v>
      </c>
      <c r="BS371" s="875">
        <f t="shared" si="239"/>
        <v>0</v>
      </c>
      <c r="BT371" s="875">
        <f t="shared" si="240"/>
        <v>0</v>
      </c>
      <c r="BU371" s="878">
        <f t="shared" si="264"/>
        <v>0</v>
      </c>
      <c r="CE371" s="486"/>
    </row>
    <row r="372" spans="1:83" s="177" customFormat="1" ht="21.95" customHeight="1" x14ac:dyDescent="0.2">
      <c r="A372" s="237">
        <f t="shared" si="241"/>
        <v>0</v>
      </c>
      <c r="B372" s="237">
        <f t="shared" si="242"/>
        <v>0</v>
      </c>
      <c r="C372" s="393">
        <f t="shared" si="227"/>
        <v>0</v>
      </c>
      <c r="D372" s="393" t="str">
        <f t="shared" si="228"/>
        <v xml:space="preserve">20 </v>
      </c>
      <c r="E372" s="959" t="s">
        <v>720</v>
      </c>
      <c r="F372" s="959" t="s">
        <v>2337</v>
      </c>
      <c r="G372" s="959" t="s">
        <v>7</v>
      </c>
      <c r="H372" s="960">
        <v>1</v>
      </c>
      <c r="I372" s="963">
        <v>7000</v>
      </c>
      <c r="J372" s="964">
        <v>7000</v>
      </c>
      <c r="K372" s="367">
        <v>0</v>
      </c>
      <c r="L372" s="367">
        <f>IF($H372="",0,VLOOKUP($E372,Plan3!$A$16:$CT$384,$E$7,0)%)</f>
        <v>0</v>
      </c>
      <c r="M372" s="368">
        <f t="shared" si="247"/>
        <v>0</v>
      </c>
      <c r="N372" s="368">
        <f t="shared" si="248"/>
        <v>0</v>
      </c>
      <c r="O372" s="367">
        <v>0</v>
      </c>
      <c r="P372" s="367">
        <f>VLOOKUP($E372,Plan3!$A$492:$P$858,13,0)%</f>
        <v>0</v>
      </c>
      <c r="Q372" s="368">
        <f t="shared" si="249"/>
        <v>0</v>
      </c>
      <c r="R372" s="368">
        <f t="shared" si="250"/>
        <v>0</v>
      </c>
      <c r="S372" s="880">
        <v>7081.2000000000007</v>
      </c>
      <c r="T372" s="880">
        <f t="shared" si="251"/>
        <v>0</v>
      </c>
      <c r="U372" s="880">
        <f>IF($I372="",0,($S372-$T372)*(1+('Econômico Macro'!$R$12/100)))</f>
        <v>7203.7047600000014</v>
      </c>
      <c r="V372" s="880">
        <f t="shared" si="252"/>
        <v>7203.7047600000014</v>
      </c>
      <c r="W372" s="880">
        <f t="shared" si="253"/>
        <v>0</v>
      </c>
      <c r="X372" s="367">
        <f t="shared" si="229"/>
        <v>0</v>
      </c>
      <c r="Y372" s="367">
        <f t="shared" si="230"/>
        <v>0</v>
      </c>
      <c r="Z372" s="367">
        <f t="shared" si="231"/>
        <v>0</v>
      </c>
      <c r="AA372" s="367">
        <f t="shared" si="232"/>
        <v>0</v>
      </c>
      <c r="AB372" s="369" t="str">
        <f t="shared" si="233"/>
        <v>Não Iniciada</v>
      </c>
      <c r="AC372" s="365"/>
      <c r="AD372" s="368">
        <v>1</v>
      </c>
      <c r="AE372" s="368">
        <f t="shared" si="254"/>
        <v>-1</v>
      </c>
      <c r="AF372" s="365"/>
      <c r="AG372" s="863">
        <f t="shared" si="243"/>
        <v>0</v>
      </c>
      <c r="AH372" s="864">
        <f t="shared" si="255"/>
        <v>0</v>
      </c>
      <c r="AI372" s="863">
        <f t="shared" si="244"/>
        <v>0</v>
      </c>
      <c r="AJ372" s="864">
        <f t="shared" si="256"/>
        <v>0</v>
      </c>
      <c r="AK372" s="365"/>
      <c r="AL372" s="865">
        <f t="shared" si="245"/>
        <v>0</v>
      </c>
      <c r="AM372" s="866">
        <f t="shared" si="257"/>
        <v>0</v>
      </c>
      <c r="AN372" s="866">
        <f t="shared" si="258"/>
        <v>0</v>
      </c>
      <c r="AO372" s="866">
        <f t="shared" si="259"/>
        <v>0</v>
      </c>
      <c r="AP372" s="867">
        <f t="shared" si="260"/>
        <v>0</v>
      </c>
      <c r="AQ372" s="591">
        <f t="shared" si="246"/>
        <v>0</v>
      </c>
      <c r="AR372" s="868">
        <f>IF(AND($L372=0,$P372=0)=TRUE,VLOOKUP($E372,Plan3!$A$16:$CT$487,$E$7+3,0)/100,0)</f>
        <v>0</v>
      </c>
      <c r="AS372" s="868">
        <f>IF(AND($L372=0,$P372=0)=TRUE,VLOOKUP($E372,Plan3!$A$16:$CT$487,$E$7+6,0)/100,0)</f>
        <v>0</v>
      </c>
      <c r="AT372" s="868">
        <f>IF(AND($L372=0,$P372=0)=TRUE,VLOOKUP($E372,Plan3!$A$16:$CT$487,$E$7+9,0)/100,0)</f>
        <v>0</v>
      </c>
      <c r="AU372" s="868">
        <f>IF(AND($L372=0,$P372=0)=TRUE,VLOOKUP($E372,Plan3!$A$16:$CT$487,$E$7+12,0)/100,0)</f>
        <v>0</v>
      </c>
      <c r="AV372" s="841"/>
      <c r="AW372" s="869">
        <f t="shared" si="265"/>
        <v>0</v>
      </c>
      <c r="AX372" s="870">
        <f t="shared" si="266"/>
        <v>0</v>
      </c>
      <c r="AY372" s="871">
        <f t="shared" si="267"/>
        <v>0</v>
      </c>
      <c r="AZ372" s="237" t="str">
        <f t="shared" si="234"/>
        <v xml:space="preserve">20.003.000.001 </v>
      </c>
      <c r="BA372" s="365"/>
      <c r="BB372" s="365"/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872">
        <f t="shared" si="235"/>
        <v>0</v>
      </c>
      <c r="BM372" s="873">
        <f t="shared" si="236"/>
        <v>0</v>
      </c>
      <c r="BN372" s="874">
        <f t="shared" si="261"/>
        <v>0</v>
      </c>
      <c r="BO372" s="875">
        <f t="shared" si="237"/>
        <v>0</v>
      </c>
      <c r="BP372" s="875">
        <f t="shared" si="238"/>
        <v>0</v>
      </c>
      <c r="BQ372" s="876">
        <f t="shared" si="262"/>
        <v>0</v>
      </c>
      <c r="BR372" s="877">
        <f t="shared" si="263"/>
        <v>0</v>
      </c>
      <c r="BS372" s="875">
        <f t="shared" si="239"/>
        <v>0</v>
      </c>
      <c r="BT372" s="875">
        <f t="shared" si="240"/>
        <v>0</v>
      </c>
      <c r="BU372" s="878">
        <f t="shared" si="264"/>
        <v>0</v>
      </c>
      <c r="CE372" s="486"/>
    </row>
    <row r="373" spans="1:83" s="177" customFormat="1" ht="21.95" customHeight="1" x14ac:dyDescent="0.2">
      <c r="A373" s="237">
        <f t="shared" si="241"/>
        <v>0</v>
      </c>
      <c r="B373" s="237">
        <f t="shared" si="242"/>
        <v>0</v>
      </c>
      <c r="C373" s="393">
        <f t="shared" si="227"/>
        <v>0</v>
      </c>
      <c r="D373" s="393" t="str">
        <f t="shared" si="228"/>
        <v xml:space="preserve">20 </v>
      </c>
      <c r="E373" s="959" t="s">
        <v>721</v>
      </c>
      <c r="F373" s="959" t="s">
        <v>514</v>
      </c>
      <c r="G373" s="959" t="s">
        <v>8</v>
      </c>
      <c r="H373" s="970">
        <v>12</v>
      </c>
      <c r="I373" s="970">
        <v>25</v>
      </c>
      <c r="J373" s="966">
        <v>300</v>
      </c>
      <c r="K373" s="367">
        <v>0</v>
      </c>
      <c r="L373" s="367">
        <f>IF($H373="",0,VLOOKUP($E373,Plan3!$A$16:$CT$384,$E$7,0)%)</f>
        <v>0</v>
      </c>
      <c r="M373" s="368">
        <f t="shared" si="247"/>
        <v>0</v>
      </c>
      <c r="N373" s="368">
        <f t="shared" si="248"/>
        <v>0</v>
      </c>
      <c r="O373" s="367">
        <v>0</v>
      </c>
      <c r="P373" s="367">
        <f>VLOOKUP($E373,Plan3!$A$492:$P$858,13,0)%</f>
        <v>0</v>
      </c>
      <c r="Q373" s="368">
        <f t="shared" si="249"/>
        <v>0</v>
      </c>
      <c r="R373" s="368">
        <f t="shared" si="250"/>
        <v>0</v>
      </c>
      <c r="S373" s="880">
        <v>303.48</v>
      </c>
      <c r="T373" s="880">
        <f t="shared" si="251"/>
        <v>0</v>
      </c>
      <c r="U373" s="880">
        <f>IF($I373="",0,($S373-$T373)*(1+('Econômico Macro'!$R$12/100)))</f>
        <v>308.73020400000007</v>
      </c>
      <c r="V373" s="880">
        <f t="shared" si="252"/>
        <v>308.73020400000007</v>
      </c>
      <c r="W373" s="880">
        <f t="shared" si="253"/>
        <v>0</v>
      </c>
      <c r="X373" s="367">
        <f t="shared" si="229"/>
        <v>0</v>
      </c>
      <c r="Y373" s="367">
        <f t="shared" si="230"/>
        <v>0</v>
      </c>
      <c r="Z373" s="367">
        <f t="shared" si="231"/>
        <v>0</v>
      </c>
      <c r="AA373" s="367">
        <f t="shared" si="232"/>
        <v>0</v>
      </c>
      <c r="AB373" s="369" t="str">
        <f t="shared" si="233"/>
        <v>Não Iniciada</v>
      </c>
      <c r="AC373" s="365"/>
      <c r="AD373" s="368">
        <v>1</v>
      </c>
      <c r="AE373" s="368">
        <f t="shared" si="254"/>
        <v>-1</v>
      </c>
      <c r="AF373" s="365"/>
      <c r="AG373" s="863">
        <f t="shared" si="243"/>
        <v>0</v>
      </c>
      <c r="AH373" s="864">
        <f t="shared" si="255"/>
        <v>0</v>
      </c>
      <c r="AI373" s="863">
        <f t="shared" si="244"/>
        <v>0</v>
      </c>
      <c r="AJ373" s="864">
        <f t="shared" si="256"/>
        <v>0</v>
      </c>
      <c r="AK373" s="365"/>
      <c r="AL373" s="865">
        <f t="shared" si="245"/>
        <v>0</v>
      </c>
      <c r="AM373" s="866">
        <f t="shared" si="257"/>
        <v>0</v>
      </c>
      <c r="AN373" s="866">
        <f t="shared" si="258"/>
        <v>0</v>
      </c>
      <c r="AO373" s="866">
        <f t="shared" si="259"/>
        <v>0</v>
      </c>
      <c r="AP373" s="867">
        <f t="shared" si="260"/>
        <v>0</v>
      </c>
      <c r="AQ373" s="591">
        <f t="shared" si="246"/>
        <v>0</v>
      </c>
      <c r="AR373" s="868">
        <f>IF(AND($L373=0,$P373=0)=TRUE,VLOOKUP($E373,Plan3!$A$16:$CT$487,$E$7+3,0)/100,0)</f>
        <v>0</v>
      </c>
      <c r="AS373" s="868">
        <f>IF(AND($L373=0,$P373=0)=TRUE,VLOOKUP($E373,Plan3!$A$16:$CT$487,$E$7+6,0)/100,0)</f>
        <v>0</v>
      </c>
      <c r="AT373" s="868">
        <f>IF(AND($L373=0,$P373=0)=TRUE,VLOOKUP($E373,Plan3!$A$16:$CT$487,$E$7+9,0)/100,0)</f>
        <v>0</v>
      </c>
      <c r="AU373" s="868">
        <f>IF(AND($L373=0,$P373=0)=TRUE,VLOOKUP($E373,Plan3!$A$16:$CT$487,$E$7+12,0)/100,0)</f>
        <v>0</v>
      </c>
      <c r="AV373" s="841"/>
      <c r="AW373" s="869">
        <f t="shared" si="265"/>
        <v>0</v>
      </c>
      <c r="AX373" s="870">
        <f t="shared" si="266"/>
        <v>0</v>
      </c>
      <c r="AY373" s="871">
        <f t="shared" si="267"/>
        <v>0</v>
      </c>
      <c r="AZ373" s="237" t="str">
        <f t="shared" si="234"/>
        <v xml:space="preserve">20.003.000.002 </v>
      </c>
      <c r="BA373" s="365"/>
      <c r="BB373" s="365"/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872">
        <f t="shared" si="235"/>
        <v>0</v>
      </c>
      <c r="BM373" s="873">
        <f t="shared" si="236"/>
        <v>0</v>
      </c>
      <c r="BN373" s="874">
        <f t="shared" si="261"/>
        <v>0</v>
      </c>
      <c r="BO373" s="875">
        <f t="shared" si="237"/>
        <v>0</v>
      </c>
      <c r="BP373" s="875">
        <f t="shared" si="238"/>
        <v>0</v>
      </c>
      <c r="BQ373" s="876">
        <f t="shared" si="262"/>
        <v>0</v>
      </c>
      <c r="BR373" s="877">
        <f t="shared" si="263"/>
        <v>0</v>
      </c>
      <c r="BS373" s="875">
        <f t="shared" si="239"/>
        <v>0</v>
      </c>
      <c r="BT373" s="875">
        <f t="shared" si="240"/>
        <v>0</v>
      </c>
      <c r="BU373" s="878">
        <f t="shared" si="264"/>
        <v>0</v>
      </c>
      <c r="CE373" s="486"/>
    </row>
    <row r="374" spans="1:83" s="177" customFormat="1" ht="21.95" customHeight="1" x14ac:dyDescent="0.2">
      <c r="A374" s="237">
        <f t="shared" si="241"/>
        <v>0</v>
      </c>
      <c r="B374" s="237">
        <f t="shared" si="242"/>
        <v>0</v>
      </c>
      <c r="C374" s="393">
        <f t="shared" si="227"/>
        <v>0</v>
      </c>
      <c r="D374" s="393" t="str">
        <f t="shared" si="228"/>
        <v xml:space="preserve">20 </v>
      </c>
      <c r="E374" s="959" t="s">
        <v>815</v>
      </c>
      <c r="F374" s="959" t="s">
        <v>2338</v>
      </c>
      <c r="G374" s="959" t="s">
        <v>8</v>
      </c>
      <c r="H374" s="960">
        <v>1</v>
      </c>
      <c r="I374" s="963">
        <v>2238</v>
      </c>
      <c r="J374" s="964">
        <v>2238</v>
      </c>
      <c r="K374" s="367">
        <v>0</v>
      </c>
      <c r="L374" s="367">
        <f>IF($H374="",0,VLOOKUP($E374,Plan3!$A$16:$CT$384,$E$7,0)%)</f>
        <v>0</v>
      </c>
      <c r="M374" s="368">
        <f t="shared" si="247"/>
        <v>0</v>
      </c>
      <c r="N374" s="368">
        <f t="shared" si="248"/>
        <v>0</v>
      </c>
      <c r="O374" s="367">
        <v>0</v>
      </c>
      <c r="P374" s="367">
        <f>VLOOKUP($E374,Plan3!$A$492:$P$858,13,0)%</f>
        <v>0</v>
      </c>
      <c r="Q374" s="368">
        <f t="shared" si="249"/>
        <v>0</v>
      </c>
      <c r="R374" s="368">
        <f t="shared" si="250"/>
        <v>0</v>
      </c>
      <c r="S374" s="880">
        <v>2263.9608000000003</v>
      </c>
      <c r="T374" s="880">
        <f t="shared" si="251"/>
        <v>0</v>
      </c>
      <c r="U374" s="880">
        <f>IF($I374="",0,($S374-$T374)*(1+('Econômico Macro'!$R$12/100)))</f>
        <v>2303.1273218400006</v>
      </c>
      <c r="V374" s="880">
        <f t="shared" si="252"/>
        <v>2303.1273218400006</v>
      </c>
      <c r="W374" s="880">
        <f t="shared" si="253"/>
        <v>0</v>
      </c>
      <c r="X374" s="367">
        <f t="shared" si="229"/>
        <v>0</v>
      </c>
      <c r="Y374" s="367">
        <f t="shared" si="230"/>
        <v>0</v>
      </c>
      <c r="Z374" s="367">
        <f t="shared" si="231"/>
        <v>0</v>
      </c>
      <c r="AA374" s="367">
        <f t="shared" si="232"/>
        <v>0</v>
      </c>
      <c r="AB374" s="369" t="str">
        <f t="shared" si="233"/>
        <v>Não Iniciada</v>
      </c>
      <c r="AC374" s="365"/>
      <c r="AD374" s="368">
        <v>1</v>
      </c>
      <c r="AE374" s="368">
        <f t="shared" si="254"/>
        <v>-1</v>
      </c>
      <c r="AF374" s="365"/>
      <c r="AG374" s="863">
        <f t="shared" si="243"/>
        <v>0</v>
      </c>
      <c r="AH374" s="864">
        <f t="shared" si="255"/>
        <v>0</v>
      </c>
      <c r="AI374" s="863">
        <f t="shared" si="244"/>
        <v>0</v>
      </c>
      <c r="AJ374" s="864">
        <f t="shared" si="256"/>
        <v>0</v>
      </c>
      <c r="AK374" s="365"/>
      <c r="AL374" s="865">
        <f t="shared" si="245"/>
        <v>0</v>
      </c>
      <c r="AM374" s="866">
        <f t="shared" si="257"/>
        <v>0</v>
      </c>
      <c r="AN374" s="866">
        <f t="shared" si="258"/>
        <v>0</v>
      </c>
      <c r="AO374" s="866">
        <f t="shared" si="259"/>
        <v>0</v>
      </c>
      <c r="AP374" s="867">
        <f t="shared" si="260"/>
        <v>0</v>
      </c>
      <c r="AQ374" s="591">
        <f t="shared" si="246"/>
        <v>0</v>
      </c>
      <c r="AR374" s="868">
        <f>IF(AND($L374=0,$P374=0)=TRUE,VLOOKUP($E374,Plan3!$A$16:$CT$487,$E$7+3,0)/100,0)</f>
        <v>0</v>
      </c>
      <c r="AS374" s="868">
        <f>IF(AND($L374=0,$P374=0)=TRUE,VLOOKUP($E374,Plan3!$A$16:$CT$487,$E$7+6,0)/100,0)</f>
        <v>0</v>
      </c>
      <c r="AT374" s="868">
        <f>IF(AND($L374=0,$P374=0)=TRUE,VLOOKUP($E374,Plan3!$A$16:$CT$487,$E$7+9,0)/100,0)</f>
        <v>0</v>
      </c>
      <c r="AU374" s="868">
        <f>IF(AND($L374=0,$P374=0)=TRUE,VLOOKUP($E374,Plan3!$A$16:$CT$487,$E$7+12,0)/100,0)</f>
        <v>0</v>
      </c>
      <c r="AV374" s="841"/>
      <c r="AW374" s="869">
        <f t="shared" si="265"/>
        <v>0</v>
      </c>
      <c r="AX374" s="870">
        <f t="shared" si="266"/>
        <v>0</v>
      </c>
      <c r="AY374" s="871">
        <f t="shared" si="267"/>
        <v>0</v>
      </c>
      <c r="AZ374" s="237" t="str">
        <f t="shared" si="234"/>
        <v xml:space="preserve">20.003.000.003 </v>
      </c>
      <c r="BA374" s="365"/>
      <c r="BB374" s="365"/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872">
        <f t="shared" si="235"/>
        <v>0</v>
      </c>
      <c r="BM374" s="873">
        <f t="shared" si="236"/>
        <v>0</v>
      </c>
      <c r="BN374" s="874">
        <f t="shared" si="261"/>
        <v>0</v>
      </c>
      <c r="BO374" s="875">
        <f t="shared" si="237"/>
        <v>0</v>
      </c>
      <c r="BP374" s="875">
        <f t="shared" si="238"/>
        <v>0</v>
      </c>
      <c r="BQ374" s="876">
        <f t="shared" si="262"/>
        <v>0</v>
      </c>
      <c r="BR374" s="877">
        <f t="shared" si="263"/>
        <v>0</v>
      </c>
      <c r="BS374" s="875">
        <f t="shared" si="239"/>
        <v>0</v>
      </c>
      <c r="BT374" s="875">
        <f t="shared" si="240"/>
        <v>0</v>
      </c>
      <c r="BU374" s="878">
        <f t="shared" si="264"/>
        <v>0</v>
      </c>
      <c r="CE374" s="486"/>
    </row>
    <row r="375" spans="1:83" s="177" customFormat="1" ht="21.95" customHeight="1" x14ac:dyDescent="0.2">
      <c r="A375" s="237">
        <f t="shared" si="241"/>
        <v>0</v>
      </c>
      <c r="B375" s="237">
        <f t="shared" si="242"/>
        <v>0</v>
      </c>
      <c r="C375" s="393">
        <f t="shared" si="227"/>
        <v>0</v>
      </c>
      <c r="D375" s="393" t="str">
        <f t="shared" si="228"/>
        <v xml:space="preserve">20 </v>
      </c>
      <c r="E375" s="959" t="s">
        <v>816</v>
      </c>
      <c r="F375" s="959" t="s">
        <v>2339</v>
      </c>
      <c r="G375" s="959" t="s">
        <v>8</v>
      </c>
      <c r="H375" s="960">
        <v>2</v>
      </c>
      <c r="I375" s="963">
        <v>2009</v>
      </c>
      <c r="J375" s="964">
        <v>4018</v>
      </c>
      <c r="K375" s="367">
        <v>0</v>
      </c>
      <c r="L375" s="367">
        <f>IF($H375="",0,VLOOKUP($E375,Plan3!$A$16:$CT$384,$E$7,0)%)</f>
        <v>0</v>
      </c>
      <c r="M375" s="368">
        <f t="shared" si="247"/>
        <v>0</v>
      </c>
      <c r="N375" s="368">
        <f t="shared" si="248"/>
        <v>0</v>
      </c>
      <c r="O375" s="367">
        <v>0</v>
      </c>
      <c r="P375" s="367">
        <f>VLOOKUP($E375,Plan3!$A$492:$P$858,13,0)%</f>
        <v>0</v>
      </c>
      <c r="Q375" s="368">
        <f t="shared" si="249"/>
        <v>0</v>
      </c>
      <c r="R375" s="368">
        <f t="shared" si="250"/>
        <v>0</v>
      </c>
      <c r="S375" s="880">
        <v>4064.6088000000004</v>
      </c>
      <c r="T375" s="880">
        <f t="shared" si="251"/>
        <v>0</v>
      </c>
      <c r="U375" s="880">
        <f>IF($I375="",0,($S375-$T375)*(1+('Econômico Macro'!$R$12/100)))</f>
        <v>4134.9265322400006</v>
      </c>
      <c r="V375" s="880">
        <f t="shared" si="252"/>
        <v>4134.9265322400006</v>
      </c>
      <c r="W375" s="880">
        <f t="shared" si="253"/>
        <v>0</v>
      </c>
      <c r="X375" s="367">
        <f t="shared" si="229"/>
        <v>0</v>
      </c>
      <c r="Y375" s="367">
        <f t="shared" si="230"/>
        <v>0</v>
      </c>
      <c r="Z375" s="367">
        <f t="shared" si="231"/>
        <v>0</v>
      </c>
      <c r="AA375" s="367">
        <f t="shared" si="232"/>
        <v>0</v>
      </c>
      <c r="AB375" s="369" t="str">
        <f t="shared" si="233"/>
        <v>Não Iniciada</v>
      </c>
      <c r="AC375" s="365"/>
      <c r="AD375" s="368">
        <v>1</v>
      </c>
      <c r="AE375" s="368">
        <f t="shared" si="254"/>
        <v>-1</v>
      </c>
      <c r="AF375" s="365"/>
      <c r="AG375" s="863">
        <f t="shared" si="243"/>
        <v>0</v>
      </c>
      <c r="AH375" s="864">
        <f t="shared" si="255"/>
        <v>0</v>
      </c>
      <c r="AI375" s="863">
        <f t="shared" si="244"/>
        <v>0</v>
      </c>
      <c r="AJ375" s="864">
        <f t="shared" si="256"/>
        <v>0</v>
      </c>
      <c r="AK375" s="365"/>
      <c r="AL375" s="865">
        <f t="shared" si="245"/>
        <v>0</v>
      </c>
      <c r="AM375" s="866">
        <f t="shared" si="257"/>
        <v>0</v>
      </c>
      <c r="AN375" s="866">
        <f t="shared" si="258"/>
        <v>0</v>
      </c>
      <c r="AO375" s="866">
        <f t="shared" si="259"/>
        <v>0</v>
      </c>
      <c r="AP375" s="867">
        <f t="shared" si="260"/>
        <v>0</v>
      </c>
      <c r="AQ375" s="591">
        <f t="shared" si="246"/>
        <v>0</v>
      </c>
      <c r="AR375" s="868">
        <f>IF(AND($L375=0,$P375=0)=TRUE,VLOOKUP($E375,Plan3!$A$16:$CT$487,$E$7+3,0)/100,0)</f>
        <v>0</v>
      </c>
      <c r="AS375" s="868">
        <f>IF(AND($L375=0,$P375=0)=TRUE,VLOOKUP($E375,Plan3!$A$16:$CT$487,$E$7+6,0)/100,0)</f>
        <v>0</v>
      </c>
      <c r="AT375" s="868">
        <f>IF(AND($L375=0,$P375=0)=TRUE,VLOOKUP($E375,Plan3!$A$16:$CT$487,$E$7+9,0)/100,0)</f>
        <v>0</v>
      </c>
      <c r="AU375" s="868">
        <f>IF(AND($L375=0,$P375=0)=TRUE,VLOOKUP($E375,Plan3!$A$16:$CT$487,$E$7+12,0)/100,0)</f>
        <v>0</v>
      </c>
      <c r="AV375" s="841"/>
      <c r="AW375" s="869">
        <f t="shared" si="265"/>
        <v>0</v>
      </c>
      <c r="AX375" s="870">
        <f t="shared" si="266"/>
        <v>0</v>
      </c>
      <c r="AY375" s="871">
        <f t="shared" si="267"/>
        <v>0</v>
      </c>
      <c r="AZ375" s="237" t="str">
        <f t="shared" si="234"/>
        <v xml:space="preserve">20.003.000.004 </v>
      </c>
      <c r="BA375" s="365"/>
      <c r="BB375" s="365"/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872">
        <f t="shared" si="235"/>
        <v>0</v>
      </c>
      <c r="BM375" s="873">
        <f t="shared" si="236"/>
        <v>0</v>
      </c>
      <c r="BN375" s="874">
        <f t="shared" si="261"/>
        <v>0</v>
      </c>
      <c r="BO375" s="875">
        <f t="shared" si="237"/>
        <v>0</v>
      </c>
      <c r="BP375" s="875">
        <f t="shared" si="238"/>
        <v>0</v>
      </c>
      <c r="BQ375" s="876">
        <f t="shared" si="262"/>
        <v>0</v>
      </c>
      <c r="BR375" s="877">
        <f t="shared" si="263"/>
        <v>0</v>
      </c>
      <c r="BS375" s="875">
        <f t="shared" si="239"/>
        <v>0</v>
      </c>
      <c r="BT375" s="875">
        <f t="shared" si="240"/>
        <v>0</v>
      </c>
      <c r="BU375" s="878">
        <f t="shared" si="264"/>
        <v>0</v>
      </c>
      <c r="CE375" s="486"/>
    </row>
    <row r="376" spans="1:83" s="177" customFormat="1" ht="21.95" customHeight="1" x14ac:dyDescent="0.2">
      <c r="A376" s="237">
        <f t="shared" si="241"/>
        <v>0</v>
      </c>
      <c r="B376" s="237">
        <f t="shared" si="242"/>
        <v>0</v>
      </c>
      <c r="C376" s="393">
        <f t="shared" si="227"/>
        <v>0</v>
      </c>
      <c r="D376" s="393" t="str">
        <f t="shared" si="228"/>
        <v xml:space="preserve">20 </v>
      </c>
      <c r="E376" s="959" t="s">
        <v>817</v>
      </c>
      <c r="F376" s="959" t="s">
        <v>2150</v>
      </c>
      <c r="G376" s="959" t="s">
        <v>8</v>
      </c>
      <c r="H376" s="960">
        <v>2</v>
      </c>
      <c r="I376" s="963">
        <v>3187</v>
      </c>
      <c r="J376" s="964">
        <v>6374</v>
      </c>
      <c r="K376" s="367">
        <v>0</v>
      </c>
      <c r="L376" s="367">
        <f>IF($H376="",0,VLOOKUP($E376,Plan3!$A$16:$CT$384,$E$7,0)%)</f>
        <v>0</v>
      </c>
      <c r="M376" s="368">
        <f t="shared" si="247"/>
        <v>0</v>
      </c>
      <c r="N376" s="368">
        <f t="shared" si="248"/>
        <v>0</v>
      </c>
      <c r="O376" s="367">
        <v>0</v>
      </c>
      <c r="P376" s="367">
        <f>VLOOKUP($E376,Plan3!$A$492:$P$858,13,0)%</f>
        <v>0</v>
      </c>
      <c r="Q376" s="368">
        <f t="shared" si="249"/>
        <v>0</v>
      </c>
      <c r="R376" s="368">
        <f t="shared" si="250"/>
        <v>0</v>
      </c>
      <c r="S376" s="880">
        <v>6447.9384</v>
      </c>
      <c r="T376" s="880">
        <f t="shared" si="251"/>
        <v>0</v>
      </c>
      <c r="U376" s="880">
        <f>IF($I376="",0,($S376-$T376)*(1+('Econômico Macro'!$R$12/100)))</f>
        <v>6559.4877343200005</v>
      </c>
      <c r="V376" s="880">
        <f t="shared" si="252"/>
        <v>6559.4877343200005</v>
      </c>
      <c r="W376" s="880">
        <f t="shared" si="253"/>
        <v>0</v>
      </c>
      <c r="X376" s="367">
        <f t="shared" si="229"/>
        <v>0</v>
      </c>
      <c r="Y376" s="367">
        <f t="shared" si="230"/>
        <v>0</v>
      </c>
      <c r="Z376" s="367">
        <f t="shared" si="231"/>
        <v>0</v>
      </c>
      <c r="AA376" s="367">
        <f t="shared" si="232"/>
        <v>0</v>
      </c>
      <c r="AB376" s="369" t="str">
        <f t="shared" si="233"/>
        <v>Não Iniciada</v>
      </c>
      <c r="AC376" s="365"/>
      <c r="AD376" s="368">
        <v>1</v>
      </c>
      <c r="AE376" s="368">
        <f t="shared" si="254"/>
        <v>-1</v>
      </c>
      <c r="AF376" s="365"/>
      <c r="AG376" s="863">
        <f t="shared" si="243"/>
        <v>0</v>
      </c>
      <c r="AH376" s="864">
        <f t="shared" si="255"/>
        <v>0</v>
      </c>
      <c r="AI376" s="863">
        <f t="shared" si="244"/>
        <v>0</v>
      </c>
      <c r="AJ376" s="864">
        <f t="shared" si="256"/>
        <v>0</v>
      </c>
      <c r="AK376" s="365"/>
      <c r="AL376" s="865">
        <f t="shared" si="245"/>
        <v>0</v>
      </c>
      <c r="AM376" s="866">
        <f t="shared" si="257"/>
        <v>0</v>
      </c>
      <c r="AN376" s="866">
        <f t="shared" si="258"/>
        <v>0</v>
      </c>
      <c r="AO376" s="866">
        <f t="shared" si="259"/>
        <v>0</v>
      </c>
      <c r="AP376" s="867">
        <f t="shared" si="260"/>
        <v>0</v>
      </c>
      <c r="AQ376" s="591">
        <f t="shared" si="246"/>
        <v>0</v>
      </c>
      <c r="AR376" s="868">
        <f>IF(AND($L376=0,$P376=0)=TRUE,VLOOKUP($E376,Plan3!$A$16:$CT$487,$E$7+3,0)/100,0)</f>
        <v>0</v>
      </c>
      <c r="AS376" s="868">
        <f>IF(AND($L376=0,$P376=0)=TRUE,VLOOKUP($E376,Plan3!$A$16:$CT$487,$E$7+6,0)/100,0)</f>
        <v>0</v>
      </c>
      <c r="AT376" s="868">
        <f>IF(AND($L376=0,$P376=0)=TRUE,VLOOKUP($E376,Plan3!$A$16:$CT$487,$E$7+9,0)/100,0)</f>
        <v>0</v>
      </c>
      <c r="AU376" s="868">
        <f>IF(AND($L376=0,$P376=0)=TRUE,VLOOKUP($E376,Plan3!$A$16:$CT$487,$E$7+12,0)/100,0)</f>
        <v>0</v>
      </c>
      <c r="AV376" s="841"/>
      <c r="AW376" s="869">
        <f t="shared" si="265"/>
        <v>0</v>
      </c>
      <c r="AX376" s="870">
        <f t="shared" si="266"/>
        <v>0</v>
      </c>
      <c r="AY376" s="871">
        <f t="shared" si="267"/>
        <v>0</v>
      </c>
      <c r="AZ376" s="237" t="str">
        <f t="shared" si="234"/>
        <v xml:space="preserve">20.003.000.005 </v>
      </c>
      <c r="BA376" s="365"/>
      <c r="BB376" s="365"/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872">
        <f t="shared" si="235"/>
        <v>0</v>
      </c>
      <c r="BM376" s="873">
        <f t="shared" si="236"/>
        <v>0</v>
      </c>
      <c r="BN376" s="874">
        <f t="shared" si="261"/>
        <v>0</v>
      </c>
      <c r="BO376" s="875">
        <f t="shared" si="237"/>
        <v>0</v>
      </c>
      <c r="BP376" s="875">
        <f t="shared" si="238"/>
        <v>0</v>
      </c>
      <c r="BQ376" s="876">
        <f t="shared" si="262"/>
        <v>0</v>
      </c>
      <c r="BR376" s="877">
        <f t="shared" si="263"/>
        <v>0</v>
      </c>
      <c r="BS376" s="875">
        <f t="shared" si="239"/>
        <v>0</v>
      </c>
      <c r="BT376" s="875">
        <f t="shared" si="240"/>
        <v>0</v>
      </c>
      <c r="BU376" s="878">
        <f t="shared" si="264"/>
        <v>0</v>
      </c>
      <c r="CE376" s="486"/>
    </row>
    <row r="377" spans="1:83" s="177" customFormat="1" ht="21.95" customHeight="1" x14ac:dyDescent="0.2">
      <c r="A377" s="237">
        <f t="shared" si="241"/>
        <v>0</v>
      </c>
      <c r="B377" s="237">
        <f t="shared" si="242"/>
        <v>0</v>
      </c>
      <c r="C377" s="393">
        <f t="shared" si="227"/>
        <v>0</v>
      </c>
      <c r="D377" s="393" t="str">
        <f t="shared" si="228"/>
        <v xml:space="preserve">20 </v>
      </c>
      <c r="E377" s="959" t="s">
        <v>819</v>
      </c>
      <c r="F377" s="959" t="s">
        <v>2340</v>
      </c>
      <c r="G377" s="959" t="s">
        <v>7</v>
      </c>
      <c r="H377" s="960">
        <v>1</v>
      </c>
      <c r="I377" s="961">
        <v>50000</v>
      </c>
      <c r="J377" s="962">
        <v>50000</v>
      </c>
      <c r="K377" s="367">
        <v>0</v>
      </c>
      <c r="L377" s="367">
        <f>IF($H377="",0,VLOOKUP($E377,Plan3!$A$16:$CT$384,$E$7,0)%)</f>
        <v>0</v>
      </c>
      <c r="M377" s="368">
        <f t="shared" si="247"/>
        <v>0</v>
      </c>
      <c r="N377" s="368">
        <f t="shared" si="248"/>
        <v>0</v>
      </c>
      <c r="O377" s="367">
        <v>0</v>
      </c>
      <c r="P377" s="367">
        <f>VLOOKUP($E377,Plan3!$A$492:$P$858,13,0)%</f>
        <v>0</v>
      </c>
      <c r="Q377" s="368">
        <f t="shared" si="249"/>
        <v>0</v>
      </c>
      <c r="R377" s="368">
        <f t="shared" si="250"/>
        <v>0</v>
      </c>
      <c r="S377" s="880">
        <v>50580</v>
      </c>
      <c r="T377" s="880">
        <f t="shared" si="251"/>
        <v>0</v>
      </c>
      <c r="U377" s="880">
        <f>IF($I377="",0,($S377-$T377)*(1+('Econômico Macro'!$R$12/100)))</f>
        <v>51455.034000000007</v>
      </c>
      <c r="V377" s="880">
        <f t="shared" si="252"/>
        <v>51455.034000000007</v>
      </c>
      <c r="W377" s="880">
        <f t="shared" si="253"/>
        <v>0</v>
      </c>
      <c r="X377" s="367">
        <f t="shared" si="229"/>
        <v>0</v>
      </c>
      <c r="Y377" s="367">
        <f t="shared" si="230"/>
        <v>0</v>
      </c>
      <c r="Z377" s="367">
        <f t="shared" si="231"/>
        <v>0</v>
      </c>
      <c r="AA377" s="367">
        <f t="shared" si="232"/>
        <v>0</v>
      </c>
      <c r="AB377" s="369" t="str">
        <f t="shared" si="233"/>
        <v>Não Iniciada</v>
      </c>
      <c r="AC377" s="365"/>
      <c r="AD377" s="368">
        <v>1</v>
      </c>
      <c r="AE377" s="368">
        <f t="shared" si="254"/>
        <v>-1</v>
      </c>
      <c r="AF377" s="365"/>
      <c r="AG377" s="863">
        <f t="shared" si="243"/>
        <v>0</v>
      </c>
      <c r="AH377" s="864">
        <f t="shared" si="255"/>
        <v>0</v>
      </c>
      <c r="AI377" s="863">
        <f t="shared" si="244"/>
        <v>0</v>
      </c>
      <c r="AJ377" s="864">
        <f t="shared" si="256"/>
        <v>0</v>
      </c>
      <c r="AK377" s="365"/>
      <c r="AL377" s="865">
        <f t="shared" si="245"/>
        <v>0</v>
      </c>
      <c r="AM377" s="866">
        <f t="shared" si="257"/>
        <v>0</v>
      </c>
      <c r="AN377" s="866">
        <f t="shared" si="258"/>
        <v>0</v>
      </c>
      <c r="AO377" s="866">
        <f t="shared" si="259"/>
        <v>0</v>
      </c>
      <c r="AP377" s="867">
        <f t="shared" si="260"/>
        <v>0</v>
      </c>
      <c r="AQ377" s="591">
        <f t="shared" si="246"/>
        <v>0</v>
      </c>
      <c r="AR377" s="868">
        <f>IF(AND($L377=0,$P377=0)=TRUE,VLOOKUP($E377,Plan3!$A$16:$CT$487,$E$7+3,0)/100,0)</f>
        <v>0</v>
      </c>
      <c r="AS377" s="868">
        <f>IF(AND($L377=0,$P377=0)=TRUE,VLOOKUP($E377,Plan3!$A$16:$CT$487,$E$7+6,0)/100,0)</f>
        <v>0</v>
      </c>
      <c r="AT377" s="868">
        <f>IF(AND($L377=0,$P377=0)=TRUE,VLOOKUP($E377,Plan3!$A$16:$CT$487,$E$7+9,0)/100,0)</f>
        <v>0</v>
      </c>
      <c r="AU377" s="868">
        <f>IF(AND($L377=0,$P377=0)=TRUE,VLOOKUP($E377,Plan3!$A$16:$CT$487,$E$7+12,0)/100,0)</f>
        <v>0</v>
      </c>
      <c r="AV377" s="841"/>
      <c r="AW377" s="869">
        <f t="shared" si="265"/>
        <v>0</v>
      </c>
      <c r="AX377" s="870">
        <f t="shared" si="266"/>
        <v>0</v>
      </c>
      <c r="AY377" s="871">
        <f t="shared" si="267"/>
        <v>0</v>
      </c>
      <c r="AZ377" s="237" t="str">
        <f t="shared" si="234"/>
        <v xml:space="preserve">20.003.000.006 </v>
      </c>
      <c r="BA377" s="365"/>
      <c r="BB377" s="365"/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872">
        <f t="shared" si="235"/>
        <v>0</v>
      </c>
      <c r="BM377" s="873">
        <f t="shared" si="236"/>
        <v>0</v>
      </c>
      <c r="BN377" s="874">
        <f t="shared" si="261"/>
        <v>0</v>
      </c>
      <c r="BO377" s="875">
        <f t="shared" si="237"/>
        <v>0</v>
      </c>
      <c r="BP377" s="875">
        <f t="shared" si="238"/>
        <v>0</v>
      </c>
      <c r="BQ377" s="876">
        <f t="shared" si="262"/>
        <v>0</v>
      </c>
      <c r="BR377" s="877">
        <f t="shared" si="263"/>
        <v>0</v>
      </c>
      <c r="BS377" s="875">
        <f t="shared" si="239"/>
        <v>0</v>
      </c>
      <c r="BT377" s="875">
        <f t="shared" si="240"/>
        <v>0</v>
      </c>
      <c r="BU377" s="878">
        <f t="shared" si="264"/>
        <v>0</v>
      </c>
      <c r="CE377" s="486"/>
    </row>
    <row r="378" spans="1:83" s="177" customFormat="1" ht="21.95" customHeight="1" x14ac:dyDescent="0.2">
      <c r="A378" s="237">
        <f t="shared" si="241"/>
        <v>0</v>
      </c>
      <c r="B378" s="237">
        <f t="shared" si="242"/>
        <v>0</v>
      </c>
      <c r="C378" s="393">
        <f t="shared" si="227"/>
        <v>0</v>
      </c>
      <c r="D378" s="393" t="str">
        <f t="shared" si="228"/>
        <v xml:space="preserve">20 </v>
      </c>
      <c r="E378" s="959" t="s">
        <v>821</v>
      </c>
      <c r="F378" s="959" t="s">
        <v>1537</v>
      </c>
      <c r="G378" s="959" t="s">
        <v>7</v>
      </c>
      <c r="H378" s="960">
        <v>1</v>
      </c>
      <c r="I378" s="961">
        <v>17750</v>
      </c>
      <c r="J378" s="962">
        <v>17750</v>
      </c>
      <c r="K378" s="367">
        <v>0</v>
      </c>
      <c r="L378" s="367">
        <f>IF($H378="",0,VLOOKUP($E378,Plan3!$A$16:$CT$384,$E$7,0)%)</f>
        <v>0</v>
      </c>
      <c r="M378" s="368">
        <f t="shared" si="247"/>
        <v>0</v>
      </c>
      <c r="N378" s="368">
        <f t="shared" si="248"/>
        <v>0</v>
      </c>
      <c r="O378" s="367">
        <v>0</v>
      </c>
      <c r="P378" s="367">
        <f>VLOOKUP($E378,Plan3!$A$492:$P$858,13,0)%</f>
        <v>0</v>
      </c>
      <c r="Q378" s="368">
        <f t="shared" si="249"/>
        <v>0</v>
      </c>
      <c r="R378" s="368">
        <f t="shared" si="250"/>
        <v>0</v>
      </c>
      <c r="S378" s="880">
        <v>17955.900000000001</v>
      </c>
      <c r="T378" s="880">
        <f t="shared" si="251"/>
        <v>0</v>
      </c>
      <c r="U378" s="880">
        <f>IF($I378="",0,($S378-$T378)*(1+('Econômico Macro'!$R$12/100)))</f>
        <v>18266.537070000002</v>
      </c>
      <c r="V378" s="880">
        <f t="shared" si="252"/>
        <v>18266.537070000002</v>
      </c>
      <c r="W378" s="880">
        <f t="shared" si="253"/>
        <v>0</v>
      </c>
      <c r="X378" s="367">
        <f t="shared" si="229"/>
        <v>0</v>
      </c>
      <c r="Y378" s="367">
        <f t="shared" si="230"/>
        <v>0</v>
      </c>
      <c r="Z378" s="367">
        <f t="shared" si="231"/>
        <v>0</v>
      </c>
      <c r="AA378" s="367">
        <f t="shared" si="232"/>
        <v>0</v>
      </c>
      <c r="AB378" s="369" t="str">
        <f t="shared" si="233"/>
        <v>Não Iniciada</v>
      </c>
      <c r="AC378" s="365"/>
      <c r="AD378" s="368">
        <v>1</v>
      </c>
      <c r="AE378" s="368">
        <f t="shared" si="254"/>
        <v>-1</v>
      </c>
      <c r="AF378" s="365"/>
      <c r="AG378" s="863">
        <f t="shared" si="243"/>
        <v>0</v>
      </c>
      <c r="AH378" s="864">
        <f t="shared" si="255"/>
        <v>0</v>
      </c>
      <c r="AI378" s="863">
        <f t="shared" si="244"/>
        <v>0</v>
      </c>
      <c r="AJ378" s="864">
        <f t="shared" si="256"/>
        <v>0</v>
      </c>
      <c r="AK378" s="365"/>
      <c r="AL378" s="865">
        <f t="shared" si="245"/>
        <v>0</v>
      </c>
      <c r="AM378" s="866">
        <f t="shared" si="257"/>
        <v>0</v>
      </c>
      <c r="AN378" s="866">
        <f t="shared" si="258"/>
        <v>0</v>
      </c>
      <c r="AO378" s="866">
        <f t="shared" si="259"/>
        <v>0</v>
      </c>
      <c r="AP378" s="867">
        <f t="shared" si="260"/>
        <v>0</v>
      </c>
      <c r="AQ378" s="591">
        <f t="shared" si="246"/>
        <v>0</v>
      </c>
      <c r="AR378" s="868">
        <f>IF(AND($L378=0,$P378=0)=TRUE,VLOOKUP($E378,Plan3!$A$16:$CT$487,$E$7+3,0)/100,0)</f>
        <v>0</v>
      </c>
      <c r="AS378" s="868">
        <f>IF(AND($L378=0,$P378=0)=TRUE,VLOOKUP($E378,Plan3!$A$16:$CT$487,$E$7+6,0)/100,0)</f>
        <v>0</v>
      </c>
      <c r="AT378" s="868">
        <f>IF(AND($L378=0,$P378=0)=TRUE,VLOOKUP($E378,Plan3!$A$16:$CT$487,$E$7+9,0)/100,0)</f>
        <v>0</v>
      </c>
      <c r="AU378" s="868">
        <f>IF(AND($L378=0,$P378=0)=TRUE,VLOOKUP($E378,Plan3!$A$16:$CT$487,$E$7+12,0)/100,0)</f>
        <v>0</v>
      </c>
      <c r="AV378" s="841"/>
      <c r="AW378" s="869">
        <f t="shared" si="265"/>
        <v>0</v>
      </c>
      <c r="AX378" s="870">
        <f t="shared" si="266"/>
        <v>0</v>
      </c>
      <c r="AY378" s="871">
        <f t="shared" si="267"/>
        <v>0</v>
      </c>
      <c r="AZ378" s="237" t="str">
        <f t="shared" si="234"/>
        <v xml:space="preserve">20.003.000.007 </v>
      </c>
      <c r="BA378" s="365"/>
      <c r="BB378" s="365"/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872">
        <f t="shared" si="235"/>
        <v>0</v>
      </c>
      <c r="BM378" s="873">
        <f t="shared" si="236"/>
        <v>0</v>
      </c>
      <c r="BN378" s="874">
        <f t="shared" si="261"/>
        <v>0</v>
      </c>
      <c r="BO378" s="875">
        <f t="shared" si="237"/>
        <v>0</v>
      </c>
      <c r="BP378" s="875">
        <f t="shared" si="238"/>
        <v>0</v>
      </c>
      <c r="BQ378" s="876">
        <f t="shared" si="262"/>
        <v>0</v>
      </c>
      <c r="BR378" s="877">
        <f t="shared" si="263"/>
        <v>0</v>
      </c>
      <c r="BS378" s="875">
        <f t="shared" si="239"/>
        <v>0</v>
      </c>
      <c r="BT378" s="875">
        <f t="shared" si="240"/>
        <v>0</v>
      </c>
      <c r="BU378" s="878">
        <f t="shared" si="264"/>
        <v>0</v>
      </c>
      <c r="CE378" s="486"/>
    </row>
    <row r="379" spans="1:83" s="177" customFormat="1" ht="21.95" customHeight="1" x14ac:dyDescent="0.2">
      <c r="A379" s="237">
        <f t="shared" si="241"/>
        <v>0</v>
      </c>
      <c r="B379" s="237">
        <f t="shared" si="242"/>
        <v>0</v>
      </c>
      <c r="C379" s="393">
        <f t="shared" si="227"/>
        <v>0</v>
      </c>
      <c r="D379" s="393" t="str">
        <f t="shared" si="228"/>
        <v xml:space="preserve">20 </v>
      </c>
      <c r="E379" s="959" t="s">
        <v>822</v>
      </c>
      <c r="F379" s="959" t="s">
        <v>2151</v>
      </c>
      <c r="G379" s="959" t="s">
        <v>90</v>
      </c>
      <c r="H379" s="965">
        <v>821.77</v>
      </c>
      <c r="I379" s="970">
        <v>30</v>
      </c>
      <c r="J379" s="962">
        <v>24653.1</v>
      </c>
      <c r="K379" s="367">
        <v>0</v>
      </c>
      <c r="L379" s="367">
        <f>IF($H379="",0,VLOOKUP($E379,Plan3!$A$16:$CT$384,$E$7,0)%)</f>
        <v>0</v>
      </c>
      <c r="M379" s="368">
        <f t="shared" si="247"/>
        <v>0</v>
      </c>
      <c r="N379" s="368">
        <f t="shared" si="248"/>
        <v>0</v>
      </c>
      <c r="O379" s="367">
        <v>0</v>
      </c>
      <c r="P379" s="367">
        <f>VLOOKUP($E379,Plan3!$A$492:$P$858,13,0)%</f>
        <v>0</v>
      </c>
      <c r="Q379" s="368">
        <f t="shared" si="249"/>
        <v>0</v>
      </c>
      <c r="R379" s="368">
        <f t="shared" si="250"/>
        <v>0</v>
      </c>
      <c r="S379" s="880">
        <v>24939.075959999998</v>
      </c>
      <c r="T379" s="880">
        <f t="shared" si="251"/>
        <v>0</v>
      </c>
      <c r="U379" s="880">
        <f>IF($I379="",0,($S379-$T379)*(1+('Econômico Macro'!$R$12/100)))</f>
        <v>25370.521974108</v>
      </c>
      <c r="V379" s="880">
        <f t="shared" si="252"/>
        <v>25370.521974108</v>
      </c>
      <c r="W379" s="880">
        <f t="shared" si="253"/>
        <v>0</v>
      </c>
      <c r="X379" s="367">
        <f t="shared" si="229"/>
        <v>0</v>
      </c>
      <c r="Y379" s="367">
        <f t="shared" si="230"/>
        <v>0</v>
      </c>
      <c r="Z379" s="367">
        <f t="shared" si="231"/>
        <v>0</v>
      </c>
      <c r="AA379" s="367">
        <f t="shared" si="232"/>
        <v>0</v>
      </c>
      <c r="AB379" s="369" t="str">
        <f t="shared" si="233"/>
        <v>Não Iniciada</v>
      </c>
      <c r="AC379" s="365"/>
      <c r="AD379" s="368">
        <v>1</v>
      </c>
      <c r="AE379" s="368">
        <f t="shared" si="254"/>
        <v>-1</v>
      </c>
      <c r="AF379" s="365"/>
      <c r="AG379" s="863">
        <f t="shared" si="243"/>
        <v>0</v>
      </c>
      <c r="AH379" s="864">
        <f t="shared" si="255"/>
        <v>0</v>
      </c>
      <c r="AI379" s="863">
        <f t="shared" si="244"/>
        <v>0</v>
      </c>
      <c r="AJ379" s="864">
        <f t="shared" si="256"/>
        <v>0</v>
      </c>
      <c r="AK379" s="365"/>
      <c r="AL379" s="865">
        <f t="shared" si="245"/>
        <v>0</v>
      </c>
      <c r="AM379" s="866">
        <f t="shared" si="257"/>
        <v>0</v>
      </c>
      <c r="AN379" s="866">
        <f t="shared" si="258"/>
        <v>0</v>
      </c>
      <c r="AO379" s="866">
        <f t="shared" si="259"/>
        <v>0</v>
      </c>
      <c r="AP379" s="867">
        <f t="shared" si="260"/>
        <v>0</v>
      </c>
      <c r="AQ379" s="591">
        <f t="shared" si="246"/>
        <v>0</v>
      </c>
      <c r="AR379" s="868">
        <f>IF(AND($L379=0,$P379=0)=TRUE,VLOOKUP($E379,Plan3!$A$16:$CT$487,$E$7+3,0)/100,0)</f>
        <v>0</v>
      </c>
      <c r="AS379" s="868">
        <f>IF(AND($L379=0,$P379=0)=TRUE,VLOOKUP($E379,Plan3!$A$16:$CT$487,$E$7+6,0)/100,0)</f>
        <v>0</v>
      </c>
      <c r="AT379" s="868">
        <f>IF(AND($L379=0,$P379=0)=TRUE,VLOOKUP($E379,Plan3!$A$16:$CT$487,$E$7+9,0)/100,0)</f>
        <v>0</v>
      </c>
      <c r="AU379" s="868">
        <f>IF(AND($L379=0,$P379=0)=TRUE,VLOOKUP($E379,Plan3!$A$16:$CT$487,$E$7+12,0)/100,0)</f>
        <v>0</v>
      </c>
      <c r="AV379" s="841"/>
      <c r="AW379" s="869">
        <f t="shared" si="265"/>
        <v>0</v>
      </c>
      <c r="AX379" s="870">
        <f t="shared" si="266"/>
        <v>0</v>
      </c>
      <c r="AY379" s="871">
        <f t="shared" si="267"/>
        <v>0</v>
      </c>
      <c r="AZ379" s="237" t="str">
        <f t="shared" si="234"/>
        <v xml:space="preserve">20.003.000.008 </v>
      </c>
      <c r="BA379" s="365"/>
      <c r="BB379" s="365"/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872">
        <f t="shared" si="235"/>
        <v>0</v>
      </c>
      <c r="BM379" s="873">
        <f t="shared" si="236"/>
        <v>0</v>
      </c>
      <c r="BN379" s="874">
        <f t="shared" si="261"/>
        <v>0</v>
      </c>
      <c r="BO379" s="875">
        <f t="shared" si="237"/>
        <v>0</v>
      </c>
      <c r="BP379" s="875">
        <f t="shared" si="238"/>
        <v>0</v>
      </c>
      <c r="BQ379" s="876">
        <f t="shared" si="262"/>
        <v>0</v>
      </c>
      <c r="BR379" s="877">
        <f t="shared" si="263"/>
        <v>0</v>
      </c>
      <c r="BS379" s="875">
        <f t="shared" si="239"/>
        <v>0</v>
      </c>
      <c r="BT379" s="875">
        <f t="shared" si="240"/>
        <v>0</v>
      </c>
      <c r="BU379" s="878">
        <f t="shared" si="264"/>
        <v>0</v>
      </c>
      <c r="CE379" s="486"/>
    </row>
    <row r="380" spans="1:83" s="130" customFormat="1" ht="21.95" customHeight="1" thickBot="1" x14ac:dyDescent="0.25">
      <c r="A380" s="237"/>
      <c r="B380" s="237"/>
      <c r="C380" s="393"/>
      <c r="D380" s="393"/>
      <c r="E380" s="161" t="s">
        <v>62</v>
      </c>
      <c r="F380" s="161"/>
      <c r="G380" s="162"/>
      <c r="H380" s="162"/>
      <c r="I380" s="162"/>
      <c r="J380" s="163">
        <v>5458222.3700000001</v>
      </c>
      <c r="K380" s="164">
        <v>5.106041797817043E-2</v>
      </c>
      <c r="L380" s="198">
        <f>$N$380/$J$380</f>
        <v>0.10935982583172037</v>
      </c>
      <c r="M380" s="199">
        <f>$L380*$H380</f>
        <v>0</v>
      </c>
      <c r="N380" s="199">
        <f t="array" ref="N380">SUM(IF($C13:$C379=$E13:$E379,$N13:$N379))</f>
        <v>596910.24773399998</v>
      </c>
      <c r="O380" s="200">
        <v>4.1683704171009341E-2</v>
      </c>
      <c r="P380" s="200">
        <f>$R$380/$J$380</f>
        <v>9.7914802470753862E-2</v>
      </c>
      <c r="Q380" s="159"/>
      <c r="R380" s="159">
        <f t="array" ref="R380">SUM(IF($G13:$G379=$I13:$I379,$R13:$R379))</f>
        <v>534440.76520000002</v>
      </c>
      <c r="S380" s="159">
        <v>5518898.52994378</v>
      </c>
      <c r="T380" s="159">
        <f t="array" ref="T380">SUM(IF($C13:$C379=$E13:$E379,$T13:$T379))</f>
        <v>538330.36734888831</v>
      </c>
      <c r="U380" s="159">
        <f>SUM(U13:U379)</f>
        <v>5066731.9918077849</v>
      </c>
      <c r="V380" s="159">
        <f t="array" ref="V380">SUM(IF($C13:$C379=$E13:$E379,$V13:$V379))</f>
        <v>5605062.3591566728</v>
      </c>
      <c r="W380" s="159">
        <f t="array" ref="W380">SUM(IF($C13:$C379=$E13:$E379,$W13:$W379))</f>
        <v>604063.84656921541</v>
      </c>
      <c r="X380" s="160">
        <f>$L$380-$K$380</f>
        <v>5.8299407853549937E-2</v>
      </c>
      <c r="Y380" s="200">
        <f t="shared" ref="Y380" si="269">$P380-$O380</f>
        <v>5.6231098299744521E-2</v>
      </c>
      <c r="Z380" s="160">
        <f t="shared" ref="Z380:Z443" si="270">$P380-$L380</f>
        <v>-1.1445023360966505E-2</v>
      </c>
      <c r="AA380" s="160">
        <f t="shared" ref="AA380" si="271">$Y380-$X380</f>
        <v>-2.0683095538054155E-3</v>
      </c>
      <c r="AB380" s="202" t="str">
        <f t="shared" ref="AB380" si="272">IF($Z380&lt;0,"Atrasada",IF($Z380&gt;0,"Adiantada",IF($P380=0,"Não Iniciada",0)))</f>
        <v>Atrasada</v>
      </c>
      <c r="AD380" s="840"/>
      <c r="AE380" s="836">
        <f t="shared" ref="AE380" si="273">Q380-AD380</f>
        <v>0</v>
      </c>
      <c r="AG380" s="207"/>
      <c r="AH380" s="208">
        <f>MAX(AH13:AH379)</f>
        <v>15</v>
      </c>
      <c r="AI380" s="207"/>
      <c r="AJ380" s="208">
        <f>MAX(AJ13:AJ379)</f>
        <v>4</v>
      </c>
      <c r="AL380" s="214">
        <f>SUM(AL13:AL379)</f>
        <v>534440.76520000002</v>
      </c>
      <c r="AM380" s="215">
        <f>SUM(AM13:AM379)</f>
        <v>-74837.46253400002</v>
      </c>
      <c r="AN380" s="215">
        <f>SUM(AN13:AN379)</f>
        <v>0.99999999999999989</v>
      </c>
      <c r="AO380" s="215">
        <f>SUM(AO13:AO379)</f>
        <v>12367.980000000001</v>
      </c>
      <c r="AP380" s="216">
        <f>SUM(AP13:AP379)</f>
        <v>1</v>
      </c>
      <c r="AQ380" s="401"/>
      <c r="AR380" s="247"/>
      <c r="AS380" s="247"/>
      <c r="AT380" s="247"/>
      <c r="AU380" s="247"/>
      <c r="AV380" s="177"/>
      <c r="AW380" s="393">
        <f>SUM(AW13:AW379)</f>
        <v>548274.64944100007</v>
      </c>
      <c r="AX380" s="393">
        <f>IF($AW380=0,0,$AW380/$AW$380)</f>
        <v>1</v>
      </c>
      <c r="AY380" s="393">
        <f>MAX(AY13:AY379)</f>
        <v>12</v>
      </c>
      <c r="AZ380" s="237"/>
      <c r="BL380" s="673"/>
      <c r="BM380" s="674">
        <f>SUM(BM13:BM379)</f>
        <v>534440.76520000002</v>
      </c>
      <c r="BN380" s="675">
        <f>MAX(BM13:BM379)</f>
        <v>309238.78680000006</v>
      </c>
      <c r="BO380" s="676"/>
      <c r="BP380" s="676">
        <f>SUM(BP13:BP379)</f>
        <v>-68468.582533999928</v>
      </c>
      <c r="BQ380" s="677">
        <f>SUM(BQ13:BQ379)</f>
        <v>1</v>
      </c>
      <c r="BR380" s="675">
        <f>MAX(BQ13:BQ379)</f>
        <v>0.99962740867335287</v>
      </c>
      <c r="BS380" s="676"/>
      <c r="BT380" s="676">
        <f>SUM(BT13:BT379)</f>
        <v>5999.0999999999949</v>
      </c>
      <c r="BU380" s="678">
        <f>SUM(BU13:BU379)</f>
        <v>1</v>
      </c>
      <c r="CE380" s="486">
        <v>336</v>
      </c>
    </row>
    <row r="381" spans="1:83" s="165" customFormat="1" ht="21.95" customHeight="1" x14ac:dyDescent="0.2">
      <c r="A381" s="237">
        <f t="shared" ref="A381:A382" si="274">AJ381</f>
        <v>0</v>
      </c>
      <c r="B381" s="237">
        <f t="shared" ref="B381:B382" si="275">AH381</f>
        <v>0</v>
      </c>
      <c r="C381" s="393"/>
      <c r="D381" s="393"/>
      <c r="E381" s="656"/>
      <c r="F381" s="656"/>
      <c r="G381" s="656"/>
      <c r="H381" s="657"/>
      <c r="I381" s="660"/>
      <c r="J381" s="661"/>
      <c r="K381" s="370"/>
      <c r="L381" s="370"/>
      <c r="M381" s="371"/>
      <c r="N381" s="371"/>
      <c r="O381" s="370"/>
      <c r="P381" s="370"/>
      <c r="Q381" s="371"/>
      <c r="R381" s="371"/>
      <c r="S381" s="371"/>
      <c r="T381" s="371"/>
      <c r="U381" s="371"/>
      <c r="V381" s="371"/>
      <c r="W381" s="371"/>
      <c r="X381" s="370"/>
      <c r="Y381" s="370"/>
      <c r="Z381" s="370">
        <f t="shared" si="270"/>
        <v>0</v>
      </c>
      <c r="AA381" s="370"/>
      <c r="AB381" s="372"/>
      <c r="AD381" s="75"/>
      <c r="AE381" s="837"/>
      <c r="AR381" s="247"/>
      <c r="AS381" s="247"/>
      <c r="AT381" s="247"/>
      <c r="AU381" s="247"/>
      <c r="AW381" s="251"/>
      <c r="AX381" s="249"/>
      <c r="AY381" s="256"/>
      <c r="AZ381" s="238"/>
      <c r="CE381" s="485">
        <v>371</v>
      </c>
    </row>
    <row r="382" spans="1:83" s="155" customFormat="1" ht="21.95" customHeight="1" x14ac:dyDescent="0.2">
      <c r="A382" s="237">
        <f t="shared" si="274"/>
        <v>0</v>
      </c>
      <c r="B382" s="237">
        <f t="shared" si="275"/>
        <v>0</v>
      </c>
      <c r="C382" s="393" t="str">
        <f t="shared" ref="C382:C445" si="276">IF($D382=$D381,0,$D382)</f>
        <v xml:space="preserve">01 </v>
      </c>
      <c r="D382" s="393" t="str">
        <f t="shared" ref="D382:D445" si="277">IF(LEFT($E382,3)=$E382,$E382,LEFT($D381,2)&amp;" ")</f>
        <v xml:space="preserve">01 </v>
      </c>
      <c r="E382" s="161" t="s">
        <v>75</v>
      </c>
      <c r="F382" s="161" t="s">
        <v>152</v>
      </c>
      <c r="G382" s="162"/>
      <c r="H382" s="162"/>
      <c r="I382" s="162"/>
      <c r="J382" s="163">
        <v>174469.87</v>
      </c>
      <c r="K382" s="164">
        <v>0.66130268338023068</v>
      </c>
      <c r="L382" s="164">
        <f t="array" ref="L382">SUM(IF($D383:$D$479=$E382,$L383:$L$479*$J383:$J$479))/$J382</f>
        <v>0.66818276301805002</v>
      </c>
      <c r="M382" s="163">
        <f>$L382*$H382</f>
        <v>0</v>
      </c>
      <c r="N382" s="163">
        <f>$L382*$J382</f>
        <v>116577.75979999999</v>
      </c>
      <c r="O382" s="164">
        <v>0.11202984981494703</v>
      </c>
      <c r="P382" s="164">
        <f t="array" ref="P382">SUM(IF($D383:$D$479=$E382,$J383:$J$479*$P383:$P$479))/$J382</f>
        <v>0.15852727895080107</v>
      </c>
      <c r="Q382" s="163">
        <f>$P382*$H382</f>
        <v>0</v>
      </c>
      <c r="R382" s="163">
        <f>$P382*$J382</f>
        <v>27658.233749999999</v>
      </c>
      <c r="S382" s="163">
        <v>176266.98882533333</v>
      </c>
      <c r="T382" s="163">
        <f>SUM(T383:T389)</f>
        <v>27923.93458716667</v>
      </c>
      <c r="U382" s="163"/>
      <c r="V382" s="163">
        <f>SUM(V383:V389)</f>
        <v>178833.32366365363</v>
      </c>
      <c r="W382" s="163">
        <f>SUM(W383:W389)</f>
        <v>119555.48571720075</v>
      </c>
      <c r="X382" s="164">
        <f t="shared" ref="X382:X445" si="278">$L382-$K382</f>
        <v>6.8800796378193363E-3</v>
      </c>
      <c r="Y382" s="164">
        <f t="shared" ref="Y382:Y445" si="279">$P382-$O382</f>
        <v>4.6497429135854043E-2</v>
      </c>
      <c r="Z382" s="164">
        <f t="shared" si="270"/>
        <v>-0.50965548406724892</v>
      </c>
      <c r="AA382" s="164">
        <f t="shared" ref="AA382:AA445" si="280">$Y382-$X382</f>
        <v>3.9617349498034707E-2</v>
      </c>
      <c r="AB382" s="201"/>
      <c r="AD382" s="841"/>
      <c r="AE382" s="838"/>
      <c r="AQ382" s="401"/>
      <c r="AW382" s="250"/>
      <c r="AX382" s="248"/>
      <c r="AY382" s="254"/>
      <c r="AZ382" s="237"/>
      <c r="CE382" s="486">
        <v>372</v>
      </c>
    </row>
    <row r="383" spans="1:83" s="130" customFormat="1" ht="21.95" customHeight="1" x14ac:dyDescent="0.2">
      <c r="A383" s="237">
        <f t="shared" ref="A383:A446" si="281">AJ383</f>
        <v>0</v>
      </c>
      <c r="B383" s="237">
        <f t="shared" ref="B383:B446" si="282">AH383</f>
        <v>0</v>
      </c>
      <c r="C383" s="393">
        <f t="shared" si="276"/>
        <v>0</v>
      </c>
      <c r="D383" s="393" t="str">
        <f t="shared" si="277"/>
        <v xml:space="preserve">01 </v>
      </c>
      <c r="E383" s="959" t="s">
        <v>76</v>
      </c>
      <c r="F383" s="959" t="s">
        <v>448</v>
      </c>
      <c r="G383" s="959" t="s">
        <v>7</v>
      </c>
      <c r="H383" s="960">
        <v>1</v>
      </c>
      <c r="I383" s="965">
        <v>900</v>
      </c>
      <c r="J383" s="966">
        <v>900</v>
      </c>
      <c r="K383" s="367">
        <v>1</v>
      </c>
      <c r="L383" s="367">
        <f>IF($H383="",0,VLOOKUP($E383,Plan3!$A$386:$CT$487,$E$7,0))%</f>
        <v>1</v>
      </c>
      <c r="M383" s="368">
        <f>$L383*$H383</f>
        <v>1</v>
      </c>
      <c r="N383" s="368">
        <f>$L383*$J383</f>
        <v>900</v>
      </c>
      <c r="O383" s="367">
        <v>1</v>
      </c>
      <c r="P383" s="367">
        <f t="shared" ref="P383" si="283">L383</f>
        <v>1</v>
      </c>
      <c r="Q383" s="368">
        <f>$P383*$H383</f>
        <v>1</v>
      </c>
      <c r="R383" s="368">
        <f>$P383*$J383</f>
        <v>900</v>
      </c>
      <c r="S383" s="880">
        <v>900</v>
      </c>
      <c r="T383" s="880">
        <f t="shared" ref="T383:T446" si="284">$S383*$P383</f>
        <v>900</v>
      </c>
      <c r="U383" s="880">
        <f>IF($I383="",0,($S383-$T383)*(1+('Econômico Macro'!$R$12/100)))</f>
        <v>0</v>
      </c>
      <c r="V383" s="880">
        <f t="shared" ref="V383:V446" si="285">$U383+$T383</f>
        <v>900</v>
      </c>
      <c r="W383" s="880">
        <f t="shared" ref="W383" si="286">V383*L383</f>
        <v>900</v>
      </c>
      <c r="X383" s="367">
        <f t="shared" si="278"/>
        <v>0</v>
      </c>
      <c r="Y383" s="367">
        <f t="shared" si="279"/>
        <v>0</v>
      </c>
      <c r="Z383" s="367">
        <f t="shared" si="270"/>
        <v>0</v>
      </c>
      <c r="AA383" s="367">
        <f t="shared" si="280"/>
        <v>0</v>
      </c>
      <c r="AB383" s="373"/>
      <c r="AD383" s="365"/>
      <c r="AE383" s="839"/>
      <c r="AR383" s="247"/>
      <c r="AS383" s="247"/>
      <c r="AT383" s="247"/>
      <c r="AU383" s="247"/>
      <c r="AW383" s="252"/>
      <c r="AX383" s="206"/>
      <c r="AY383" s="255"/>
      <c r="AZ383" s="236"/>
      <c r="CE383" s="485">
        <v>373</v>
      </c>
    </row>
    <row r="384" spans="1:83" s="130" customFormat="1" ht="21.95" customHeight="1" x14ac:dyDescent="0.2">
      <c r="A384" s="237">
        <f t="shared" si="281"/>
        <v>0</v>
      </c>
      <c r="B384" s="237">
        <f t="shared" si="282"/>
        <v>0</v>
      </c>
      <c r="C384" s="393">
        <f t="shared" si="276"/>
        <v>0</v>
      </c>
      <c r="D384" s="393" t="str">
        <f t="shared" si="277"/>
        <v xml:space="preserve">01 </v>
      </c>
      <c r="E384" s="959" t="s">
        <v>77</v>
      </c>
      <c r="F384" s="959" t="s">
        <v>823</v>
      </c>
      <c r="G384" s="959" t="s">
        <v>7</v>
      </c>
      <c r="H384" s="960">
        <v>1</v>
      </c>
      <c r="I384" s="961">
        <v>35963.865100000003</v>
      </c>
      <c r="J384" s="962">
        <v>35963.870000000003</v>
      </c>
      <c r="K384" s="367">
        <v>1</v>
      </c>
      <c r="L384" s="367">
        <f>IF($H384="",0,VLOOKUP($E384,Plan3!$A$386:$CT$487,$E$7,0))%</f>
        <v>1</v>
      </c>
      <c r="M384" s="368">
        <f t="shared" ref="M384:M447" si="287">$L384*$H384</f>
        <v>1</v>
      </c>
      <c r="N384" s="368">
        <f t="shared" ref="N384:N447" si="288">$L384*$J384</f>
        <v>35963.870000000003</v>
      </c>
      <c r="O384" s="367"/>
      <c r="P384" s="999">
        <f>3/24</f>
        <v>0.125</v>
      </c>
      <c r="Q384" s="368">
        <f t="shared" ref="Q384:Q447" si="289">$P384*$H384</f>
        <v>0.125</v>
      </c>
      <c r="R384" s="368">
        <f t="shared" ref="R384:R447" si="290">$P384*$J384</f>
        <v>4495.4837500000003</v>
      </c>
      <c r="S384" s="880">
        <v>36381.050892000007</v>
      </c>
      <c r="T384" s="880">
        <f t="shared" si="284"/>
        <v>4547.6313615000008</v>
      </c>
      <c r="U384" s="880">
        <f>IF($I384="",0,($S384-$T384)*(1+('Econômico Macro'!$R$12/100)))</f>
        <v>32384.137688377661</v>
      </c>
      <c r="V384" s="880">
        <f t="shared" si="285"/>
        <v>36931.769049877665</v>
      </c>
      <c r="W384" s="880">
        <f t="shared" ref="W384" si="291">V384*L384</f>
        <v>36931.769049877665</v>
      </c>
      <c r="X384" s="367">
        <f t="shared" si="278"/>
        <v>0</v>
      </c>
      <c r="Y384" s="367">
        <f t="shared" si="279"/>
        <v>0.125</v>
      </c>
      <c r="Z384" s="367">
        <f t="shared" si="270"/>
        <v>-0.875</v>
      </c>
      <c r="AA384" s="367">
        <f t="shared" si="280"/>
        <v>0.125</v>
      </c>
      <c r="AB384" s="373"/>
      <c r="AD384" s="365"/>
      <c r="AE384" s="839"/>
      <c r="AR384" s="247"/>
      <c r="AS384" s="247"/>
      <c r="AT384" s="247"/>
      <c r="AU384" s="247"/>
      <c r="AW384" s="252"/>
      <c r="AX384" s="206"/>
      <c r="AY384" s="255"/>
      <c r="AZ384" s="236"/>
      <c r="CE384" s="485">
        <v>374</v>
      </c>
    </row>
    <row r="385" spans="1:83" s="130" customFormat="1" ht="21.95" customHeight="1" x14ac:dyDescent="0.2">
      <c r="A385" s="237">
        <f t="shared" si="281"/>
        <v>0</v>
      </c>
      <c r="B385" s="237">
        <f t="shared" si="282"/>
        <v>0</v>
      </c>
      <c r="C385" s="393">
        <f t="shared" si="276"/>
        <v>0</v>
      </c>
      <c r="D385" s="393" t="str">
        <f t="shared" si="277"/>
        <v xml:space="preserve">01 </v>
      </c>
      <c r="E385" s="959" t="s">
        <v>78</v>
      </c>
      <c r="F385" s="959" t="s">
        <v>516</v>
      </c>
      <c r="G385" s="959" t="s">
        <v>10</v>
      </c>
      <c r="H385" s="970">
        <v>26</v>
      </c>
      <c r="I385" s="963">
        <v>1031</v>
      </c>
      <c r="J385" s="962">
        <v>26806</v>
      </c>
      <c r="K385" s="367">
        <v>0.12720000000000001</v>
      </c>
      <c r="L385" s="367">
        <f>IF($H385="",0,VLOOKUP($E385,Plan3!$A$386:$CT$487,$E$7,0))%</f>
        <v>0.16829999999999998</v>
      </c>
      <c r="M385" s="368">
        <f t="shared" si="287"/>
        <v>4.375799999999999</v>
      </c>
      <c r="N385" s="368">
        <f t="shared" si="288"/>
        <v>4511.4497999999994</v>
      </c>
      <c r="O385" s="367">
        <v>8.3333333333333329E-2</v>
      </c>
      <c r="P385" s="999">
        <f>3/24</f>
        <v>0.125</v>
      </c>
      <c r="Q385" s="368">
        <f t="shared" si="289"/>
        <v>3.25</v>
      </c>
      <c r="R385" s="368">
        <f t="shared" si="290"/>
        <v>3350.75</v>
      </c>
      <c r="S385" s="880">
        <v>27091.037133333335</v>
      </c>
      <c r="T385" s="880">
        <f t="shared" si="284"/>
        <v>3386.3796416666669</v>
      </c>
      <c r="U385" s="880">
        <f>IF($I385="",0,($S385-$T385)*(1+('Econômico Macro'!$R$12/100)))</f>
        <v>24114.748066272503</v>
      </c>
      <c r="V385" s="880">
        <f t="shared" si="285"/>
        <v>27501.127707939169</v>
      </c>
      <c r="W385" s="880">
        <f t="shared" ref="W385:W448" si="292">V385*L385</f>
        <v>4628.4397932461616</v>
      </c>
      <c r="X385" s="367">
        <f t="shared" si="278"/>
        <v>4.109999999999997E-2</v>
      </c>
      <c r="Y385" s="367">
        <f t="shared" si="279"/>
        <v>4.1666666666666671E-2</v>
      </c>
      <c r="Z385" s="367">
        <f t="shared" si="270"/>
        <v>-4.3299999999999977E-2</v>
      </c>
      <c r="AA385" s="367">
        <f t="shared" si="280"/>
        <v>5.666666666667014E-4</v>
      </c>
      <c r="AB385" s="373"/>
      <c r="AD385" s="365"/>
      <c r="AE385" s="839"/>
      <c r="AR385" s="247"/>
      <c r="AS385" s="247"/>
      <c r="AT385" s="247"/>
      <c r="AU385" s="247"/>
      <c r="AW385" s="252"/>
      <c r="AX385" s="206"/>
      <c r="AY385" s="255"/>
      <c r="AZ385" s="236"/>
      <c r="CE385" s="485">
        <v>375</v>
      </c>
    </row>
    <row r="386" spans="1:83" s="130" customFormat="1" ht="21.95" customHeight="1" x14ac:dyDescent="0.2">
      <c r="A386" s="237">
        <f t="shared" si="281"/>
        <v>0</v>
      </c>
      <c r="B386" s="237">
        <f t="shared" si="282"/>
        <v>0</v>
      </c>
      <c r="C386" s="393">
        <f t="shared" si="276"/>
        <v>0</v>
      </c>
      <c r="D386" s="393" t="str">
        <f t="shared" si="277"/>
        <v xml:space="preserve">01 </v>
      </c>
      <c r="E386" s="959" t="s">
        <v>79</v>
      </c>
      <c r="F386" s="959" t="s">
        <v>1973</v>
      </c>
      <c r="G386" s="959" t="s">
        <v>7</v>
      </c>
      <c r="H386" s="960">
        <v>1</v>
      </c>
      <c r="I386" s="961">
        <v>60000</v>
      </c>
      <c r="J386" s="962">
        <v>60000</v>
      </c>
      <c r="K386" s="367">
        <v>1</v>
      </c>
      <c r="L386" s="367">
        <f>IF($H386="",0,VLOOKUP($E386,Plan3!$A$386:$CT$487,$E$7,0))%</f>
        <v>1</v>
      </c>
      <c r="M386" s="368">
        <f t="shared" si="287"/>
        <v>1</v>
      </c>
      <c r="N386" s="368">
        <f t="shared" si="288"/>
        <v>60000</v>
      </c>
      <c r="O386" s="367">
        <v>8.3333333333333329E-2</v>
      </c>
      <c r="P386" s="999">
        <f>3/24</f>
        <v>0.125</v>
      </c>
      <c r="Q386" s="368">
        <f t="shared" si="289"/>
        <v>0.125</v>
      </c>
      <c r="R386" s="368">
        <f t="shared" si="290"/>
        <v>7500</v>
      </c>
      <c r="S386" s="880">
        <v>60638</v>
      </c>
      <c r="T386" s="880">
        <f t="shared" si="284"/>
        <v>7579.75</v>
      </c>
      <c r="U386" s="880">
        <f>IF($I386="",0,($S386-$T386)*(1+('Econômico Macro'!$R$12/100)))</f>
        <v>53976.157725000005</v>
      </c>
      <c r="V386" s="880">
        <f t="shared" si="285"/>
        <v>61555.907725000005</v>
      </c>
      <c r="W386" s="880">
        <f t="shared" si="292"/>
        <v>61555.907725000005</v>
      </c>
      <c r="X386" s="367">
        <f t="shared" si="278"/>
        <v>0</v>
      </c>
      <c r="Y386" s="367">
        <f t="shared" si="279"/>
        <v>4.1666666666666671E-2</v>
      </c>
      <c r="Z386" s="367">
        <f t="shared" si="270"/>
        <v>-0.875</v>
      </c>
      <c r="AA386" s="367">
        <f t="shared" si="280"/>
        <v>4.1666666666666671E-2</v>
      </c>
      <c r="AB386" s="373"/>
      <c r="AD386" s="365"/>
      <c r="AE386" s="839"/>
      <c r="AR386" s="247"/>
      <c r="AS386" s="247"/>
      <c r="AT386" s="247"/>
      <c r="AU386" s="247"/>
      <c r="AW386" s="252"/>
      <c r="AX386" s="206"/>
      <c r="AY386" s="255"/>
      <c r="AZ386" s="236"/>
      <c r="CE386" s="485">
        <v>376</v>
      </c>
    </row>
    <row r="387" spans="1:83" s="130" customFormat="1" ht="21.95" customHeight="1" x14ac:dyDescent="0.2">
      <c r="A387" s="237">
        <f t="shared" si="281"/>
        <v>0</v>
      </c>
      <c r="B387" s="237">
        <f t="shared" si="282"/>
        <v>0</v>
      </c>
      <c r="C387" s="393">
        <f t="shared" si="276"/>
        <v>0</v>
      </c>
      <c r="D387" s="393" t="str">
        <f t="shared" si="277"/>
        <v xml:space="preserve">01 </v>
      </c>
      <c r="E387" s="959" t="s">
        <v>80</v>
      </c>
      <c r="F387" s="959" t="s">
        <v>2341</v>
      </c>
      <c r="G387" s="959" t="s">
        <v>8</v>
      </c>
      <c r="H387" s="960">
        <v>1</v>
      </c>
      <c r="I387" s="963">
        <v>2400</v>
      </c>
      <c r="J387" s="964">
        <v>2400</v>
      </c>
      <c r="K387" s="367">
        <v>0.12720000000000001</v>
      </c>
      <c r="L387" s="367">
        <f>IF($H387="",0,VLOOKUP($E387,Plan3!$A$386:$CT$487,$E$7,0))%</f>
        <v>0.16829999999999998</v>
      </c>
      <c r="M387" s="368">
        <f t="shared" si="287"/>
        <v>0.16829999999999998</v>
      </c>
      <c r="N387" s="368">
        <f t="shared" si="288"/>
        <v>403.91999999999996</v>
      </c>
      <c r="O387" s="367">
        <v>0.5</v>
      </c>
      <c r="P387" s="999">
        <v>0.5</v>
      </c>
      <c r="Q387" s="368">
        <f t="shared" si="289"/>
        <v>0.5</v>
      </c>
      <c r="R387" s="368">
        <f t="shared" si="290"/>
        <v>1200</v>
      </c>
      <c r="S387" s="880">
        <v>2413.92</v>
      </c>
      <c r="T387" s="880">
        <f t="shared" si="284"/>
        <v>1206.96</v>
      </c>
      <c r="U387" s="880">
        <f>IF($I387="",0,($S387-$T387)*(1+('Econômico Macro'!$R$12/100)))</f>
        <v>1227.8404080000003</v>
      </c>
      <c r="V387" s="880">
        <f t="shared" si="285"/>
        <v>2434.8004080000001</v>
      </c>
      <c r="W387" s="880">
        <f t="shared" si="292"/>
        <v>409.77690866639995</v>
      </c>
      <c r="X387" s="367">
        <f t="shared" si="278"/>
        <v>4.109999999999997E-2</v>
      </c>
      <c r="Y387" s="367">
        <f t="shared" si="279"/>
        <v>0</v>
      </c>
      <c r="Z387" s="367">
        <f t="shared" si="270"/>
        <v>0.33169999999999999</v>
      </c>
      <c r="AA387" s="367">
        <f t="shared" si="280"/>
        <v>-4.109999999999997E-2</v>
      </c>
      <c r="AB387" s="373"/>
      <c r="AD387" s="365"/>
      <c r="AE387" s="839"/>
      <c r="AR387" s="247"/>
      <c r="AS387" s="247"/>
      <c r="AT387" s="247"/>
      <c r="AU387" s="247"/>
      <c r="AW387" s="252"/>
      <c r="AX387" s="206"/>
      <c r="AY387" s="255"/>
      <c r="AZ387" s="236"/>
      <c r="CE387" s="485">
        <v>377</v>
      </c>
    </row>
    <row r="388" spans="1:83" s="130" customFormat="1" ht="21.95" customHeight="1" x14ac:dyDescent="0.2">
      <c r="A388" s="237">
        <f t="shared" si="281"/>
        <v>0</v>
      </c>
      <c r="B388" s="237">
        <f t="shared" si="282"/>
        <v>0</v>
      </c>
      <c r="C388" s="393">
        <f t="shared" si="276"/>
        <v>0</v>
      </c>
      <c r="D388" s="393" t="str">
        <f t="shared" si="277"/>
        <v xml:space="preserve">01 </v>
      </c>
      <c r="E388" s="959" t="s">
        <v>81</v>
      </c>
      <c r="F388" s="959" t="s">
        <v>508</v>
      </c>
      <c r="G388" s="959" t="s">
        <v>7</v>
      </c>
      <c r="H388" s="960">
        <v>1</v>
      </c>
      <c r="I388" s="963">
        <v>4000</v>
      </c>
      <c r="J388" s="964">
        <v>4000</v>
      </c>
      <c r="K388" s="367">
        <v>0</v>
      </c>
      <c r="L388" s="367">
        <f>IF($H388="",0,VLOOKUP($E388,Plan3!$A$386:$CT$487,$E$7,0))%</f>
        <v>0</v>
      </c>
      <c r="M388" s="368">
        <f t="shared" si="287"/>
        <v>0</v>
      </c>
      <c r="N388" s="368">
        <f t="shared" si="288"/>
        <v>0</v>
      </c>
      <c r="O388" s="367">
        <v>0</v>
      </c>
      <c r="P388" s="367">
        <f t="shared" ref="P388:P448" si="293">L388</f>
        <v>0</v>
      </c>
      <c r="Q388" s="368">
        <f t="shared" si="289"/>
        <v>0</v>
      </c>
      <c r="R388" s="368">
        <f t="shared" si="290"/>
        <v>0</v>
      </c>
      <c r="S388" s="880">
        <v>4046.4</v>
      </c>
      <c r="T388" s="880">
        <f t="shared" si="284"/>
        <v>0</v>
      </c>
      <c r="U388" s="880">
        <f>IF($I388="",0,($S388-$T388)*(1+('Econômico Macro'!$R$12/100)))</f>
        <v>4116.40272</v>
      </c>
      <c r="V388" s="880">
        <f t="shared" si="285"/>
        <v>4116.40272</v>
      </c>
      <c r="W388" s="880">
        <f t="shared" si="292"/>
        <v>0</v>
      </c>
      <c r="X388" s="367">
        <f t="shared" si="278"/>
        <v>0</v>
      </c>
      <c r="Y388" s="367">
        <f t="shared" si="279"/>
        <v>0</v>
      </c>
      <c r="Z388" s="367">
        <f t="shared" si="270"/>
        <v>0</v>
      </c>
      <c r="AA388" s="367">
        <f t="shared" si="280"/>
        <v>0</v>
      </c>
      <c r="AB388" s="373"/>
      <c r="AD388" s="365"/>
      <c r="AE388" s="839"/>
      <c r="AR388" s="247"/>
      <c r="AS388" s="247"/>
      <c r="AT388" s="247"/>
      <c r="AU388" s="247"/>
      <c r="AW388" s="252"/>
      <c r="AX388" s="206"/>
      <c r="AY388" s="255"/>
      <c r="AZ388" s="236"/>
      <c r="CE388" s="485">
        <v>378</v>
      </c>
    </row>
    <row r="389" spans="1:83" s="130" customFormat="1" ht="21.95" customHeight="1" x14ac:dyDescent="0.2">
      <c r="A389" s="237">
        <f t="shared" si="281"/>
        <v>0</v>
      </c>
      <c r="B389" s="237">
        <f t="shared" si="282"/>
        <v>0</v>
      </c>
      <c r="C389" s="393">
        <f t="shared" si="276"/>
        <v>0</v>
      </c>
      <c r="D389" s="393" t="str">
        <f t="shared" si="277"/>
        <v xml:space="preserve">01 </v>
      </c>
      <c r="E389" s="959" t="s">
        <v>153</v>
      </c>
      <c r="F389" s="959" t="s">
        <v>17</v>
      </c>
      <c r="G389" s="959" t="s">
        <v>10</v>
      </c>
      <c r="H389" s="970">
        <v>24</v>
      </c>
      <c r="I389" s="963">
        <v>1850</v>
      </c>
      <c r="J389" s="962">
        <v>44400</v>
      </c>
      <c r="K389" s="367">
        <v>0.33329999999999999</v>
      </c>
      <c r="L389" s="367">
        <f>IF($H389="",0,VLOOKUP($E389,Plan3!$A$386:$CT$487,$E$7,0))%</f>
        <v>0.33329999999999999</v>
      </c>
      <c r="M389" s="368">
        <f t="shared" si="287"/>
        <v>7.9992000000000001</v>
      </c>
      <c r="N389" s="368">
        <f t="shared" si="288"/>
        <v>14798.519999999999</v>
      </c>
      <c r="O389" s="367">
        <v>0.23</v>
      </c>
      <c r="P389" s="999">
        <v>0.23</v>
      </c>
      <c r="Q389" s="368">
        <f t="shared" si="289"/>
        <v>5.5200000000000005</v>
      </c>
      <c r="R389" s="368">
        <f t="shared" si="290"/>
        <v>10212</v>
      </c>
      <c r="S389" s="880">
        <v>44796.580800000003</v>
      </c>
      <c r="T389" s="880">
        <f t="shared" si="284"/>
        <v>10303.213584000001</v>
      </c>
      <c r="U389" s="880">
        <f>IF($I389="",0,($S389-$T389)*(1+('Econômico Macro'!$R$12/100)))</f>
        <v>35090.102468836805</v>
      </c>
      <c r="V389" s="880">
        <f t="shared" si="285"/>
        <v>45393.316052836803</v>
      </c>
      <c r="W389" s="880">
        <f t="shared" si="292"/>
        <v>15129.592240410506</v>
      </c>
      <c r="X389" s="367">
        <f t="shared" si="278"/>
        <v>0</v>
      </c>
      <c r="Y389" s="367">
        <f t="shared" si="279"/>
        <v>0</v>
      </c>
      <c r="Z389" s="367">
        <f t="shared" si="270"/>
        <v>-0.10329999999999998</v>
      </c>
      <c r="AA389" s="367">
        <f t="shared" si="280"/>
        <v>0</v>
      </c>
      <c r="AB389" s="373"/>
      <c r="AD389" s="365"/>
      <c r="AE389" s="839"/>
      <c r="AR389" s="247"/>
      <c r="AS389" s="247"/>
      <c r="AT389" s="247"/>
      <c r="AU389" s="247"/>
      <c r="AW389" s="252"/>
      <c r="AX389" s="206"/>
      <c r="AY389" s="255"/>
      <c r="AZ389" s="236"/>
      <c r="CE389" s="485">
        <v>379</v>
      </c>
    </row>
    <row r="390" spans="1:83" s="130" customFormat="1" ht="21.95" customHeight="1" x14ac:dyDescent="0.2">
      <c r="A390" s="237">
        <f t="shared" si="281"/>
        <v>0</v>
      </c>
      <c r="B390" s="237">
        <f t="shared" si="282"/>
        <v>0</v>
      </c>
      <c r="C390" s="393" t="str">
        <f t="shared" si="276"/>
        <v xml:space="preserve">02 </v>
      </c>
      <c r="D390" s="393" t="str">
        <f t="shared" si="277"/>
        <v xml:space="preserve">02 </v>
      </c>
      <c r="E390" s="161" t="s">
        <v>82</v>
      </c>
      <c r="F390" s="161" t="s">
        <v>154</v>
      </c>
      <c r="G390" s="162"/>
      <c r="H390" s="162"/>
      <c r="I390" s="162"/>
      <c r="J390" s="163">
        <v>65715.25</v>
      </c>
      <c r="K390" s="164">
        <v>4.7370288266422179E-2</v>
      </c>
      <c r="L390" s="164">
        <f t="array" ref="L390">SUM(IF($D391:$D$479=$E390,$L391:$L$479*$J391:$J$479))/$J390</f>
        <v>6.2676254050619912E-2</v>
      </c>
      <c r="M390" s="163">
        <f>$L390*$H390</f>
        <v>0</v>
      </c>
      <c r="N390" s="163">
        <f>$L390*$J390</f>
        <v>4118.7857039999999</v>
      </c>
      <c r="O390" s="164">
        <v>3.1033993885234652E-2</v>
      </c>
      <c r="P390" s="164">
        <f t="array" ref="P390">SUM(IF($D391:$D$479=$E390,$J391:$J$479*$P391:$P$479))/$J390</f>
        <v>4.6550990827851982E-2</v>
      </c>
      <c r="Q390" s="163">
        <f>$P390*$H390</f>
        <v>0</v>
      </c>
      <c r="R390" s="163">
        <f>$P390*$J390</f>
        <v>3059.11</v>
      </c>
      <c r="S390" s="163">
        <v>66453.889782666665</v>
      </c>
      <c r="T390" s="163">
        <f>SUM(T391:T401)</f>
        <v>3091.6385363333334</v>
      </c>
      <c r="U390" s="163"/>
      <c r="V390" s="163">
        <f t="shared" ref="V390:W390" si="294">SUM(V391:V401)</f>
        <v>67550.056729228236</v>
      </c>
      <c r="W390" s="163">
        <f t="shared" si="294"/>
        <v>4225.5932122412196</v>
      </c>
      <c r="X390" s="164">
        <f t="shared" si="278"/>
        <v>1.5305965784197732E-2</v>
      </c>
      <c r="Y390" s="164">
        <f t="shared" si="279"/>
        <v>1.551699694261733E-2</v>
      </c>
      <c r="Z390" s="164">
        <f t="shared" si="270"/>
        <v>-1.612526322276793E-2</v>
      </c>
      <c r="AA390" s="164">
        <f t="shared" si="280"/>
        <v>2.110311584195973E-4</v>
      </c>
      <c r="AB390" s="201"/>
      <c r="AC390" s="155"/>
      <c r="AD390" s="689"/>
      <c r="AE390" s="835"/>
      <c r="AF390" s="155"/>
      <c r="AG390" s="207"/>
      <c r="AH390" s="208"/>
      <c r="AI390" s="207"/>
      <c r="AJ390" s="208"/>
      <c r="AK390" s="155"/>
      <c r="AL390" s="212"/>
      <c r="AM390" s="209"/>
      <c r="AN390" s="209"/>
      <c r="AO390" s="209"/>
      <c r="AP390" s="213"/>
      <c r="AQ390" s="401"/>
      <c r="AR390" s="247"/>
      <c r="AS390" s="247"/>
      <c r="AT390" s="247"/>
      <c r="AU390" s="247"/>
      <c r="AV390" s="155"/>
      <c r="AW390" s="250"/>
      <c r="AX390" s="248"/>
      <c r="AY390" s="402"/>
      <c r="AZ390" s="237"/>
      <c r="BA390" s="155"/>
      <c r="BB390" s="155"/>
      <c r="BC390" s="155"/>
      <c r="BD390" s="155"/>
      <c r="BE390" s="155"/>
      <c r="BF390" s="155"/>
      <c r="BG390" s="155"/>
      <c r="BH390" s="155"/>
      <c r="BI390" s="155"/>
      <c r="BJ390" s="155"/>
      <c r="BK390" s="155"/>
      <c r="BL390" s="666"/>
      <c r="BM390" s="667"/>
      <c r="BN390" s="668"/>
      <c r="BO390" s="669"/>
      <c r="BP390" s="669"/>
      <c r="BQ390" s="670"/>
      <c r="BR390" s="671"/>
      <c r="BS390" s="669"/>
      <c r="BT390" s="669"/>
      <c r="BU390" s="672"/>
      <c r="CE390" s="485">
        <v>380</v>
      </c>
    </row>
    <row r="391" spans="1:83" s="130" customFormat="1" ht="21.95" customHeight="1" x14ac:dyDescent="0.2">
      <c r="A391" s="237">
        <f t="shared" si="281"/>
        <v>0</v>
      </c>
      <c r="B391" s="237">
        <f t="shared" si="282"/>
        <v>0</v>
      </c>
      <c r="C391" s="393">
        <f t="shared" si="276"/>
        <v>0</v>
      </c>
      <c r="D391" s="393" t="str">
        <f t="shared" si="277"/>
        <v xml:space="preserve">02 </v>
      </c>
      <c r="E391" s="959" t="s">
        <v>83</v>
      </c>
      <c r="F391" s="959" t="s">
        <v>517</v>
      </c>
      <c r="G391" s="959" t="s">
        <v>10</v>
      </c>
      <c r="H391" s="970">
        <v>22</v>
      </c>
      <c r="I391" s="965">
        <v>139.35319999999999</v>
      </c>
      <c r="J391" s="964">
        <v>3065.77</v>
      </c>
      <c r="K391" s="367">
        <v>0.12720000000000001</v>
      </c>
      <c r="L391" s="367">
        <f>IF($H391="",0,VLOOKUP($E391,Plan3!$A$386:$CT$487,$E$7,0))%</f>
        <v>0.16829999999999998</v>
      </c>
      <c r="M391" s="368">
        <f t="shared" si="287"/>
        <v>3.7025999999999994</v>
      </c>
      <c r="N391" s="368">
        <f t="shared" si="288"/>
        <v>515.96909099999993</v>
      </c>
      <c r="O391" s="367">
        <v>8.3333333333333329E-2</v>
      </c>
      <c r="P391" s="999">
        <f>3/24</f>
        <v>0.125</v>
      </c>
      <c r="Q391" s="368">
        <f t="shared" si="289"/>
        <v>2.75</v>
      </c>
      <c r="R391" s="368">
        <f t="shared" si="290"/>
        <v>383.22125</v>
      </c>
      <c r="S391" s="880">
        <v>3098.3693543333334</v>
      </c>
      <c r="T391" s="880">
        <f t="shared" si="284"/>
        <v>387.29616929166667</v>
      </c>
      <c r="U391" s="880">
        <f>IF($I391="",0,($S391-$T391)*(1+('Econômico Macro'!$R$12/100)))</f>
        <v>2757.9747511428882</v>
      </c>
      <c r="V391" s="880">
        <f t="shared" si="285"/>
        <v>3145.2709204345547</v>
      </c>
      <c r="W391" s="880">
        <f t="shared" si="292"/>
        <v>529.34909590913549</v>
      </c>
      <c r="X391" s="367">
        <f t="shared" si="278"/>
        <v>4.109999999999997E-2</v>
      </c>
      <c r="Y391" s="367">
        <f t="shared" si="279"/>
        <v>4.1666666666666671E-2</v>
      </c>
      <c r="Z391" s="367">
        <f t="shared" si="270"/>
        <v>-4.3299999999999977E-2</v>
      </c>
      <c r="AA391" s="367">
        <f t="shared" si="280"/>
        <v>5.666666666667014E-4</v>
      </c>
      <c r="AB391" s="373"/>
      <c r="AD391" s="365"/>
      <c r="AE391" s="839"/>
      <c r="AR391" s="247"/>
      <c r="AS391" s="247"/>
      <c r="AT391" s="247"/>
      <c r="AU391" s="247"/>
      <c r="AW391" s="252"/>
      <c r="AX391" s="206"/>
      <c r="AY391" s="255"/>
      <c r="AZ391" s="236"/>
      <c r="CE391" s="485"/>
    </row>
    <row r="392" spans="1:83" s="130" customFormat="1" ht="21.95" customHeight="1" x14ac:dyDescent="0.2">
      <c r="A392" s="237">
        <f t="shared" si="281"/>
        <v>0</v>
      </c>
      <c r="B392" s="237">
        <f t="shared" si="282"/>
        <v>0</v>
      </c>
      <c r="C392" s="393">
        <f t="shared" si="276"/>
        <v>0</v>
      </c>
      <c r="D392" s="393" t="str">
        <f t="shared" si="277"/>
        <v xml:space="preserve">02 </v>
      </c>
      <c r="E392" s="959" t="s">
        <v>84</v>
      </c>
      <c r="F392" s="959" t="s">
        <v>155</v>
      </c>
      <c r="G392" s="959" t="s">
        <v>8</v>
      </c>
      <c r="H392" s="965">
        <v>130</v>
      </c>
      <c r="I392" s="970">
        <v>69.221100000000007</v>
      </c>
      <c r="J392" s="964">
        <v>8998.74</v>
      </c>
      <c r="K392" s="367">
        <v>0.12720000000000001</v>
      </c>
      <c r="L392" s="367">
        <f>IF($H392="",0,VLOOKUP($E392,Plan3!$A$386:$CT$487,$E$7,0))%</f>
        <v>0.16829999999999998</v>
      </c>
      <c r="M392" s="368">
        <f t="shared" si="287"/>
        <v>21.878999999999998</v>
      </c>
      <c r="N392" s="368">
        <f t="shared" si="288"/>
        <v>1514.4879419999997</v>
      </c>
      <c r="O392" s="367">
        <v>8.3333333333333329E-2</v>
      </c>
      <c r="P392" s="999">
        <f>3/24</f>
        <v>0.125</v>
      </c>
      <c r="Q392" s="368">
        <f t="shared" si="289"/>
        <v>16.25</v>
      </c>
      <c r="R392" s="368">
        <f t="shared" si="290"/>
        <v>1124.8425</v>
      </c>
      <c r="S392" s="880">
        <v>9094.4266019999995</v>
      </c>
      <c r="T392" s="880">
        <f t="shared" si="284"/>
        <v>1136.8033252499999</v>
      </c>
      <c r="U392" s="880">
        <f>IF($I392="",0,($S392-$T392)*(1+('Econômico Macro'!$R$12/100)))</f>
        <v>8095.2901594377754</v>
      </c>
      <c r="V392" s="880">
        <f t="shared" si="285"/>
        <v>9232.0934846877753</v>
      </c>
      <c r="W392" s="880">
        <f t="shared" si="292"/>
        <v>1553.7613334729524</v>
      </c>
      <c r="X392" s="367">
        <f t="shared" si="278"/>
        <v>4.109999999999997E-2</v>
      </c>
      <c r="Y392" s="367">
        <f t="shared" si="279"/>
        <v>4.1666666666666671E-2</v>
      </c>
      <c r="Z392" s="367">
        <f t="shared" si="270"/>
        <v>-4.3299999999999977E-2</v>
      </c>
      <c r="AA392" s="367">
        <f t="shared" si="280"/>
        <v>5.666666666667014E-4</v>
      </c>
      <c r="AB392" s="373"/>
      <c r="AC392" s="155"/>
      <c r="AD392" s="689"/>
      <c r="AE392" s="835"/>
      <c r="AF392" s="155"/>
      <c r="AG392" s="207"/>
      <c r="AH392" s="208"/>
      <c r="AI392" s="207"/>
      <c r="AJ392" s="208"/>
      <c r="AK392" s="155"/>
      <c r="AL392" s="212"/>
      <c r="AM392" s="209"/>
      <c r="AN392" s="209"/>
      <c r="AO392" s="209"/>
      <c r="AP392" s="213"/>
      <c r="AQ392" s="401"/>
      <c r="AR392" s="247"/>
      <c r="AS392" s="247"/>
      <c r="AT392" s="247"/>
      <c r="AU392" s="247"/>
      <c r="AV392" s="155"/>
      <c r="AW392" s="250"/>
      <c r="AX392" s="248"/>
      <c r="AY392" s="402"/>
      <c r="AZ392" s="237"/>
      <c r="BA392" s="155"/>
      <c r="BB392" s="155"/>
      <c r="BC392" s="155"/>
      <c r="BD392" s="155"/>
      <c r="BE392" s="155"/>
      <c r="BF392" s="155"/>
      <c r="BG392" s="155"/>
      <c r="BH392" s="155"/>
      <c r="BI392" s="155"/>
      <c r="BJ392" s="155"/>
      <c r="BK392" s="155"/>
      <c r="BL392" s="666"/>
      <c r="BM392" s="667"/>
      <c r="BN392" s="668"/>
      <c r="BO392" s="669"/>
      <c r="BP392" s="669"/>
      <c r="BQ392" s="670"/>
      <c r="BR392" s="671"/>
      <c r="BS392" s="669"/>
      <c r="BT392" s="669"/>
      <c r="BU392" s="672"/>
      <c r="CE392" s="485">
        <v>381</v>
      </c>
    </row>
    <row r="393" spans="1:83" s="130" customFormat="1" ht="21.95" customHeight="1" x14ac:dyDescent="0.2">
      <c r="A393" s="237">
        <f t="shared" si="281"/>
        <v>0</v>
      </c>
      <c r="B393" s="237">
        <f t="shared" si="282"/>
        <v>0</v>
      </c>
      <c r="C393" s="393">
        <f t="shared" si="276"/>
        <v>0</v>
      </c>
      <c r="D393" s="393" t="str">
        <f t="shared" si="277"/>
        <v xml:space="preserve">02 </v>
      </c>
      <c r="E393" s="959" t="s">
        <v>85</v>
      </c>
      <c r="F393" s="959" t="s">
        <v>2342</v>
      </c>
      <c r="G393" s="959" t="s">
        <v>15</v>
      </c>
      <c r="H393" s="970">
        <v>86.96</v>
      </c>
      <c r="I393" s="965">
        <v>180.68199999999999</v>
      </c>
      <c r="J393" s="962">
        <v>15712.11</v>
      </c>
      <c r="K393" s="367">
        <v>0</v>
      </c>
      <c r="L393" s="367">
        <f>IF($H393="",0,VLOOKUP($E393,Plan3!$A$386:$CT$487,$E$7,0))%</f>
        <v>0</v>
      </c>
      <c r="M393" s="368">
        <f t="shared" si="287"/>
        <v>0</v>
      </c>
      <c r="N393" s="368">
        <f t="shared" si="288"/>
        <v>0</v>
      </c>
      <c r="O393" s="367">
        <v>0</v>
      </c>
      <c r="P393" s="367">
        <f t="shared" si="293"/>
        <v>0</v>
      </c>
      <c r="Q393" s="368">
        <f t="shared" si="289"/>
        <v>0</v>
      </c>
      <c r="R393" s="368">
        <f t="shared" si="290"/>
        <v>0</v>
      </c>
      <c r="S393" s="880">
        <v>15894.370476000002</v>
      </c>
      <c r="T393" s="880">
        <f t="shared" si="284"/>
        <v>0</v>
      </c>
      <c r="U393" s="880">
        <f>IF($I393="",0,($S393-$T393)*(1+('Econômico Macro'!$R$12/100)))</f>
        <v>16169.343085234803</v>
      </c>
      <c r="V393" s="880">
        <f t="shared" si="285"/>
        <v>16169.343085234803</v>
      </c>
      <c r="W393" s="880">
        <f t="shared" si="292"/>
        <v>0</v>
      </c>
      <c r="X393" s="367">
        <f t="shared" si="278"/>
        <v>0</v>
      </c>
      <c r="Y393" s="367">
        <f t="shared" si="279"/>
        <v>0</v>
      </c>
      <c r="Z393" s="367">
        <f t="shared" si="270"/>
        <v>0</v>
      </c>
      <c r="AA393" s="367">
        <f t="shared" si="280"/>
        <v>0</v>
      </c>
      <c r="AB393" s="373"/>
      <c r="AD393" s="365"/>
      <c r="AE393" s="839"/>
      <c r="AR393" s="247"/>
      <c r="AS393" s="247"/>
      <c r="AT393" s="247"/>
      <c r="AU393" s="247"/>
      <c r="AW393" s="252"/>
      <c r="AX393" s="206"/>
      <c r="AY393" s="255"/>
      <c r="AZ393" s="236"/>
      <c r="CE393" s="485">
        <v>382</v>
      </c>
    </row>
    <row r="394" spans="1:83" s="130" customFormat="1" ht="21.95" customHeight="1" x14ac:dyDescent="0.2">
      <c r="A394" s="237">
        <f t="shared" si="281"/>
        <v>0</v>
      </c>
      <c r="B394" s="237">
        <f t="shared" si="282"/>
        <v>0</v>
      </c>
      <c r="C394" s="393">
        <f t="shared" si="276"/>
        <v>0</v>
      </c>
      <c r="D394" s="393" t="str">
        <f t="shared" si="277"/>
        <v xml:space="preserve">02 </v>
      </c>
      <c r="E394" s="959" t="s">
        <v>157</v>
      </c>
      <c r="F394" s="959" t="s">
        <v>2343</v>
      </c>
      <c r="G394" s="959" t="s">
        <v>15</v>
      </c>
      <c r="H394" s="970">
        <v>86.96</v>
      </c>
      <c r="I394" s="965">
        <v>119.0051</v>
      </c>
      <c r="J394" s="962">
        <v>10348.68</v>
      </c>
      <c r="K394" s="367">
        <v>0</v>
      </c>
      <c r="L394" s="367">
        <f>IF($H394="",0,VLOOKUP($E394,Plan3!$A$386:$CT$487,$E$7,0))%</f>
        <v>0</v>
      </c>
      <c r="M394" s="368">
        <f t="shared" si="287"/>
        <v>0</v>
      </c>
      <c r="N394" s="368">
        <f t="shared" si="288"/>
        <v>0</v>
      </c>
      <c r="O394" s="367">
        <v>0</v>
      </c>
      <c r="P394" s="367">
        <f t="shared" si="293"/>
        <v>0</v>
      </c>
      <c r="Q394" s="368">
        <f t="shared" si="289"/>
        <v>0</v>
      </c>
      <c r="R394" s="368">
        <f t="shared" si="290"/>
        <v>0</v>
      </c>
      <c r="S394" s="880">
        <v>10468.724688</v>
      </c>
      <c r="T394" s="880">
        <f t="shared" si="284"/>
        <v>0</v>
      </c>
      <c r="U394" s="880">
        <f>IF($I394="",0,($S394-$T394)*(1+('Econômico Macro'!$R$12/100)))</f>
        <v>10649.833625102401</v>
      </c>
      <c r="V394" s="880">
        <f t="shared" si="285"/>
        <v>10649.833625102401</v>
      </c>
      <c r="W394" s="880">
        <f t="shared" si="292"/>
        <v>0</v>
      </c>
      <c r="X394" s="367">
        <f t="shared" si="278"/>
        <v>0</v>
      </c>
      <c r="Y394" s="367">
        <f t="shared" si="279"/>
        <v>0</v>
      </c>
      <c r="Z394" s="367">
        <f t="shared" si="270"/>
        <v>0</v>
      </c>
      <c r="AA394" s="367">
        <f t="shared" si="280"/>
        <v>0</v>
      </c>
      <c r="AB394" s="373"/>
      <c r="AD394" s="365"/>
      <c r="AE394" s="839"/>
      <c r="AR394" s="247"/>
      <c r="AS394" s="247"/>
      <c r="AT394" s="247"/>
      <c r="AU394" s="247"/>
      <c r="AW394" s="252"/>
      <c r="AX394" s="206"/>
      <c r="AY394" s="255"/>
      <c r="AZ394" s="236"/>
      <c r="CE394" s="485">
        <v>383</v>
      </c>
    </row>
    <row r="395" spans="1:83" s="130" customFormat="1" ht="21.95" customHeight="1" x14ac:dyDescent="0.2">
      <c r="A395" s="237">
        <f t="shared" si="281"/>
        <v>0</v>
      </c>
      <c r="B395" s="237">
        <f t="shared" si="282"/>
        <v>0</v>
      </c>
      <c r="C395" s="393">
        <f t="shared" si="276"/>
        <v>0</v>
      </c>
      <c r="D395" s="393" t="str">
        <f t="shared" si="277"/>
        <v xml:space="preserve">02 </v>
      </c>
      <c r="E395" s="959" t="s">
        <v>158</v>
      </c>
      <c r="F395" s="959" t="s">
        <v>159</v>
      </c>
      <c r="G395" s="959" t="s">
        <v>90</v>
      </c>
      <c r="H395" s="963">
        <v>1506.1</v>
      </c>
      <c r="I395" s="960">
        <v>1.8547</v>
      </c>
      <c r="J395" s="964">
        <v>2793.36</v>
      </c>
      <c r="K395" s="367">
        <v>0</v>
      </c>
      <c r="L395" s="367">
        <f>IF($H395="",0,VLOOKUP($E395,Plan3!$A$386:$CT$487,$E$7,0))%</f>
        <v>0</v>
      </c>
      <c r="M395" s="368">
        <f t="shared" si="287"/>
        <v>0</v>
      </c>
      <c r="N395" s="368">
        <f t="shared" si="288"/>
        <v>0</v>
      </c>
      <c r="O395" s="367">
        <v>0</v>
      </c>
      <c r="P395" s="367">
        <f t="shared" si="293"/>
        <v>0</v>
      </c>
      <c r="Q395" s="368">
        <f t="shared" si="289"/>
        <v>0</v>
      </c>
      <c r="R395" s="368">
        <f t="shared" si="290"/>
        <v>0</v>
      </c>
      <c r="S395" s="880">
        <v>2825.7629760000004</v>
      </c>
      <c r="T395" s="880">
        <f t="shared" si="284"/>
        <v>0</v>
      </c>
      <c r="U395" s="880">
        <f>IF($I395="",0,($S395-$T395)*(1+('Econômico Macro'!$R$12/100)))</f>
        <v>2874.6486754848006</v>
      </c>
      <c r="V395" s="880">
        <f t="shared" si="285"/>
        <v>2874.6486754848006</v>
      </c>
      <c r="W395" s="880">
        <f t="shared" si="292"/>
        <v>0</v>
      </c>
      <c r="X395" s="367">
        <f t="shared" si="278"/>
        <v>0</v>
      </c>
      <c r="Y395" s="367">
        <f t="shared" si="279"/>
        <v>0</v>
      </c>
      <c r="Z395" s="367">
        <f t="shared" si="270"/>
        <v>0</v>
      </c>
      <c r="AA395" s="367">
        <f t="shared" si="280"/>
        <v>0</v>
      </c>
      <c r="AB395" s="373"/>
      <c r="AD395" s="365"/>
      <c r="AE395" s="839"/>
      <c r="AR395" s="247"/>
      <c r="AS395" s="247"/>
      <c r="AT395" s="247"/>
      <c r="AU395" s="247"/>
      <c r="AW395" s="252"/>
      <c r="AX395" s="206"/>
      <c r="AY395" s="255"/>
      <c r="AZ395" s="236"/>
      <c r="CE395" s="485">
        <v>384</v>
      </c>
    </row>
    <row r="396" spans="1:83" s="130" customFormat="1" ht="21.95" customHeight="1" x14ac:dyDescent="0.2">
      <c r="A396" s="237">
        <f t="shared" si="281"/>
        <v>0</v>
      </c>
      <c r="B396" s="237">
        <f t="shared" si="282"/>
        <v>0</v>
      </c>
      <c r="C396" s="393">
        <f t="shared" si="276"/>
        <v>0</v>
      </c>
      <c r="D396" s="393" t="str">
        <f t="shared" si="277"/>
        <v xml:space="preserve">02 </v>
      </c>
      <c r="E396" s="959" t="s">
        <v>518</v>
      </c>
      <c r="F396" s="959" t="s">
        <v>2344</v>
      </c>
      <c r="G396" s="959" t="s">
        <v>15</v>
      </c>
      <c r="H396" s="965">
        <v>173.92</v>
      </c>
      <c r="I396" s="970">
        <v>43.55</v>
      </c>
      <c r="J396" s="964">
        <v>7574.22</v>
      </c>
      <c r="K396" s="367">
        <v>0</v>
      </c>
      <c r="L396" s="367">
        <f>IF($H396="",0,VLOOKUP($E396,Plan3!$A$386:$CT$487,$E$7,0))%</f>
        <v>0</v>
      </c>
      <c r="M396" s="368">
        <f t="shared" si="287"/>
        <v>0</v>
      </c>
      <c r="N396" s="368">
        <f t="shared" si="288"/>
        <v>0</v>
      </c>
      <c r="O396" s="367">
        <v>0</v>
      </c>
      <c r="P396" s="367">
        <f t="shared" si="293"/>
        <v>0</v>
      </c>
      <c r="Q396" s="368">
        <f t="shared" si="289"/>
        <v>0</v>
      </c>
      <c r="R396" s="368">
        <f t="shared" si="290"/>
        <v>0</v>
      </c>
      <c r="S396" s="880">
        <v>7662.0809520000003</v>
      </c>
      <c r="T396" s="880">
        <f t="shared" si="284"/>
        <v>0</v>
      </c>
      <c r="U396" s="880">
        <f>IF($I396="",0,($S396-$T396)*(1+('Econômico Macro'!$R$12/100)))</f>
        <v>7794.6349524696006</v>
      </c>
      <c r="V396" s="880">
        <f t="shared" si="285"/>
        <v>7794.6349524696006</v>
      </c>
      <c r="W396" s="880">
        <f t="shared" si="292"/>
        <v>0</v>
      </c>
      <c r="X396" s="367">
        <f t="shared" si="278"/>
        <v>0</v>
      </c>
      <c r="Y396" s="367">
        <f t="shared" si="279"/>
        <v>0</v>
      </c>
      <c r="Z396" s="367">
        <f t="shared" si="270"/>
        <v>0</v>
      </c>
      <c r="AA396" s="367">
        <f t="shared" si="280"/>
        <v>0</v>
      </c>
      <c r="AB396" s="373"/>
      <c r="AD396" s="365"/>
      <c r="AE396" s="839"/>
      <c r="AR396" s="247"/>
      <c r="AS396" s="247"/>
      <c r="AT396" s="247"/>
      <c r="AU396" s="247"/>
      <c r="AW396" s="252"/>
      <c r="AX396" s="206"/>
      <c r="AY396" s="255"/>
      <c r="AZ396" s="236"/>
      <c r="CE396" s="485">
        <v>385</v>
      </c>
    </row>
    <row r="397" spans="1:83" s="130" customFormat="1" ht="21.95" customHeight="1" x14ac:dyDescent="0.2">
      <c r="A397" s="237">
        <f t="shared" si="281"/>
        <v>0</v>
      </c>
      <c r="B397" s="237">
        <f t="shared" si="282"/>
        <v>0</v>
      </c>
      <c r="C397" s="393">
        <f t="shared" si="276"/>
        <v>0</v>
      </c>
      <c r="D397" s="393" t="str">
        <f t="shared" si="277"/>
        <v xml:space="preserve">02 </v>
      </c>
      <c r="E397" s="959" t="s">
        <v>519</v>
      </c>
      <c r="F397" s="959" t="s">
        <v>458</v>
      </c>
      <c r="G397" s="959" t="s">
        <v>8</v>
      </c>
      <c r="H397" s="970">
        <v>18</v>
      </c>
      <c r="I397" s="970">
        <v>45.222299999999997</v>
      </c>
      <c r="J397" s="966">
        <v>814</v>
      </c>
      <c r="K397" s="367">
        <v>0</v>
      </c>
      <c r="L397" s="367">
        <f>IF($H397="",0,VLOOKUP($E397,Plan3!$A$386:$CT$487,$E$7,0))%</f>
        <v>0</v>
      </c>
      <c r="M397" s="368">
        <f t="shared" si="287"/>
        <v>0</v>
      </c>
      <c r="N397" s="368">
        <f t="shared" si="288"/>
        <v>0</v>
      </c>
      <c r="O397" s="367">
        <v>0</v>
      </c>
      <c r="P397" s="367">
        <f t="shared" si="293"/>
        <v>0</v>
      </c>
      <c r="Q397" s="368">
        <f t="shared" si="289"/>
        <v>0</v>
      </c>
      <c r="R397" s="368">
        <f t="shared" si="290"/>
        <v>0</v>
      </c>
      <c r="S397" s="880">
        <v>823.44240000000002</v>
      </c>
      <c r="T397" s="880">
        <f t="shared" si="284"/>
        <v>0</v>
      </c>
      <c r="U397" s="880">
        <f>IF($I397="",0,($S397-$T397)*(1+('Econômico Macro'!$R$12/100)))</f>
        <v>837.68795352000006</v>
      </c>
      <c r="V397" s="880">
        <f t="shared" si="285"/>
        <v>837.68795352000006</v>
      </c>
      <c r="W397" s="880">
        <f t="shared" si="292"/>
        <v>0</v>
      </c>
      <c r="X397" s="367">
        <f t="shared" si="278"/>
        <v>0</v>
      </c>
      <c r="Y397" s="367">
        <f t="shared" si="279"/>
        <v>0</v>
      </c>
      <c r="Z397" s="367">
        <f t="shared" si="270"/>
        <v>0</v>
      </c>
      <c r="AA397" s="367">
        <f t="shared" si="280"/>
        <v>0</v>
      </c>
      <c r="AB397" s="373"/>
      <c r="AD397" s="365"/>
      <c r="AE397" s="839"/>
      <c r="AR397" s="247"/>
      <c r="AS397" s="247"/>
      <c r="AT397" s="247"/>
      <c r="AU397" s="247"/>
      <c r="AW397" s="252"/>
      <c r="AX397" s="206"/>
      <c r="AY397" s="255"/>
      <c r="AZ397" s="236"/>
      <c r="CE397" s="485">
        <v>386</v>
      </c>
    </row>
    <row r="398" spans="1:83" s="130" customFormat="1" ht="21.95" customHeight="1" x14ac:dyDescent="0.2">
      <c r="A398" s="237">
        <f t="shared" si="281"/>
        <v>0</v>
      </c>
      <c r="B398" s="237">
        <f t="shared" si="282"/>
        <v>0</v>
      </c>
      <c r="C398" s="393">
        <f t="shared" si="276"/>
        <v>0</v>
      </c>
      <c r="D398" s="393" t="str">
        <f t="shared" si="277"/>
        <v xml:space="preserve">02 </v>
      </c>
      <c r="E398" s="959" t="s">
        <v>520</v>
      </c>
      <c r="F398" s="959" t="s">
        <v>2345</v>
      </c>
      <c r="G398" s="959" t="s">
        <v>7</v>
      </c>
      <c r="H398" s="960">
        <v>1</v>
      </c>
      <c r="I398" s="963">
        <v>4000</v>
      </c>
      <c r="J398" s="964">
        <v>4000</v>
      </c>
      <c r="K398" s="367">
        <v>0</v>
      </c>
      <c r="L398" s="367">
        <f>IF($H398="",0,VLOOKUP($E398,Plan3!$A$386:$CT$487,$E$7,0))%</f>
        <v>0</v>
      </c>
      <c r="M398" s="368">
        <f t="shared" si="287"/>
        <v>0</v>
      </c>
      <c r="N398" s="368">
        <f t="shared" si="288"/>
        <v>0</v>
      </c>
      <c r="O398" s="367">
        <v>0</v>
      </c>
      <c r="P398" s="367">
        <f t="shared" si="293"/>
        <v>0</v>
      </c>
      <c r="Q398" s="368">
        <f t="shared" si="289"/>
        <v>0</v>
      </c>
      <c r="R398" s="368">
        <f t="shared" si="290"/>
        <v>0</v>
      </c>
      <c r="S398" s="880">
        <v>4046.4</v>
      </c>
      <c r="T398" s="880">
        <f t="shared" si="284"/>
        <v>0</v>
      </c>
      <c r="U398" s="880">
        <f>IF($I398="",0,($S398-$T398)*(1+('Econômico Macro'!$R$12/100)))</f>
        <v>4116.40272</v>
      </c>
      <c r="V398" s="880">
        <f t="shared" si="285"/>
        <v>4116.40272</v>
      </c>
      <c r="W398" s="880">
        <f t="shared" si="292"/>
        <v>0</v>
      </c>
      <c r="X398" s="367">
        <f t="shared" si="278"/>
        <v>0</v>
      </c>
      <c r="Y398" s="367">
        <f t="shared" si="279"/>
        <v>0</v>
      </c>
      <c r="Z398" s="367">
        <f t="shared" si="270"/>
        <v>0</v>
      </c>
      <c r="AA398" s="367">
        <f t="shared" si="280"/>
        <v>0</v>
      </c>
      <c r="AB398" s="373"/>
      <c r="AD398" s="365"/>
      <c r="AE398" s="839"/>
      <c r="AR398" s="247"/>
      <c r="AS398" s="247"/>
      <c r="AT398" s="247"/>
      <c r="AU398" s="247"/>
      <c r="AW398" s="252"/>
      <c r="AX398" s="206"/>
      <c r="AY398" s="255"/>
      <c r="AZ398" s="236"/>
      <c r="CE398" s="485">
        <v>387</v>
      </c>
    </row>
    <row r="399" spans="1:83" s="130" customFormat="1" ht="21.95" customHeight="1" x14ac:dyDescent="0.2">
      <c r="A399" s="237">
        <f t="shared" si="281"/>
        <v>0</v>
      </c>
      <c r="B399" s="237">
        <f t="shared" si="282"/>
        <v>0</v>
      </c>
      <c r="C399" s="393">
        <f t="shared" si="276"/>
        <v>0</v>
      </c>
      <c r="D399" s="393" t="str">
        <f t="shared" si="277"/>
        <v xml:space="preserve">02 </v>
      </c>
      <c r="E399" s="959" t="s">
        <v>521</v>
      </c>
      <c r="F399" s="959" t="s">
        <v>386</v>
      </c>
      <c r="G399" s="959" t="s">
        <v>7</v>
      </c>
      <c r="H399" s="960">
        <v>1</v>
      </c>
      <c r="I399" s="963">
        <v>2500</v>
      </c>
      <c r="J399" s="964">
        <v>2500</v>
      </c>
      <c r="K399" s="367">
        <v>0.12720000000000001</v>
      </c>
      <c r="L399" s="367">
        <f>IF($H399="",0,VLOOKUP($E399,Plan3!$A$386:$CT$487,$E$7,0))%</f>
        <v>0.16829999999999998</v>
      </c>
      <c r="M399" s="368">
        <f t="shared" si="287"/>
        <v>0.16829999999999998</v>
      </c>
      <c r="N399" s="368">
        <f t="shared" si="288"/>
        <v>420.74999999999994</v>
      </c>
      <c r="O399" s="367">
        <v>8.3333333333333329E-2</v>
      </c>
      <c r="P399" s="999">
        <f t="shared" ref="P399:P401" si="295">3/24</f>
        <v>0.125</v>
      </c>
      <c r="Q399" s="368">
        <f t="shared" si="289"/>
        <v>0.125</v>
      </c>
      <c r="R399" s="368">
        <f t="shared" si="290"/>
        <v>312.5</v>
      </c>
      <c r="S399" s="880">
        <v>2526.5833333333335</v>
      </c>
      <c r="T399" s="880">
        <f t="shared" si="284"/>
        <v>315.82291666666669</v>
      </c>
      <c r="U399" s="880">
        <f>IF($I399="",0,($S399-$T399)*(1+('Econômico Macro'!$R$12/100)))</f>
        <v>2249.0065718750006</v>
      </c>
      <c r="V399" s="880">
        <f t="shared" si="285"/>
        <v>2564.8294885416672</v>
      </c>
      <c r="W399" s="880">
        <f t="shared" si="292"/>
        <v>431.66080292156255</v>
      </c>
      <c r="X399" s="367">
        <f t="shared" si="278"/>
        <v>4.109999999999997E-2</v>
      </c>
      <c r="Y399" s="367">
        <f t="shared" si="279"/>
        <v>4.1666666666666671E-2</v>
      </c>
      <c r="Z399" s="367">
        <f t="shared" si="270"/>
        <v>-4.3299999999999977E-2</v>
      </c>
      <c r="AA399" s="367">
        <f t="shared" si="280"/>
        <v>5.666666666667014E-4</v>
      </c>
      <c r="AB399" s="373"/>
      <c r="AD399" s="365"/>
      <c r="AE399" s="839"/>
      <c r="AR399" s="247"/>
      <c r="AS399" s="247"/>
      <c r="AT399" s="247"/>
      <c r="AU399" s="247"/>
      <c r="AW399" s="252"/>
      <c r="AX399" s="206"/>
      <c r="AY399" s="255"/>
      <c r="AZ399" s="236"/>
      <c r="CE399" s="485">
        <v>388</v>
      </c>
    </row>
    <row r="400" spans="1:83" s="130" customFormat="1" ht="21.95" customHeight="1" x14ac:dyDescent="0.2">
      <c r="A400" s="237">
        <f t="shared" si="281"/>
        <v>0</v>
      </c>
      <c r="B400" s="237">
        <f t="shared" si="282"/>
        <v>0</v>
      </c>
      <c r="C400" s="393">
        <f t="shared" si="276"/>
        <v>0</v>
      </c>
      <c r="D400" s="393" t="str">
        <f t="shared" si="277"/>
        <v xml:space="preserve">02 </v>
      </c>
      <c r="E400" s="959" t="s">
        <v>2346</v>
      </c>
      <c r="F400" s="959" t="s">
        <v>522</v>
      </c>
      <c r="G400" s="959" t="s">
        <v>8</v>
      </c>
      <c r="H400" s="965">
        <v>130</v>
      </c>
      <c r="I400" s="970">
        <v>59.6798</v>
      </c>
      <c r="J400" s="964">
        <v>7758.37</v>
      </c>
      <c r="K400" s="367">
        <v>0.12720000000000001</v>
      </c>
      <c r="L400" s="367">
        <f>IF($H400="",0,VLOOKUP($E400,Plan3!$A$386:$CT$487,$E$7,0))%</f>
        <v>0.16829999999999998</v>
      </c>
      <c r="M400" s="368">
        <f t="shared" si="287"/>
        <v>21.878999999999998</v>
      </c>
      <c r="N400" s="368">
        <f t="shared" si="288"/>
        <v>1305.7336709999997</v>
      </c>
      <c r="O400" s="367">
        <v>8.3333333333333329E-2</v>
      </c>
      <c r="P400" s="999">
        <f t="shared" si="295"/>
        <v>0.125</v>
      </c>
      <c r="Q400" s="368">
        <f t="shared" si="289"/>
        <v>16.25</v>
      </c>
      <c r="R400" s="368">
        <f t="shared" si="290"/>
        <v>969.79624999999999</v>
      </c>
      <c r="S400" s="880">
        <v>7840.8673343333339</v>
      </c>
      <c r="T400" s="880">
        <f t="shared" si="284"/>
        <v>980.10841679166674</v>
      </c>
      <c r="U400" s="880">
        <f>IF($I400="",0,($S400-$T400)*(1+('Econômico Macro'!$R$12/100)))</f>
        <v>6979.4500468151382</v>
      </c>
      <c r="V400" s="880">
        <f t="shared" si="285"/>
        <v>7959.5584636068052</v>
      </c>
      <c r="W400" s="880">
        <f t="shared" si="292"/>
        <v>1339.5936894250251</v>
      </c>
      <c r="X400" s="367">
        <f t="shared" si="278"/>
        <v>4.109999999999997E-2</v>
      </c>
      <c r="Y400" s="367">
        <f t="shared" si="279"/>
        <v>4.1666666666666671E-2</v>
      </c>
      <c r="Z400" s="367">
        <f t="shared" si="270"/>
        <v>-4.3299999999999977E-2</v>
      </c>
      <c r="AA400" s="367">
        <f t="shared" si="280"/>
        <v>5.666666666667014E-4</v>
      </c>
      <c r="AB400" s="373"/>
      <c r="AC400" s="155"/>
      <c r="AD400" s="689"/>
      <c r="AE400" s="835"/>
      <c r="AF400" s="155"/>
      <c r="AG400" s="207"/>
      <c r="AH400" s="208"/>
      <c r="AI400" s="207"/>
      <c r="AJ400" s="208"/>
      <c r="AK400" s="155"/>
      <c r="AL400" s="212"/>
      <c r="AM400" s="209"/>
      <c r="AN400" s="209"/>
      <c r="AO400" s="209"/>
      <c r="AP400" s="213"/>
      <c r="AQ400" s="401"/>
      <c r="AR400" s="247"/>
      <c r="AS400" s="247"/>
      <c r="AT400" s="247"/>
      <c r="AU400" s="247"/>
      <c r="AV400" s="155"/>
      <c r="AW400" s="250"/>
      <c r="AX400" s="248"/>
      <c r="AY400" s="402"/>
      <c r="AZ400" s="237"/>
      <c r="BA400" s="155"/>
      <c r="BB400" s="155"/>
      <c r="BC400" s="155"/>
      <c r="BD400" s="155"/>
      <c r="BE400" s="155"/>
      <c r="BF400" s="155"/>
      <c r="BG400" s="155"/>
      <c r="BH400" s="155"/>
      <c r="BI400" s="155"/>
      <c r="BJ400" s="155"/>
      <c r="BK400" s="155"/>
      <c r="BL400" s="666"/>
      <c r="BM400" s="667"/>
      <c r="BN400" s="668"/>
      <c r="BO400" s="669"/>
      <c r="BP400" s="669"/>
      <c r="BQ400" s="670"/>
      <c r="BR400" s="671"/>
      <c r="BS400" s="669"/>
      <c r="BT400" s="669"/>
      <c r="BU400" s="672"/>
      <c r="CE400" s="485">
        <v>389</v>
      </c>
    </row>
    <row r="401" spans="1:83" s="130" customFormat="1" ht="21.95" customHeight="1" x14ac:dyDescent="0.2">
      <c r="A401" s="237">
        <f t="shared" si="281"/>
        <v>0</v>
      </c>
      <c r="B401" s="237">
        <f t="shared" si="282"/>
        <v>0</v>
      </c>
      <c r="C401" s="393">
        <f t="shared" si="276"/>
        <v>0</v>
      </c>
      <c r="D401" s="393" t="str">
        <f t="shared" si="277"/>
        <v xml:space="preserve">02 </v>
      </c>
      <c r="E401" s="959" t="s">
        <v>2347</v>
      </c>
      <c r="F401" s="959" t="s">
        <v>2152</v>
      </c>
      <c r="G401" s="959" t="s">
        <v>8</v>
      </c>
      <c r="H401" s="970">
        <v>43</v>
      </c>
      <c r="I401" s="970">
        <v>50</v>
      </c>
      <c r="J401" s="964">
        <v>2150</v>
      </c>
      <c r="K401" s="367">
        <v>0.12720000000000001</v>
      </c>
      <c r="L401" s="367">
        <f>IF($H401="",0,VLOOKUP($E401,Plan3!$A$386:$CT$487,$E$7,0))%</f>
        <v>0.16829999999999998</v>
      </c>
      <c r="M401" s="368">
        <f t="shared" si="287"/>
        <v>7.2368999999999994</v>
      </c>
      <c r="N401" s="368">
        <f t="shared" si="288"/>
        <v>361.84499999999997</v>
      </c>
      <c r="O401" s="367">
        <v>8.3333333333333329E-2</v>
      </c>
      <c r="P401" s="999">
        <f t="shared" si="295"/>
        <v>0.125</v>
      </c>
      <c r="Q401" s="368">
        <f t="shared" si="289"/>
        <v>5.375</v>
      </c>
      <c r="R401" s="368">
        <f t="shared" si="290"/>
        <v>268.75</v>
      </c>
      <c r="S401" s="880">
        <v>2172.8616666666667</v>
      </c>
      <c r="T401" s="880">
        <f t="shared" si="284"/>
        <v>271.60770833333333</v>
      </c>
      <c r="U401" s="880">
        <f>IF($I401="",0,($S401-$T401)*(1+('Econômico Macro'!$R$12/100)))</f>
        <v>1934.1456518125001</v>
      </c>
      <c r="V401" s="880">
        <f t="shared" si="285"/>
        <v>2205.7533601458335</v>
      </c>
      <c r="W401" s="880">
        <f t="shared" si="292"/>
        <v>371.22829051254371</v>
      </c>
      <c r="X401" s="367">
        <f t="shared" si="278"/>
        <v>4.109999999999997E-2</v>
      </c>
      <c r="Y401" s="367">
        <f t="shared" si="279"/>
        <v>4.1666666666666671E-2</v>
      </c>
      <c r="Z401" s="367">
        <f t="shared" si="270"/>
        <v>-4.3299999999999977E-2</v>
      </c>
      <c r="AA401" s="367">
        <f t="shared" si="280"/>
        <v>5.666666666667014E-4</v>
      </c>
      <c r="AB401" s="373"/>
      <c r="AD401" s="365"/>
      <c r="AE401" s="839"/>
      <c r="AR401" s="247"/>
      <c r="AS401" s="247"/>
      <c r="AT401" s="247"/>
      <c r="AU401" s="247"/>
      <c r="AW401" s="252"/>
      <c r="AX401" s="206"/>
      <c r="AY401" s="255"/>
      <c r="AZ401" s="236"/>
      <c r="CE401" s="485">
        <v>390</v>
      </c>
    </row>
    <row r="402" spans="1:83" s="130" customFormat="1" ht="21.95" customHeight="1" x14ac:dyDescent="0.2">
      <c r="A402" s="237">
        <f t="shared" si="281"/>
        <v>0</v>
      </c>
      <c r="B402" s="237">
        <f t="shared" si="282"/>
        <v>0</v>
      </c>
      <c r="C402" s="393" t="str">
        <f t="shared" si="276"/>
        <v xml:space="preserve">03 </v>
      </c>
      <c r="D402" s="393" t="str">
        <f t="shared" si="277"/>
        <v xml:space="preserve">03 </v>
      </c>
      <c r="E402" s="161" t="s">
        <v>86</v>
      </c>
      <c r="F402" s="161" t="s">
        <v>523</v>
      </c>
      <c r="G402" s="162"/>
      <c r="H402" s="162"/>
      <c r="I402" s="162"/>
      <c r="J402" s="163">
        <v>1475807.01</v>
      </c>
      <c r="K402" s="164">
        <v>0.12720000000000001</v>
      </c>
      <c r="L402" s="164">
        <f t="array" ref="L402">SUM(IF($D403:$D$479=$E402,$L403:$L$479*$J403:$J$479))/$J402</f>
        <v>0.16829999999999998</v>
      </c>
      <c r="M402" s="163">
        <f>$L402*$H402</f>
        <v>0</v>
      </c>
      <c r="N402" s="163">
        <f>$L402*$J402</f>
        <v>248378.31978299996</v>
      </c>
      <c r="O402" s="164">
        <v>8.5315793311845925E-2</v>
      </c>
      <c r="P402" s="164">
        <f t="array" ref="P402">SUM(IF($D403:$D$479=$E402,$J403:$J$479*$P403:$P$479))/$J402</f>
        <v>0.12782970095121041</v>
      </c>
      <c r="Q402" s="163">
        <f>$P402*$H402</f>
        <v>0</v>
      </c>
      <c r="R402" s="163">
        <f>$P402*$J402</f>
        <v>188651.96875</v>
      </c>
      <c r="S402" s="163">
        <v>1491465.8194243333</v>
      </c>
      <c r="T402" s="163">
        <f>SUM(T403:T429)</f>
        <v>190554.4138510417</v>
      </c>
      <c r="U402" s="163"/>
      <c r="V402" s="163">
        <f t="shared" ref="V402:W402" si="296">SUM(V403:V429)</f>
        <v>1513971.5867407515</v>
      </c>
      <c r="W402" s="163">
        <f t="shared" si="296"/>
        <v>254801.41804846842</v>
      </c>
      <c r="X402" s="164">
        <f t="shared" si="278"/>
        <v>4.109999999999997E-2</v>
      </c>
      <c r="Y402" s="164">
        <f t="shared" si="279"/>
        <v>4.2513907639364482E-2</v>
      </c>
      <c r="Z402" s="164">
        <f t="shared" si="270"/>
        <v>-4.0470299048789571E-2</v>
      </c>
      <c r="AA402" s="164">
        <f t="shared" si="280"/>
        <v>1.4139076393645117E-3</v>
      </c>
      <c r="AB402" s="201"/>
      <c r="AD402" s="365"/>
      <c r="AE402" s="839"/>
      <c r="AR402" s="247"/>
      <c r="AS402" s="247"/>
      <c r="AT402" s="247"/>
      <c r="AU402" s="247"/>
      <c r="AW402" s="252"/>
      <c r="AX402" s="206"/>
      <c r="AY402" s="255"/>
      <c r="AZ402" s="236"/>
      <c r="CE402" s="485">
        <v>391</v>
      </c>
    </row>
    <row r="403" spans="1:83" s="130" customFormat="1" ht="21.95" customHeight="1" x14ac:dyDescent="0.2">
      <c r="A403" s="237">
        <f t="shared" si="281"/>
        <v>0</v>
      </c>
      <c r="B403" s="237">
        <f t="shared" si="282"/>
        <v>0</v>
      </c>
      <c r="C403" s="393">
        <f t="shared" si="276"/>
        <v>0</v>
      </c>
      <c r="D403" s="393" t="str">
        <f t="shared" si="277"/>
        <v xml:space="preserve">03 </v>
      </c>
      <c r="E403" s="967" t="s">
        <v>524</v>
      </c>
      <c r="F403" s="967" t="s">
        <v>525</v>
      </c>
      <c r="G403" s="967"/>
      <c r="H403" s="968"/>
      <c r="I403" s="968"/>
      <c r="J403" s="971">
        <v>848019.21</v>
      </c>
      <c r="K403" s="367">
        <v>0</v>
      </c>
      <c r="L403" s="367">
        <f>IF($H403="",0,VLOOKUP($E403,Plan3!$A$386:$CT$487,$E$7,0))%</f>
        <v>0</v>
      </c>
      <c r="M403" s="368">
        <f t="shared" si="287"/>
        <v>0</v>
      </c>
      <c r="N403" s="368">
        <f t="shared" si="288"/>
        <v>0</v>
      </c>
      <c r="O403" s="367">
        <v>0</v>
      </c>
      <c r="P403" s="367">
        <f t="shared" si="293"/>
        <v>0</v>
      </c>
      <c r="Q403" s="368">
        <f t="shared" si="289"/>
        <v>0</v>
      </c>
      <c r="R403" s="368">
        <f t="shared" si="290"/>
        <v>0</v>
      </c>
      <c r="S403" s="880">
        <v>0</v>
      </c>
      <c r="T403" s="880">
        <f t="shared" si="284"/>
        <v>0</v>
      </c>
      <c r="U403" s="880">
        <f>IF($I403="",0,($S403-$T403)*(1+('Econômico Macro'!$R$12/100)))</f>
        <v>0</v>
      </c>
      <c r="V403" s="880">
        <f t="shared" si="285"/>
        <v>0</v>
      </c>
      <c r="W403" s="880">
        <f t="shared" si="292"/>
        <v>0</v>
      </c>
      <c r="X403" s="367">
        <f t="shared" si="278"/>
        <v>0</v>
      </c>
      <c r="Y403" s="367">
        <f t="shared" si="279"/>
        <v>0</v>
      </c>
      <c r="Z403" s="367">
        <f t="shared" si="270"/>
        <v>0</v>
      </c>
      <c r="AA403" s="367">
        <f t="shared" si="280"/>
        <v>0</v>
      </c>
      <c r="AB403" s="373"/>
      <c r="AC403" s="155"/>
      <c r="AD403" s="689"/>
      <c r="AE403" s="835"/>
      <c r="AF403" s="155"/>
      <c r="AG403" s="207"/>
      <c r="AH403" s="208"/>
      <c r="AI403" s="207"/>
      <c r="AJ403" s="208"/>
      <c r="AK403" s="155"/>
      <c r="AL403" s="212"/>
      <c r="AM403" s="209"/>
      <c r="AN403" s="209"/>
      <c r="AO403" s="209"/>
      <c r="AP403" s="213"/>
      <c r="AQ403" s="401"/>
      <c r="AR403" s="247"/>
      <c r="AS403" s="247"/>
      <c r="AT403" s="247"/>
      <c r="AU403" s="247"/>
      <c r="AV403" s="155"/>
      <c r="AW403" s="250"/>
      <c r="AX403" s="248"/>
      <c r="AY403" s="402"/>
      <c r="AZ403" s="237"/>
      <c r="BA403" s="155"/>
      <c r="BB403" s="155"/>
      <c r="BC403" s="155"/>
      <c r="BD403" s="155"/>
      <c r="BE403" s="155"/>
      <c r="BF403" s="155"/>
      <c r="BG403" s="155"/>
      <c r="BH403" s="155"/>
      <c r="BI403" s="155"/>
      <c r="BJ403" s="155"/>
      <c r="BK403" s="155"/>
      <c r="BL403" s="666"/>
      <c r="BM403" s="667"/>
      <c r="BN403" s="668"/>
      <c r="BO403" s="669"/>
      <c r="BP403" s="669"/>
      <c r="BQ403" s="670"/>
      <c r="BR403" s="671"/>
      <c r="BS403" s="669"/>
      <c r="BT403" s="669"/>
      <c r="BU403" s="672"/>
      <c r="CE403" s="485">
        <v>392</v>
      </c>
    </row>
    <row r="404" spans="1:83" s="130" customFormat="1" ht="21.95" customHeight="1" x14ac:dyDescent="0.2">
      <c r="A404" s="237">
        <f t="shared" si="281"/>
        <v>0</v>
      </c>
      <c r="B404" s="237">
        <f t="shared" si="282"/>
        <v>0</v>
      </c>
      <c r="C404" s="393">
        <f t="shared" si="276"/>
        <v>0</v>
      </c>
      <c r="D404" s="393" t="str">
        <f t="shared" si="277"/>
        <v xml:space="preserve">03 </v>
      </c>
      <c r="E404" s="959" t="s">
        <v>526</v>
      </c>
      <c r="F404" s="959" t="s">
        <v>527</v>
      </c>
      <c r="G404" s="959" t="s">
        <v>10</v>
      </c>
      <c r="H404" s="970">
        <v>23</v>
      </c>
      <c r="I404" s="963">
        <v>7000</v>
      </c>
      <c r="J404" s="972">
        <v>161000</v>
      </c>
      <c r="K404" s="367">
        <v>0.12720000000000001</v>
      </c>
      <c r="L404" s="367">
        <f>IF($H404="",0,VLOOKUP($E404,Plan3!$A$386:$CT$487,$E$7,0))%</f>
        <v>0.16829999999999998</v>
      </c>
      <c r="M404" s="368">
        <f t="shared" si="287"/>
        <v>3.8708999999999993</v>
      </c>
      <c r="N404" s="368">
        <f t="shared" si="288"/>
        <v>27096.299999999996</v>
      </c>
      <c r="O404" s="367">
        <v>8.3333333333333329E-2</v>
      </c>
      <c r="P404" s="999">
        <f t="shared" ref="P404:P409" si="297">3/24</f>
        <v>0.125</v>
      </c>
      <c r="Q404" s="368">
        <f t="shared" si="289"/>
        <v>2.875</v>
      </c>
      <c r="R404" s="368">
        <f t="shared" si="290"/>
        <v>20125</v>
      </c>
      <c r="S404" s="880">
        <v>162711.96666666667</v>
      </c>
      <c r="T404" s="880">
        <f t="shared" si="284"/>
        <v>20338.995833333334</v>
      </c>
      <c r="U404" s="880">
        <f>IF($I404="",0,($S404-$T404)*(1+('Econômico Macro'!$R$12/100)))</f>
        <v>144836.02322875001</v>
      </c>
      <c r="V404" s="880">
        <f t="shared" si="285"/>
        <v>165175.01906208333</v>
      </c>
      <c r="W404" s="880">
        <f t="shared" si="292"/>
        <v>27798.95570814862</v>
      </c>
      <c r="X404" s="367">
        <f t="shared" si="278"/>
        <v>4.109999999999997E-2</v>
      </c>
      <c r="Y404" s="367">
        <f t="shared" si="279"/>
        <v>4.1666666666666671E-2</v>
      </c>
      <c r="Z404" s="367">
        <f t="shared" si="270"/>
        <v>-4.3299999999999977E-2</v>
      </c>
      <c r="AA404" s="367">
        <f t="shared" si="280"/>
        <v>5.666666666667014E-4</v>
      </c>
      <c r="AB404" s="373"/>
      <c r="AD404" s="365"/>
      <c r="AE404" s="839"/>
      <c r="AR404" s="247"/>
      <c r="AS404" s="247"/>
      <c r="AT404" s="247"/>
      <c r="AU404" s="247"/>
      <c r="AW404" s="252"/>
      <c r="AX404" s="206"/>
      <c r="AY404" s="255"/>
      <c r="AZ404" s="236"/>
      <c r="CE404" s="485">
        <v>393</v>
      </c>
    </row>
    <row r="405" spans="1:83" s="130" customFormat="1" ht="21.95" customHeight="1" x14ac:dyDescent="0.2">
      <c r="A405" s="237">
        <f t="shared" si="281"/>
        <v>0</v>
      </c>
      <c r="B405" s="237">
        <f t="shared" si="282"/>
        <v>0</v>
      </c>
      <c r="C405" s="393">
        <f t="shared" si="276"/>
        <v>0</v>
      </c>
      <c r="D405" s="393" t="str">
        <f t="shared" si="277"/>
        <v xml:space="preserve">03 </v>
      </c>
      <c r="E405" s="959" t="s">
        <v>528</v>
      </c>
      <c r="F405" s="959" t="s">
        <v>824</v>
      </c>
      <c r="G405" s="959" t="s">
        <v>10</v>
      </c>
      <c r="H405" s="970">
        <v>24</v>
      </c>
      <c r="I405" s="963">
        <v>1300</v>
      </c>
      <c r="J405" s="962">
        <v>31200</v>
      </c>
      <c r="K405" s="367">
        <v>0.12720000000000001</v>
      </c>
      <c r="L405" s="367">
        <f>IF($H405="",0,VLOOKUP($E405,Plan3!$A$386:$CT$487,$E$7,0))%</f>
        <v>0.16829999999999998</v>
      </c>
      <c r="M405" s="368">
        <f t="shared" si="287"/>
        <v>4.0391999999999992</v>
      </c>
      <c r="N405" s="368">
        <f t="shared" si="288"/>
        <v>5250.9599999999991</v>
      </c>
      <c r="O405" s="367">
        <v>8.3333333333333329E-2</v>
      </c>
      <c r="P405" s="999">
        <f t="shared" si="297"/>
        <v>0.125</v>
      </c>
      <c r="Q405" s="368">
        <f t="shared" si="289"/>
        <v>3</v>
      </c>
      <c r="R405" s="368">
        <f t="shared" si="290"/>
        <v>3900</v>
      </c>
      <c r="S405" s="880">
        <v>31531.760000000002</v>
      </c>
      <c r="T405" s="880">
        <f t="shared" si="284"/>
        <v>3941.4700000000003</v>
      </c>
      <c r="U405" s="880">
        <f>IF($I405="",0,($S405-$T405)*(1+('Econômico Macro'!$R$12/100)))</f>
        <v>28067.602017000005</v>
      </c>
      <c r="V405" s="880">
        <f t="shared" si="285"/>
        <v>32009.072017000006</v>
      </c>
      <c r="W405" s="880">
        <f t="shared" si="292"/>
        <v>5387.1268204611006</v>
      </c>
      <c r="X405" s="367">
        <f t="shared" si="278"/>
        <v>4.109999999999997E-2</v>
      </c>
      <c r="Y405" s="367">
        <f t="shared" si="279"/>
        <v>4.1666666666666671E-2</v>
      </c>
      <c r="Z405" s="367">
        <f t="shared" si="270"/>
        <v>-4.3299999999999977E-2</v>
      </c>
      <c r="AA405" s="367">
        <f t="shared" si="280"/>
        <v>5.666666666667014E-4</v>
      </c>
      <c r="AB405" s="373"/>
      <c r="AD405" s="365"/>
      <c r="AE405" s="839"/>
      <c r="AR405" s="247"/>
      <c r="AS405" s="247"/>
      <c r="AT405" s="247"/>
      <c r="AU405" s="247"/>
      <c r="AW405" s="252"/>
      <c r="AX405" s="206"/>
      <c r="AY405" s="255"/>
      <c r="AZ405" s="236"/>
      <c r="CE405" s="485">
        <v>394</v>
      </c>
    </row>
    <row r="406" spans="1:83" s="130" customFormat="1" ht="21.95" customHeight="1" x14ac:dyDescent="0.2">
      <c r="A406" s="237">
        <f t="shared" si="281"/>
        <v>0</v>
      </c>
      <c r="B406" s="237">
        <f t="shared" si="282"/>
        <v>0</v>
      </c>
      <c r="C406" s="393">
        <f t="shared" si="276"/>
        <v>0</v>
      </c>
      <c r="D406" s="393" t="str">
        <f t="shared" si="277"/>
        <v xml:space="preserve">03 </v>
      </c>
      <c r="E406" s="959" t="s">
        <v>529</v>
      </c>
      <c r="F406" s="959" t="s">
        <v>732</v>
      </c>
      <c r="G406" s="959" t="s">
        <v>10</v>
      </c>
      <c r="H406" s="970">
        <v>23</v>
      </c>
      <c r="I406" s="963">
        <v>2500</v>
      </c>
      <c r="J406" s="962">
        <v>57500</v>
      </c>
      <c r="K406" s="367">
        <v>0.12720000000000001</v>
      </c>
      <c r="L406" s="367">
        <f>IF($H406="",0,VLOOKUP($E406,Plan3!$A$386:$CT$487,$E$7,0))%</f>
        <v>0.16829999999999998</v>
      </c>
      <c r="M406" s="368">
        <f t="shared" si="287"/>
        <v>3.8708999999999993</v>
      </c>
      <c r="N406" s="368">
        <f t="shared" si="288"/>
        <v>9677.2499999999982</v>
      </c>
      <c r="O406" s="367">
        <v>8.3333333333333329E-2</v>
      </c>
      <c r="P406" s="999">
        <f t="shared" si="297"/>
        <v>0.125</v>
      </c>
      <c r="Q406" s="368">
        <f t="shared" si="289"/>
        <v>2.875</v>
      </c>
      <c r="R406" s="368">
        <f t="shared" si="290"/>
        <v>7187.5</v>
      </c>
      <c r="S406" s="880">
        <v>58111.416666666672</v>
      </c>
      <c r="T406" s="880">
        <f t="shared" si="284"/>
        <v>7263.9270833333339</v>
      </c>
      <c r="U406" s="880">
        <f>IF($I406="",0,($S406-$T406)*(1+('Econômico Macro'!$R$12/100)))</f>
        <v>51727.151153125007</v>
      </c>
      <c r="V406" s="880">
        <f t="shared" si="285"/>
        <v>58991.078236458343</v>
      </c>
      <c r="W406" s="880">
        <f t="shared" si="292"/>
        <v>9928.1984671959381</v>
      </c>
      <c r="X406" s="367">
        <f t="shared" si="278"/>
        <v>4.109999999999997E-2</v>
      </c>
      <c r="Y406" s="367">
        <f t="shared" si="279"/>
        <v>4.1666666666666671E-2</v>
      </c>
      <c r="Z406" s="367">
        <f t="shared" si="270"/>
        <v>-4.3299999999999977E-2</v>
      </c>
      <c r="AA406" s="367">
        <f t="shared" si="280"/>
        <v>5.666666666667014E-4</v>
      </c>
      <c r="AB406" s="373"/>
      <c r="AD406" s="365"/>
      <c r="AE406" s="839"/>
      <c r="AR406" s="247"/>
      <c r="AS406" s="247"/>
      <c r="AT406" s="247"/>
      <c r="AU406" s="247"/>
      <c r="AW406" s="252"/>
      <c r="AX406" s="206"/>
      <c r="AY406" s="255"/>
      <c r="AZ406" s="236"/>
      <c r="CE406" s="485">
        <v>395</v>
      </c>
    </row>
    <row r="407" spans="1:83" s="130" customFormat="1" ht="21.95" customHeight="1" x14ac:dyDescent="0.2">
      <c r="A407" s="237">
        <f t="shared" si="281"/>
        <v>0</v>
      </c>
      <c r="B407" s="237">
        <f t="shared" si="282"/>
        <v>0</v>
      </c>
      <c r="C407" s="393">
        <f t="shared" si="276"/>
        <v>0</v>
      </c>
      <c r="D407" s="393" t="str">
        <f t="shared" si="277"/>
        <v xml:space="preserve">03 </v>
      </c>
      <c r="E407" s="959" t="s">
        <v>530</v>
      </c>
      <c r="F407" s="959" t="s">
        <v>385</v>
      </c>
      <c r="G407" s="959" t="s">
        <v>10</v>
      </c>
      <c r="H407" s="970">
        <v>23</v>
      </c>
      <c r="I407" s="963">
        <v>2000</v>
      </c>
      <c r="J407" s="962">
        <v>46000</v>
      </c>
      <c r="K407" s="367">
        <v>0.12720000000000001</v>
      </c>
      <c r="L407" s="367">
        <f>IF($H407="",0,VLOOKUP($E407,Plan3!$A$386:$CT$487,$E$7,0))%</f>
        <v>0.16829999999999998</v>
      </c>
      <c r="M407" s="368">
        <f t="shared" si="287"/>
        <v>3.8708999999999993</v>
      </c>
      <c r="N407" s="368">
        <f t="shared" si="288"/>
        <v>7741.7999999999993</v>
      </c>
      <c r="O407" s="367">
        <v>8.3333333333333329E-2</v>
      </c>
      <c r="P407" s="999">
        <f t="shared" si="297"/>
        <v>0.125</v>
      </c>
      <c r="Q407" s="368">
        <f t="shared" si="289"/>
        <v>2.875</v>
      </c>
      <c r="R407" s="368">
        <f t="shared" si="290"/>
        <v>5750</v>
      </c>
      <c r="S407" s="880">
        <v>46489.133333333339</v>
      </c>
      <c r="T407" s="880">
        <f t="shared" si="284"/>
        <v>5811.1416666666673</v>
      </c>
      <c r="U407" s="880">
        <f>IF($I407="",0,($S407-$T407)*(1+('Econômico Macro'!$R$12/100)))</f>
        <v>41381.720922500004</v>
      </c>
      <c r="V407" s="880">
        <f t="shared" si="285"/>
        <v>47192.862589166674</v>
      </c>
      <c r="W407" s="880">
        <f t="shared" si="292"/>
        <v>7942.5587737567503</v>
      </c>
      <c r="X407" s="367">
        <f t="shared" si="278"/>
        <v>4.109999999999997E-2</v>
      </c>
      <c r="Y407" s="367">
        <f t="shared" si="279"/>
        <v>4.1666666666666671E-2</v>
      </c>
      <c r="Z407" s="367">
        <f t="shared" si="270"/>
        <v>-4.3299999999999977E-2</v>
      </c>
      <c r="AA407" s="367">
        <f t="shared" si="280"/>
        <v>5.666666666667014E-4</v>
      </c>
      <c r="AB407" s="373"/>
      <c r="AD407" s="365"/>
      <c r="AE407" s="839"/>
      <c r="AR407" s="247"/>
      <c r="AS407" s="247"/>
      <c r="AT407" s="247"/>
      <c r="AU407" s="247"/>
      <c r="AW407" s="252"/>
      <c r="AX407" s="206"/>
      <c r="AY407" s="255"/>
      <c r="AZ407" s="236"/>
      <c r="CE407" s="485">
        <v>396</v>
      </c>
    </row>
    <row r="408" spans="1:83" s="130" customFormat="1" ht="21.95" customHeight="1" x14ac:dyDescent="0.2">
      <c r="A408" s="237">
        <f t="shared" si="281"/>
        <v>0</v>
      </c>
      <c r="B408" s="237">
        <f t="shared" si="282"/>
        <v>0</v>
      </c>
      <c r="C408" s="393">
        <f t="shared" si="276"/>
        <v>0</v>
      </c>
      <c r="D408" s="393" t="str">
        <f t="shared" si="277"/>
        <v xml:space="preserve">03 </v>
      </c>
      <c r="E408" s="959" t="s">
        <v>531</v>
      </c>
      <c r="F408" s="959" t="s">
        <v>438</v>
      </c>
      <c r="G408" s="959" t="s">
        <v>10</v>
      </c>
      <c r="H408" s="970">
        <v>22</v>
      </c>
      <c r="I408" s="961">
        <v>10743.55</v>
      </c>
      <c r="J408" s="972">
        <v>236358.1</v>
      </c>
      <c r="K408" s="367">
        <v>0.12720000000000001</v>
      </c>
      <c r="L408" s="367">
        <f>IF($H408="",0,VLOOKUP($E408,Plan3!$A$386:$CT$487,$E$7,0))%</f>
        <v>0.16829999999999998</v>
      </c>
      <c r="M408" s="368">
        <f t="shared" si="287"/>
        <v>3.7025999999999994</v>
      </c>
      <c r="N408" s="368">
        <f t="shared" si="288"/>
        <v>39779.068229999997</v>
      </c>
      <c r="O408" s="367">
        <v>8.3333333333333329E-2</v>
      </c>
      <c r="P408" s="999">
        <f t="shared" si="297"/>
        <v>0.125</v>
      </c>
      <c r="Q408" s="368">
        <f t="shared" si="289"/>
        <v>2.75</v>
      </c>
      <c r="R408" s="368">
        <f t="shared" si="290"/>
        <v>29544.762500000001</v>
      </c>
      <c r="S408" s="880">
        <v>238871.37446333334</v>
      </c>
      <c r="T408" s="880">
        <f t="shared" si="284"/>
        <v>29858.921807916668</v>
      </c>
      <c r="U408" s="880">
        <f>IF($I408="",0,($S408-$T408)*(1+('Econômico Macro'!$R$12/100)))</f>
        <v>212628.36808635542</v>
      </c>
      <c r="V408" s="880">
        <f t="shared" si="285"/>
        <v>242487.28989427208</v>
      </c>
      <c r="W408" s="880">
        <f t="shared" si="292"/>
        <v>40810.610889205986</v>
      </c>
      <c r="X408" s="367">
        <f t="shared" si="278"/>
        <v>4.109999999999997E-2</v>
      </c>
      <c r="Y408" s="367">
        <f t="shared" si="279"/>
        <v>4.1666666666666671E-2</v>
      </c>
      <c r="Z408" s="367">
        <f t="shared" si="270"/>
        <v>-4.3299999999999977E-2</v>
      </c>
      <c r="AA408" s="367">
        <f t="shared" si="280"/>
        <v>5.666666666667014E-4</v>
      </c>
      <c r="AB408" s="373"/>
      <c r="AD408" s="365"/>
      <c r="AE408" s="839"/>
      <c r="AR408" s="247"/>
      <c r="AS408" s="247"/>
      <c r="AT408" s="247"/>
      <c r="AU408" s="247"/>
      <c r="AW408" s="252"/>
      <c r="AX408" s="206"/>
      <c r="AY408" s="255"/>
      <c r="AZ408" s="236"/>
      <c r="CE408" s="485">
        <v>397</v>
      </c>
    </row>
    <row r="409" spans="1:83" s="130" customFormat="1" ht="21.95" customHeight="1" x14ac:dyDescent="0.2">
      <c r="A409" s="237">
        <f t="shared" si="281"/>
        <v>0</v>
      </c>
      <c r="B409" s="237">
        <f t="shared" si="282"/>
        <v>0</v>
      </c>
      <c r="C409" s="393">
        <f t="shared" si="276"/>
        <v>0</v>
      </c>
      <c r="D409" s="393" t="str">
        <f t="shared" si="277"/>
        <v xml:space="preserve">03 </v>
      </c>
      <c r="E409" s="959" t="s">
        <v>533</v>
      </c>
      <c r="F409" s="959" t="s">
        <v>532</v>
      </c>
      <c r="G409" s="959" t="s">
        <v>10</v>
      </c>
      <c r="H409" s="970">
        <v>13</v>
      </c>
      <c r="I409" s="963">
        <v>4723.97</v>
      </c>
      <c r="J409" s="962">
        <v>61411.61</v>
      </c>
      <c r="K409" s="367">
        <v>0.12720000000000001</v>
      </c>
      <c r="L409" s="367">
        <f>IF($H409="",0,VLOOKUP($E409,Plan3!$A$386:$CT$487,$E$7,0))%</f>
        <v>0.16829999999999998</v>
      </c>
      <c r="M409" s="368">
        <f t="shared" si="287"/>
        <v>2.1878999999999995</v>
      </c>
      <c r="N409" s="368">
        <f t="shared" si="288"/>
        <v>10335.573962999999</v>
      </c>
      <c r="O409" s="367">
        <v>8.3333333333333329E-2</v>
      </c>
      <c r="P409" s="999">
        <f t="shared" si="297"/>
        <v>0.125</v>
      </c>
      <c r="Q409" s="368">
        <f t="shared" si="289"/>
        <v>1.625</v>
      </c>
      <c r="R409" s="368">
        <f t="shared" si="290"/>
        <v>7676.4512500000001</v>
      </c>
      <c r="S409" s="880">
        <v>62064.620119666666</v>
      </c>
      <c r="T409" s="880">
        <f t="shared" si="284"/>
        <v>7758.0775149583333</v>
      </c>
      <c r="U409" s="880">
        <f>IF($I409="",0,($S409-$T409)*(1+('Econômico Macro'!$R$12/100)))</f>
        <v>55246.045791769793</v>
      </c>
      <c r="V409" s="880">
        <f t="shared" si="285"/>
        <v>63004.123306728128</v>
      </c>
      <c r="W409" s="880">
        <f t="shared" si="292"/>
        <v>10603.593952522342</v>
      </c>
      <c r="X409" s="367">
        <f t="shared" si="278"/>
        <v>4.109999999999997E-2</v>
      </c>
      <c r="Y409" s="367">
        <f t="shared" si="279"/>
        <v>4.1666666666666671E-2</v>
      </c>
      <c r="Z409" s="367">
        <f t="shared" si="270"/>
        <v>-4.3299999999999977E-2</v>
      </c>
      <c r="AA409" s="367">
        <f t="shared" si="280"/>
        <v>5.666666666667014E-4</v>
      </c>
      <c r="AB409" s="373"/>
      <c r="AD409" s="365"/>
      <c r="AE409" s="839"/>
      <c r="AR409" s="247"/>
      <c r="AS409" s="247"/>
      <c r="AT409" s="247"/>
      <c r="AU409" s="247"/>
      <c r="AW409" s="252"/>
      <c r="AX409" s="206"/>
      <c r="AY409" s="255"/>
      <c r="AZ409" s="236"/>
      <c r="CE409" s="485">
        <v>398</v>
      </c>
    </row>
    <row r="410" spans="1:83" s="130" customFormat="1" ht="21.95" customHeight="1" x14ac:dyDescent="0.2">
      <c r="A410" s="237">
        <f t="shared" si="281"/>
        <v>0</v>
      </c>
      <c r="B410" s="237">
        <f t="shared" si="282"/>
        <v>0</v>
      </c>
      <c r="C410" s="393">
        <f t="shared" si="276"/>
        <v>0</v>
      </c>
      <c r="D410" s="393" t="str">
        <f t="shared" si="277"/>
        <v xml:space="preserve">03 </v>
      </c>
      <c r="E410" s="959" t="s">
        <v>534</v>
      </c>
      <c r="F410" s="959" t="s">
        <v>160</v>
      </c>
      <c r="G410" s="959" t="s">
        <v>10</v>
      </c>
      <c r="H410" s="970">
        <v>23</v>
      </c>
      <c r="I410" s="963">
        <v>3307.3110000000001</v>
      </c>
      <c r="J410" s="962">
        <v>76068.149999999994</v>
      </c>
      <c r="K410" s="367">
        <v>0.12720000000000001</v>
      </c>
      <c r="L410" s="367">
        <f>IF($H410="",0,VLOOKUP($E410,Plan3!$A$386:$CT$487,$E$7,0))%</f>
        <v>0.16829999999999998</v>
      </c>
      <c r="M410" s="368">
        <f t="shared" si="287"/>
        <v>3.8708999999999993</v>
      </c>
      <c r="N410" s="368">
        <f t="shared" si="288"/>
        <v>12802.269644999997</v>
      </c>
      <c r="O410" s="367"/>
      <c r="P410" s="999"/>
      <c r="Q410" s="368">
        <f t="shared" si="289"/>
        <v>0</v>
      </c>
      <c r="R410" s="368">
        <f t="shared" si="290"/>
        <v>0</v>
      </c>
      <c r="S410" s="880">
        <v>76950.540540000002</v>
      </c>
      <c r="T410" s="880">
        <f t="shared" si="284"/>
        <v>0</v>
      </c>
      <c r="U410" s="880">
        <f>IF($I410="",0,($S410-$T410)*(1+('Econômico Macro'!$R$12/100)))</f>
        <v>78281.784891342002</v>
      </c>
      <c r="V410" s="880">
        <f t="shared" si="285"/>
        <v>78281.784891342002</v>
      </c>
      <c r="W410" s="880">
        <f t="shared" si="292"/>
        <v>13174.824397212857</v>
      </c>
      <c r="X410" s="367">
        <f t="shared" si="278"/>
        <v>4.109999999999997E-2</v>
      </c>
      <c r="Y410" s="367">
        <f t="shared" si="279"/>
        <v>0</v>
      </c>
      <c r="Z410" s="367">
        <f t="shared" si="270"/>
        <v>-0.16829999999999998</v>
      </c>
      <c r="AA410" s="367">
        <f t="shared" si="280"/>
        <v>-4.109999999999997E-2</v>
      </c>
      <c r="AB410" s="373"/>
      <c r="AD410" s="365"/>
      <c r="AE410" s="839"/>
      <c r="AR410" s="247"/>
      <c r="AS410" s="247"/>
      <c r="AT410" s="247"/>
      <c r="AU410" s="247"/>
      <c r="AW410" s="252"/>
      <c r="AX410" s="206"/>
      <c r="AY410" s="255"/>
      <c r="AZ410" s="236"/>
      <c r="CE410" s="485">
        <v>399</v>
      </c>
    </row>
    <row r="411" spans="1:83" s="130" customFormat="1" ht="21.95" customHeight="1" x14ac:dyDescent="0.2">
      <c r="A411" s="237">
        <f t="shared" si="281"/>
        <v>0</v>
      </c>
      <c r="B411" s="237">
        <f t="shared" si="282"/>
        <v>0</v>
      </c>
      <c r="C411" s="393">
        <f t="shared" si="276"/>
        <v>0</v>
      </c>
      <c r="D411" s="393" t="str">
        <f t="shared" si="277"/>
        <v xml:space="preserve">03 </v>
      </c>
      <c r="E411" s="959" t="s">
        <v>733</v>
      </c>
      <c r="F411" s="959" t="s">
        <v>444</v>
      </c>
      <c r="G411" s="959" t="s">
        <v>10</v>
      </c>
      <c r="H411" s="970">
        <v>23</v>
      </c>
      <c r="I411" s="963">
        <v>5151.3630000000003</v>
      </c>
      <c r="J411" s="972">
        <v>118481.35</v>
      </c>
      <c r="K411" s="367">
        <v>0.12720000000000001</v>
      </c>
      <c r="L411" s="367">
        <f>IF($H411="",0,VLOOKUP($E411,Plan3!$A$386:$CT$487,$E$7,0))%</f>
        <v>0.16829999999999998</v>
      </c>
      <c r="M411" s="368">
        <f t="shared" si="287"/>
        <v>3.8708999999999993</v>
      </c>
      <c r="N411" s="368">
        <f t="shared" si="288"/>
        <v>19940.411204999997</v>
      </c>
      <c r="O411" s="367">
        <v>8.3333333333333329E-2</v>
      </c>
      <c r="P411" s="999">
        <f t="shared" ref="P411:P412" si="298">3/24</f>
        <v>0.125</v>
      </c>
      <c r="Q411" s="368">
        <f t="shared" si="289"/>
        <v>2.875</v>
      </c>
      <c r="R411" s="368">
        <f t="shared" si="290"/>
        <v>14810.168750000001</v>
      </c>
      <c r="S411" s="880">
        <v>119741.20168833334</v>
      </c>
      <c r="T411" s="880">
        <f t="shared" si="284"/>
        <v>14967.650211041668</v>
      </c>
      <c r="U411" s="880">
        <f>IF($I411="",0,($S411-$T411)*(1+('Econômico Macro'!$R$12/100)))</f>
        <v>106586.13391784884</v>
      </c>
      <c r="V411" s="880">
        <f t="shared" si="285"/>
        <v>121553.7841288905</v>
      </c>
      <c r="W411" s="880">
        <f t="shared" si="292"/>
        <v>20457.501868892268</v>
      </c>
      <c r="X411" s="367">
        <f t="shared" si="278"/>
        <v>4.109999999999997E-2</v>
      </c>
      <c r="Y411" s="367">
        <f t="shared" si="279"/>
        <v>4.1666666666666671E-2</v>
      </c>
      <c r="Z411" s="367">
        <f t="shared" si="270"/>
        <v>-4.3299999999999977E-2</v>
      </c>
      <c r="AA411" s="367">
        <f t="shared" si="280"/>
        <v>5.666666666667014E-4</v>
      </c>
      <c r="AB411" s="373"/>
      <c r="AD411" s="365"/>
      <c r="AE411" s="839"/>
      <c r="AR411" s="247"/>
      <c r="AS411" s="247"/>
      <c r="AT411" s="247"/>
      <c r="AU411" s="247"/>
      <c r="AW411" s="252"/>
      <c r="AX411" s="206"/>
      <c r="AY411" s="255"/>
      <c r="AZ411" s="236"/>
      <c r="CE411" s="485">
        <v>400</v>
      </c>
    </row>
    <row r="412" spans="1:83" s="130" customFormat="1" ht="21.95" customHeight="1" x14ac:dyDescent="0.2">
      <c r="A412" s="237">
        <f t="shared" si="281"/>
        <v>0</v>
      </c>
      <c r="B412" s="237">
        <f t="shared" si="282"/>
        <v>0</v>
      </c>
      <c r="C412" s="393">
        <f t="shared" si="276"/>
        <v>0</v>
      </c>
      <c r="D412" s="393" t="str">
        <f t="shared" si="277"/>
        <v xml:space="preserve">03 </v>
      </c>
      <c r="E412" s="959" t="s">
        <v>2153</v>
      </c>
      <c r="F412" s="959" t="s">
        <v>2154</v>
      </c>
      <c r="G412" s="959" t="s">
        <v>10</v>
      </c>
      <c r="H412" s="970">
        <v>12</v>
      </c>
      <c r="I412" s="963">
        <v>5000</v>
      </c>
      <c r="J412" s="962">
        <v>60000</v>
      </c>
      <c r="K412" s="367">
        <v>0.12720000000000001</v>
      </c>
      <c r="L412" s="367">
        <f>IF($H412="",0,VLOOKUP($E412,Plan3!$A$386:$CT$487,$E$7,0))%</f>
        <v>0.16829999999999998</v>
      </c>
      <c r="M412" s="368">
        <f t="shared" si="287"/>
        <v>2.0195999999999996</v>
      </c>
      <c r="N412" s="368">
        <f t="shared" si="288"/>
        <v>10097.999999999998</v>
      </c>
      <c r="O412" s="367">
        <v>8.3333333333333329E-2</v>
      </c>
      <c r="P412" s="999">
        <f t="shared" si="298"/>
        <v>0.125</v>
      </c>
      <c r="Q412" s="368">
        <f t="shared" si="289"/>
        <v>1.5</v>
      </c>
      <c r="R412" s="368">
        <f t="shared" si="290"/>
        <v>7500</v>
      </c>
      <c r="S412" s="880">
        <v>60638</v>
      </c>
      <c r="T412" s="880">
        <f t="shared" si="284"/>
        <v>7579.75</v>
      </c>
      <c r="U412" s="880">
        <f>IF($I412="",0,($S412-$T412)*(1+('Econômico Macro'!$R$12/100)))</f>
        <v>53976.157725000005</v>
      </c>
      <c r="V412" s="880">
        <f t="shared" si="285"/>
        <v>61555.907725000005</v>
      </c>
      <c r="W412" s="880">
        <f t="shared" si="292"/>
        <v>10359.8592701175</v>
      </c>
      <c r="X412" s="367">
        <f t="shared" si="278"/>
        <v>4.109999999999997E-2</v>
      </c>
      <c r="Y412" s="367">
        <f t="shared" si="279"/>
        <v>4.1666666666666671E-2</v>
      </c>
      <c r="Z412" s="367">
        <f t="shared" si="270"/>
        <v>-4.3299999999999977E-2</v>
      </c>
      <c r="AA412" s="367">
        <f t="shared" si="280"/>
        <v>5.666666666667014E-4</v>
      </c>
      <c r="AB412" s="373"/>
      <c r="AD412" s="365"/>
      <c r="AE412" s="839"/>
      <c r="AR412" s="247"/>
      <c r="AS412" s="247"/>
      <c r="AT412" s="247"/>
      <c r="AU412" s="247"/>
      <c r="AW412" s="252"/>
      <c r="AX412" s="206"/>
      <c r="AY412" s="255"/>
      <c r="AZ412" s="236"/>
      <c r="CE412" s="485">
        <v>401</v>
      </c>
    </row>
    <row r="413" spans="1:83" s="130" customFormat="1" ht="21.95" customHeight="1" x14ac:dyDescent="0.2">
      <c r="A413" s="237">
        <f t="shared" si="281"/>
        <v>0</v>
      </c>
      <c r="B413" s="237">
        <f t="shared" si="282"/>
        <v>0</v>
      </c>
      <c r="C413" s="393">
        <f t="shared" si="276"/>
        <v>0</v>
      </c>
      <c r="D413" s="393" t="str">
        <f t="shared" si="277"/>
        <v xml:space="preserve">03 </v>
      </c>
      <c r="E413" s="967" t="s">
        <v>535</v>
      </c>
      <c r="F413" s="967" t="s">
        <v>536</v>
      </c>
      <c r="G413" s="967"/>
      <c r="H413" s="968"/>
      <c r="I413" s="968"/>
      <c r="J413" s="971">
        <v>436569.8</v>
      </c>
      <c r="K413" s="367">
        <v>0</v>
      </c>
      <c r="L413" s="367">
        <f>IF($H413="",0,VLOOKUP($E413,Plan3!$A$386:$CT$487,$E$7,0))%</f>
        <v>0</v>
      </c>
      <c r="M413" s="368">
        <f t="shared" si="287"/>
        <v>0</v>
      </c>
      <c r="N413" s="368">
        <f t="shared" si="288"/>
        <v>0</v>
      </c>
      <c r="O413" s="367">
        <v>0</v>
      </c>
      <c r="P413" s="367">
        <f t="shared" si="293"/>
        <v>0</v>
      </c>
      <c r="Q413" s="368">
        <f t="shared" si="289"/>
        <v>0</v>
      </c>
      <c r="R413" s="368">
        <f t="shared" si="290"/>
        <v>0</v>
      </c>
      <c r="S413" s="880">
        <v>0</v>
      </c>
      <c r="T413" s="880">
        <f t="shared" si="284"/>
        <v>0</v>
      </c>
      <c r="U413" s="880">
        <f>IF($I413="",0,($S413-$T413)*(1+('Econômico Macro'!$R$12/100)))</f>
        <v>0</v>
      </c>
      <c r="V413" s="880">
        <f t="shared" si="285"/>
        <v>0</v>
      </c>
      <c r="W413" s="880">
        <f t="shared" si="292"/>
        <v>0</v>
      </c>
      <c r="X413" s="367">
        <f t="shared" si="278"/>
        <v>0</v>
      </c>
      <c r="Y413" s="367">
        <f t="shared" si="279"/>
        <v>0</v>
      </c>
      <c r="Z413" s="367">
        <f t="shared" si="270"/>
        <v>0</v>
      </c>
      <c r="AA413" s="367">
        <f t="shared" si="280"/>
        <v>0</v>
      </c>
      <c r="AB413" s="373"/>
      <c r="AD413" s="365"/>
      <c r="AE413" s="839"/>
      <c r="AR413" s="247"/>
      <c r="AS413" s="247"/>
      <c r="AT413" s="247"/>
      <c r="AU413" s="247"/>
      <c r="AW413" s="252"/>
      <c r="AX413" s="206"/>
      <c r="AY413" s="255"/>
      <c r="AZ413" s="236"/>
      <c r="CE413" s="485">
        <v>402</v>
      </c>
    </row>
    <row r="414" spans="1:83" s="130" customFormat="1" ht="21.95" customHeight="1" x14ac:dyDescent="0.2">
      <c r="A414" s="237">
        <f t="shared" si="281"/>
        <v>0</v>
      </c>
      <c r="B414" s="237">
        <f t="shared" si="282"/>
        <v>0</v>
      </c>
      <c r="C414" s="393">
        <f t="shared" si="276"/>
        <v>0</v>
      </c>
      <c r="D414" s="393" t="str">
        <f t="shared" si="277"/>
        <v xml:space="preserve">03 </v>
      </c>
      <c r="E414" s="959" t="s">
        <v>537</v>
      </c>
      <c r="F414" s="959" t="s">
        <v>825</v>
      </c>
      <c r="G414" s="959" t="s">
        <v>10</v>
      </c>
      <c r="H414" s="970">
        <v>29</v>
      </c>
      <c r="I414" s="963">
        <v>3307.3110000000001</v>
      </c>
      <c r="J414" s="962">
        <v>95912.02</v>
      </c>
      <c r="K414" s="367">
        <v>0.12720000000000001</v>
      </c>
      <c r="L414" s="367">
        <f>IF($H414="",0,VLOOKUP($E414,Plan3!$A$386:$CT$487,$E$7,0))%</f>
        <v>0.16829999999999998</v>
      </c>
      <c r="M414" s="368">
        <f t="shared" si="287"/>
        <v>4.8806999999999992</v>
      </c>
      <c r="N414" s="368">
        <f t="shared" si="288"/>
        <v>16141.992965999998</v>
      </c>
      <c r="O414" s="367">
        <v>8.3333333333333329E-2</v>
      </c>
      <c r="P414" s="999">
        <f t="shared" ref="P414:P417" si="299">3/24</f>
        <v>0.125</v>
      </c>
      <c r="Q414" s="368">
        <f t="shared" si="289"/>
        <v>3.625</v>
      </c>
      <c r="R414" s="368">
        <f t="shared" si="290"/>
        <v>11989.002500000001</v>
      </c>
      <c r="S414" s="880">
        <v>96931.884479333341</v>
      </c>
      <c r="T414" s="880">
        <f t="shared" si="284"/>
        <v>12116.485559916668</v>
      </c>
      <c r="U414" s="880">
        <f>IF($I414="",0,($S414-$T414)*(1+('Econômico Macro'!$R$12/100)))</f>
        <v>86282.705320722598</v>
      </c>
      <c r="V414" s="880">
        <f t="shared" si="285"/>
        <v>98399.19088063926</v>
      </c>
      <c r="W414" s="880">
        <f t="shared" si="292"/>
        <v>16560.583825211586</v>
      </c>
      <c r="X414" s="367">
        <f t="shared" si="278"/>
        <v>4.109999999999997E-2</v>
      </c>
      <c r="Y414" s="367">
        <f t="shared" si="279"/>
        <v>4.1666666666666671E-2</v>
      </c>
      <c r="Z414" s="367">
        <f t="shared" si="270"/>
        <v>-4.3299999999999977E-2</v>
      </c>
      <c r="AA414" s="367">
        <f t="shared" si="280"/>
        <v>5.666666666667014E-4</v>
      </c>
      <c r="AB414" s="373"/>
      <c r="AD414" s="365"/>
      <c r="AE414" s="839"/>
      <c r="AR414" s="247"/>
      <c r="AS414" s="247"/>
      <c r="AT414" s="247"/>
      <c r="AU414" s="247"/>
      <c r="AW414" s="252"/>
      <c r="AX414" s="206"/>
      <c r="AY414" s="255"/>
      <c r="AZ414" s="236"/>
      <c r="CE414" s="485">
        <v>403</v>
      </c>
    </row>
    <row r="415" spans="1:83" s="130" customFormat="1" ht="21.95" customHeight="1" x14ac:dyDescent="0.2">
      <c r="A415" s="237">
        <f t="shared" si="281"/>
        <v>0</v>
      </c>
      <c r="B415" s="237">
        <f t="shared" si="282"/>
        <v>0</v>
      </c>
      <c r="C415" s="393">
        <f t="shared" si="276"/>
        <v>0</v>
      </c>
      <c r="D415" s="393" t="str">
        <f t="shared" si="277"/>
        <v xml:space="preserve">03 </v>
      </c>
      <c r="E415" s="959" t="s">
        <v>538</v>
      </c>
      <c r="F415" s="959" t="s">
        <v>826</v>
      </c>
      <c r="G415" s="959" t="s">
        <v>10</v>
      </c>
      <c r="H415" s="970">
        <v>48</v>
      </c>
      <c r="I415" s="963">
        <v>2161.7820000000002</v>
      </c>
      <c r="J415" s="972">
        <v>103765.54</v>
      </c>
      <c r="K415" s="367">
        <v>0.12720000000000001</v>
      </c>
      <c r="L415" s="367">
        <f>IF($H415="",0,VLOOKUP($E415,Plan3!$A$386:$CT$487,$E$7,0))%</f>
        <v>0.16829999999999998</v>
      </c>
      <c r="M415" s="368">
        <f t="shared" si="287"/>
        <v>8.0783999999999985</v>
      </c>
      <c r="N415" s="368">
        <f t="shared" si="288"/>
        <v>17463.740381999996</v>
      </c>
      <c r="O415" s="367">
        <v>8.3333333333333329E-2</v>
      </c>
      <c r="P415" s="999">
        <f t="shared" si="299"/>
        <v>0.125</v>
      </c>
      <c r="Q415" s="368">
        <f t="shared" si="289"/>
        <v>6</v>
      </c>
      <c r="R415" s="368">
        <f t="shared" si="290"/>
        <v>12970.692499999999</v>
      </c>
      <c r="S415" s="880">
        <v>104868.91357533334</v>
      </c>
      <c r="T415" s="880">
        <f t="shared" si="284"/>
        <v>13108.614196916667</v>
      </c>
      <c r="U415" s="880">
        <f>IF($I415="",0,($S415-$T415)*(1+('Econômico Macro'!$R$12/100)))</f>
        <v>93347.752557663291</v>
      </c>
      <c r="V415" s="880">
        <f t="shared" si="285"/>
        <v>106456.36675457995</v>
      </c>
      <c r="W415" s="880">
        <f t="shared" si="292"/>
        <v>17916.606524795803</v>
      </c>
      <c r="X415" s="367">
        <f t="shared" si="278"/>
        <v>4.109999999999997E-2</v>
      </c>
      <c r="Y415" s="367">
        <f t="shared" si="279"/>
        <v>4.1666666666666671E-2</v>
      </c>
      <c r="Z415" s="367">
        <f t="shared" si="270"/>
        <v>-4.3299999999999977E-2</v>
      </c>
      <c r="AA415" s="367">
        <f t="shared" si="280"/>
        <v>5.666666666667014E-4</v>
      </c>
      <c r="AB415" s="373"/>
      <c r="AD415" s="365"/>
      <c r="AE415" s="839"/>
      <c r="AR415" s="247"/>
      <c r="AS415" s="247"/>
      <c r="AT415" s="247"/>
      <c r="AU415" s="247"/>
      <c r="AW415" s="252"/>
      <c r="AX415" s="206"/>
      <c r="AY415" s="255"/>
      <c r="AZ415" s="236"/>
      <c r="CE415" s="485">
        <v>404</v>
      </c>
    </row>
    <row r="416" spans="1:83" s="130" customFormat="1" ht="21.95" customHeight="1" x14ac:dyDescent="0.2">
      <c r="A416" s="237">
        <f t="shared" si="281"/>
        <v>0</v>
      </c>
      <c r="B416" s="237">
        <f t="shared" si="282"/>
        <v>0</v>
      </c>
      <c r="C416" s="393">
        <f t="shared" si="276"/>
        <v>0</v>
      </c>
      <c r="D416" s="393" t="str">
        <f t="shared" si="277"/>
        <v xml:space="preserve">03 </v>
      </c>
      <c r="E416" s="959" t="s">
        <v>539</v>
      </c>
      <c r="F416" s="959" t="s">
        <v>163</v>
      </c>
      <c r="G416" s="959" t="s">
        <v>10</v>
      </c>
      <c r="H416" s="970">
        <v>18</v>
      </c>
      <c r="I416" s="963">
        <v>2161.7820000000002</v>
      </c>
      <c r="J416" s="962">
        <v>38912.080000000002</v>
      </c>
      <c r="K416" s="367">
        <v>0.12720000000000001</v>
      </c>
      <c r="L416" s="367">
        <f>IF($H416="",0,VLOOKUP($E416,Plan3!$A$386:$CT$487,$E$7,0))%</f>
        <v>0.16829999999999998</v>
      </c>
      <c r="M416" s="368">
        <f t="shared" si="287"/>
        <v>3.0293999999999994</v>
      </c>
      <c r="N416" s="368">
        <f t="shared" si="288"/>
        <v>6548.9030639999992</v>
      </c>
      <c r="O416" s="367">
        <v>8.3333333333333329E-2</v>
      </c>
      <c r="P416" s="999">
        <f t="shared" si="299"/>
        <v>0.125</v>
      </c>
      <c r="Q416" s="368">
        <f t="shared" si="289"/>
        <v>2.25</v>
      </c>
      <c r="R416" s="368">
        <f t="shared" si="290"/>
        <v>4864.01</v>
      </c>
      <c r="S416" s="880">
        <v>39325.845117333338</v>
      </c>
      <c r="T416" s="880">
        <f t="shared" si="284"/>
        <v>4915.7306396666672</v>
      </c>
      <c r="U416" s="880">
        <f>IF($I416="",0,($S416-$T416)*(1+('Econômico Macro'!$R$12/100)))</f>
        <v>35005.409458130307</v>
      </c>
      <c r="V416" s="880">
        <f t="shared" si="285"/>
        <v>39921.140097796975</v>
      </c>
      <c r="W416" s="880">
        <f t="shared" si="292"/>
        <v>6718.7278784592299</v>
      </c>
      <c r="X416" s="367">
        <f t="shared" si="278"/>
        <v>4.109999999999997E-2</v>
      </c>
      <c r="Y416" s="367">
        <f t="shared" si="279"/>
        <v>4.1666666666666671E-2</v>
      </c>
      <c r="Z416" s="367">
        <f t="shared" si="270"/>
        <v>-4.3299999999999977E-2</v>
      </c>
      <c r="AA416" s="367">
        <f t="shared" si="280"/>
        <v>5.666666666667014E-4</v>
      </c>
      <c r="AB416" s="373"/>
      <c r="AD416" s="365"/>
      <c r="AE416" s="839"/>
      <c r="AR416" s="247"/>
      <c r="AS416" s="247"/>
      <c r="AT416" s="247"/>
      <c r="AU416" s="247"/>
      <c r="AW416" s="252"/>
      <c r="AX416" s="206"/>
      <c r="AY416" s="255"/>
      <c r="AZ416" s="236"/>
      <c r="CE416" s="485">
        <v>405</v>
      </c>
    </row>
    <row r="417" spans="1:83" s="130" customFormat="1" ht="21.95" customHeight="1" x14ac:dyDescent="0.2">
      <c r="A417" s="237">
        <f t="shared" si="281"/>
        <v>0</v>
      </c>
      <c r="B417" s="237">
        <f t="shared" si="282"/>
        <v>0</v>
      </c>
      <c r="C417" s="393">
        <f t="shared" si="276"/>
        <v>0</v>
      </c>
      <c r="D417" s="393" t="str">
        <f t="shared" si="277"/>
        <v xml:space="preserve">03 </v>
      </c>
      <c r="E417" s="959" t="s">
        <v>540</v>
      </c>
      <c r="F417" s="959" t="s">
        <v>162</v>
      </c>
      <c r="G417" s="959" t="s">
        <v>10</v>
      </c>
      <c r="H417" s="970">
        <v>10</v>
      </c>
      <c r="I417" s="963">
        <v>3307.3110000000001</v>
      </c>
      <c r="J417" s="962">
        <v>33073.11</v>
      </c>
      <c r="K417" s="367">
        <v>0.12720000000000001</v>
      </c>
      <c r="L417" s="367">
        <f>IF($H417="",0,VLOOKUP($E417,Plan3!$A$386:$CT$487,$E$7,0))%</f>
        <v>0.16829999999999998</v>
      </c>
      <c r="M417" s="368">
        <f t="shared" si="287"/>
        <v>1.6829999999999998</v>
      </c>
      <c r="N417" s="368">
        <f t="shared" si="288"/>
        <v>5566.2044129999995</v>
      </c>
      <c r="O417" s="367">
        <v>8.3333333333333329E-2</v>
      </c>
      <c r="P417" s="999">
        <f t="shared" si="299"/>
        <v>0.125</v>
      </c>
      <c r="Q417" s="368">
        <f t="shared" si="289"/>
        <v>1.25</v>
      </c>
      <c r="R417" s="368">
        <f t="shared" si="290"/>
        <v>4134.1387500000001</v>
      </c>
      <c r="S417" s="880">
        <v>33424.787403000002</v>
      </c>
      <c r="T417" s="880">
        <f t="shared" si="284"/>
        <v>4178.0984253750003</v>
      </c>
      <c r="U417" s="880">
        <f>IF($I417="",0,($S417-$T417)*(1+('Econômico Macro'!$R$12/100)))</f>
        <v>29752.656696937916</v>
      </c>
      <c r="V417" s="880">
        <f t="shared" si="285"/>
        <v>33930.755122312919</v>
      </c>
      <c r="W417" s="880">
        <f t="shared" si="292"/>
        <v>5710.5460870852639</v>
      </c>
      <c r="X417" s="367">
        <f t="shared" si="278"/>
        <v>4.109999999999997E-2</v>
      </c>
      <c r="Y417" s="367">
        <f t="shared" si="279"/>
        <v>4.1666666666666671E-2</v>
      </c>
      <c r="Z417" s="367">
        <f t="shared" si="270"/>
        <v>-4.3299999999999977E-2</v>
      </c>
      <c r="AA417" s="367">
        <f t="shared" si="280"/>
        <v>5.666666666667014E-4</v>
      </c>
      <c r="AB417" s="373"/>
      <c r="AD417" s="365"/>
      <c r="AE417" s="839"/>
      <c r="AR417" s="247"/>
      <c r="AS417" s="247"/>
      <c r="AT417" s="247"/>
      <c r="AU417" s="247"/>
      <c r="AW417" s="252"/>
      <c r="AX417" s="206"/>
      <c r="AY417" s="255"/>
      <c r="AZ417" s="236"/>
      <c r="CE417" s="485">
        <v>406</v>
      </c>
    </row>
    <row r="418" spans="1:83" s="130" customFormat="1" ht="21.95" customHeight="1" x14ac:dyDescent="0.2">
      <c r="A418" s="237">
        <f t="shared" si="281"/>
        <v>0</v>
      </c>
      <c r="B418" s="237">
        <f t="shared" si="282"/>
        <v>0</v>
      </c>
      <c r="C418" s="393">
        <f t="shared" si="276"/>
        <v>0</v>
      </c>
      <c r="D418" s="393" t="str">
        <f t="shared" si="277"/>
        <v xml:space="preserve">03 </v>
      </c>
      <c r="E418" s="959" t="s">
        <v>541</v>
      </c>
      <c r="F418" s="959" t="s">
        <v>2155</v>
      </c>
      <c r="G418" s="959" t="s">
        <v>10</v>
      </c>
      <c r="H418" s="970">
        <v>10</v>
      </c>
      <c r="I418" s="963">
        <v>3307.3110000000001</v>
      </c>
      <c r="J418" s="962">
        <v>33073.11</v>
      </c>
      <c r="K418" s="367">
        <v>0.12720000000000001</v>
      </c>
      <c r="L418" s="367">
        <f>IF($H418="",0,VLOOKUP($E418,Plan3!$A$386:$CT$487,$E$7,0))%</f>
        <v>0.16829999999999998</v>
      </c>
      <c r="M418" s="368">
        <f t="shared" si="287"/>
        <v>1.6829999999999998</v>
      </c>
      <c r="N418" s="368">
        <f t="shared" si="288"/>
        <v>5566.2044129999995</v>
      </c>
      <c r="O418" s="367"/>
      <c r="P418" s="999"/>
      <c r="Q418" s="368">
        <f t="shared" si="289"/>
        <v>0</v>
      </c>
      <c r="R418" s="368">
        <f t="shared" si="290"/>
        <v>0</v>
      </c>
      <c r="S418" s="880">
        <v>33456.758076000006</v>
      </c>
      <c r="T418" s="880">
        <f t="shared" si="284"/>
        <v>0</v>
      </c>
      <c r="U418" s="880">
        <f>IF($I418="",0,($S418-$T418)*(1+('Econômico Macro'!$R$12/100)))</f>
        <v>34035.559990714806</v>
      </c>
      <c r="V418" s="880">
        <f t="shared" si="285"/>
        <v>34035.559990714806</v>
      </c>
      <c r="W418" s="880">
        <f t="shared" si="292"/>
        <v>5728.1847464373013</v>
      </c>
      <c r="X418" s="367">
        <f t="shared" si="278"/>
        <v>4.109999999999997E-2</v>
      </c>
      <c r="Y418" s="367">
        <f t="shared" si="279"/>
        <v>0</v>
      </c>
      <c r="Z418" s="367">
        <f t="shared" si="270"/>
        <v>-0.16829999999999998</v>
      </c>
      <c r="AA418" s="367">
        <f t="shared" si="280"/>
        <v>-4.109999999999997E-2</v>
      </c>
      <c r="AB418" s="373"/>
      <c r="AD418" s="365"/>
      <c r="AE418" s="839"/>
      <c r="AR418" s="247"/>
      <c r="AS418" s="247"/>
      <c r="AT418" s="247"/>
      <c r="AU418" s="247"/>
      <c r="AW418" s="252"/>
      <c r="AX418" s="206"/>
      <c r="AY418" s="255"/>
      <c r="AZ418" s="236"/>
      <c r="CE418" s="485">
        <v>407</v>
      </c>
    </row>
    <row r="419" spans="1:83" s="130" customFormat="1" ht="21.95" customHeight="1" x14ac:dyDescent="0.2">
      <c r="A419" s="237">
        <f t="shared" si="281"/>
        <v>0</v>
      </c>
      <c r="B419" s="237">
        <f t="shared" si="282"/>
        <v>0</v>
      </c>
      <c r="C419" s="393">
        <f t="shared" si="276"/>
        <v>0</v>
      </c>
      <c r="D419" s="393" t="str">
        <f t="shared" si="277"/>
        <v xml:space="preserve">03 </v>
      </c>
      <c r="E419" s="959" t="s">
        <v>542</v>
      </c>
      <c r="F419" s="959" t="s">
        <v>2348</v>
      </c>
      <c r="G419" s="959" t="s">
        <v>10</v>
      </c>
      <c r="H419" s="960">
        <v>2</v>
      </c>
      <c r="I419" s="961">
        <v>14000</v>
      </c>
      <c r="J419" s="962">
        <v>28000</v>
      </c>
      <c r="K419" s="367">
        <v>0.12720000000000001</v>
      </c>
      <c r="L419" s="367">
        <f>IF($H419="",0,VLOOKUP($E419,Plan3!$A$386:$CT$487,$E$7,0))%</f>
        <v>0.16829999999999998</v>
      </c>
      <c r="M419" s="368">
        <f t="shared" si="287"/>
        <v>0.33659999999999995</v>
      </c>
      <c r="N419" s="368">
        <f t="shared" si="288"/>
        <v>4712.3999999999996</v>
      </c>
      <c r="O419" s="367">
        <v>0.5</v>
      </c>
      <c r="P419" s="999">
        <v>0.75</v>
      </c>
      <c r="Q419" s="368">
        <f t="shared" si="289"/>
        <v>1.5</v>
      </c>
      <c r="R419" s="368">
        <f t="shared" si="290"/>
        <v>21000</v>
      </c>
      <c r="S419" s="880">
        <v>28162.400000000001</v>
      </c>
      <c r="T419" s="880">
        <f t="shared" si="284"/>
        <v>21121.800000000003</v>
      </c>
      <c r="U419" s="880">
        <f>IF($I419="",0,($S419-$T419)*(1+('Econômico Macro'!$R$12/100)))</f>
        <v>7162.4023799999995</v>
      </c>
      <c r="V419" s="880">
        <f t="shared" si="285"/>
        <v>28284.202380000002</v>
      </c>
      <c r="W419" s="880">
        <f t="shared" si="292"/>
        <v>4760.2312605540001</v>
      </c>
      <c r="X419" s="367">
        <f t="shared" si="278"/>
        <v>4.109999999999997E-2</v>
      </c>
      <c r="Y419" s="367">
        <f t="shared" si="279"/>
        <v>0.25</v>
      </c>
      <c r="Z419" s="367">
        <f t="shared" si="270"/>
        <v>0.58169999999999999</v>
      </c>
      <c r="AA419" s="367">
        <f t="shared" si="280"/>
        <v>0.20890000000000003</v>
      </c>
      <c r="AB419" s="373"/>
      <c r="AD419" s="365"/>
      <c r="AE419" s="839"/>
      <c r="AR419" s="247"/>
      <c r="AS419" s="247"/>
      <c r="AT419" s="247"/>
      <c r="AU419" s="247"/>
      <c r="AW419" s="252"/>
      <c r="AX419" s="206"/>
      <c r="AY419" s="255"/>
      <c r="AZ419" s="236"/>
      <c r="CE419" s="485">
        <v>408</v>
      </c>
    </row>
    <row r="420" spans="1:83" s="130" customFormat="1" ht="21.95" customHeight="1" x14ac:dyDescent="0.2">
      <c r="A420" s="237">
        <f t="shared" si="281"/>
        <v>0</v>
      </c>
      <c r="B420" s="237">
        <f t="shared" si="282"/>
        <v>0</v>
      </c>
      <c r="C420" s="393">
        <f t="shared" si="276"/>
        <v>0</v>
      </c>
      <c r="D420" s="393" t="str">
        <f t="shared" si="277"/>
        <v xml:space="preserve">03 </v>
      </c>
      <c r="E420" s="959" t="s">
        <v>543</v>
      </c>
      <c r="F420" s="959" t="s">
        <v>545</v>
      </c>
      <c r="G420" s="959" t="s">
        <v>10</v>
      </c>
      <c r="H420" s="970">
        <v>20</v>
      </c>
      <c r="I420" s="963">
        <v>3000</v>
      </c>
      <c r="J420" s="962">
        <v>60000</v>
      </c>
      <c r="K420" s="367">
        <v>0.12720000000000001</v>
      </c>
      <c r="L420" s="367">
        <f>IF($H420="",0,VLOOKUP($E420,Plan3!$A$386:$CT$487,$E$7,0))%</f>
        <v>0.16829999999999998</v>
      </c>
      <c r="M420" s="368">
        <f t="shared" si="287"/>
        <v>3.3659999999999997</v>
      </c>
      <c r="N420" s="368">
        <f t="shared" si="288"/>
        <v>10097.999999999998</v>
      </c>
      <c r="O420" s="367">
        <v>8.3333333333333329E-2</v>
      </c>
      <c r="P420" s="999">
        <f t="shared" ref="P420:P421" si="300">3/24</f>
        <v>0.125</v>
      </c>
      <c r="Q420" s="368">
        <f t="shared" si="289"/>
        <v>2.5</v>
      </c>
      <c r="R420" s="368">
        <f t="shared" si="290"/>
        <v>7500</v>
      </c>
      <c r="S420" s="880">
        <v>60638</v>
      </c>
      <c r="T420" s="880">
        <f t="shared" si="284"/>
        <v>7579.75</v>
      </c>
      <c r="U420" s="880">
        <f>IF($I420="",0,($S420-$T420)*(1+('Econômico Macro'!$R$12/100)))</f>
        <v>53976.157725000005</v>
      </c>
      <c r="V420" s="880">
        <f t="shared" si="285"/>
        <v>61555.907725000005</v>
      </c>
      <c r="W420" s="880">
        <f t="shared" si="292"/>
        <v>10359.8592701175</v>
      </c>
      <c r="X420" s="367">
        <f t="shared" si="278"/>
        <v>4.109999999999997E-2</v>
      </c>
      <c r="Y420" s="367">
        <f t="shared" si="279"/>
        <v>4.1666666666666671E-2</v>
      </c>
      <c r="Z420" s="367">
        <f t="shared" si="270"/>
        <v>-4.3299999999999977E-2</v>
      </c>
      <c r="AA420" s="367">
        <f t="shared" si="280"/>
        <v>5.666666666667014E-4</v>
      </c>
      <c r="AB420" s="373"/>
      <c r="AD420" s="365"/>
      <c r="AE420" s="839"/>
      <c r="AR420" s="247"/>
      <c r="AS420" s="247"/>
      <c r="AT420" s="247"/>
      <c r="AU420" s="247"/>
      <c r="AW420" s="252"/>
      <c r="AX420" s="206"/>
      <c r="AY420" s="255"/>
      <c r="AZ420" s="236"/>
      <c r="CE420" s="485">
        <v>409</v>
      </c>
    </row>
    <row r="421" spans="1:83" s="130" customFormat="1" ht="21.95" customHeight="1" x14ac:dyDescent="0.2">
      <c r="A421" s="237">
        <f t="shared" si="281"/>
        <v>0</v>
      </c>
      <c r="B421" s="237">
        <f t="shared" si="282"/>
        <v>0</v>
      </c>
      <c r="C421" s="393">
        <f t="shared" si="276"/>
        <v>0</v>
      </c>
      <c r="D421" s="393" t="str">
        <f t="shared" si="277"/>
        <v xml:space="preserve">03 </v>
      </c>
      <c r="E421" s="959" t="s">
        <v>544</v>
      </c>
      <c r="F421" s="959" t="s">
        <v>421</v>
      </c>
      <c r="G421" s="959" t="s">
        <v>10</v>
      </c>
      <c r="H421" s="960">
        <v>7</v>
      </c>
      <c r="I421" s="963">
        <v>6261.9920000000002</v>
      </c>
      <c r="J421" s="962">
        <v>43833.94</v>
      </c>
      <c r="K421" s="367">
        <v>0.12720000000000001</v>
      </c>
      <c r="L421" s="367">
        <f>IF($H421="",0,VLOOKUP($E421,Plan3!$A$386:$CT$487,$E$7,0))%</f>
        <v>0.16829999999999998</v>
      </c>
      <c r="M421" s="368">
        <f t="shared" si="287"/>
        <v>1.1780999999999999</v>
      </c>
      <c r="N421" s="368">
        <f t="shared" si="288"/>
        <v>7377.2521019999995</v>
      </c>
      <c r="O421" s="367">
        <v>8.3333333333333329E-2</v>
      </c>
      <c r="P421" s="999">
        <f t="shared" si="300"/>
        <v>0.125</v>
      </c>
      <c r="Q421" s="368">
        <f t="shared" si="289"/>
        <v>0.875</v>
      </c>
      <c r="R421" s="368">
        <f t="shared" si="290"/>
        <v>5479.2425000000003</v>
      </c>
      <c r="S421" s="880">
        <v>44300.040895333339</v>
      </c>
      <c r="T421" s="880">
        <f t="shared" si="284"/>
        <v>5537.5051119166674</v>
      </c>
      <c r="U421" s="880">
        <f>IF($I421="",0,($S421-$T421)*(1+('Econômico Macro'!$R$12/100)))</f>
        <v>39433.127652469782</v>
      </c>
      <c r="V421" s="880">
        <f t="shared" si="285"/>
        <v>44970.63276438645</v>
      </c>
      <c r="W421" s="880">
        <f t="shared" si="292"/>
        <v>7568.5574942462381</v>
      </c>
      <c r="X421" s="367">
        <f t="shared" si="278"/>
        <v>4.109999999999997E-2</v>
      </c>
      <c r="Y421" s="367">
        <f t="shared" si="279"/>
        <v>4.1666666666666671E-2</v>
      </c>
      <c r="Z421" s="367">
        <f t="shared" si="270"/>
        <v>-4.3299999999999977E-2</v>
      </c>
      <c r="AA421" s="367">
        <f t="shared" si="280"/>
        <v>5.666666666667014E-4</v>
      </c>
      <c r="AB421" s="373"/>
      <c r="AD421" s="365"/>
      <c r="AE421" s="839"/>
      <c r="AR421" s="247"/>
      <c r="AS421" s="247"/>
      <c r="AT421" s="247"/>
      <c r="AU421" s="247"/>
      <c r="AW421" s="252"/>
      <c r="AX421" s="206"/>
      <c r="AY421" s="255"/>
      <c r="AZ421" s="236"/>
      <c r="CE421" s="485">
        <v>410</v>
      </c>
    </row>
    <row r="422" spans="1:83" s="130" customFormat="1" ht="21.95" customHeight="1" x14ac:dyDescent="0.2">
      <c r="A422" s="237">
        <f t="shared" si="281"/>
        <v>0</v>
      </c>
      <c r="B422" s="237">
        <f t="shared" si="282"/>
        <v>0</v>
      </c>
      <c r="C422" s="393">
        <f t="shared" si="276"/>
        <v>0</v>
      </c>
      <c r="D422" s="393" t="str">
        <f t="shared" si="277"/>
        <v xml:space="preserve">03 </v>
      </c>
      <c r="E422" s="967" t="s">
        <v>546</v>
      </c>
      <c r="F422" s="967" t="s">
        <v>547</v>
      </c>
      <c r="G422" s="967"/>
      <c r="H422" s="968"/>
      <c r="I422" s="968"/>
      <c r="J422" s="971">
        <v>191218</v>
      </c>
      <c r="K422" s="367">
        <v>0</v>
      </c>
      <c r="L422" s="367">
        <f>IF($H422="",0,VLOOKUP($E422,Plan3!$A$386:$CT$487,$E$7,0))%</f>
        <v>0</v>
      </c>
      <c r="M422" s="368">
        <f t="shared" si="287"/>
        <v>0</v>
      </c>
      <c r="N422" s="368">
        <f t="shared" si="288"/>
        <v>0</v>
      </c>
      <c r="O422" s="367">
        <v>0</v>
      </c>
      <c r="P422" s="367">
        <f t="shared" si="293"/>
        <v>0</v>
      </c>
      <c r="Q422" s="368">
        <f t="shared" si="289"/>
        <v>0</v>
      </c>
      <c r="R422" s="368">
        <f t="shared" si="290"/>
        <v>0</v>
      </c>
      <c r="S422" s="880">
        <v>0</v>
      </c>
      <c r="T422" s="880">
        <f t="shared" si="284"/>
        <v>0</v>
      </c>
      <c r="U422" s="880">
        <f>IF($I422="",0,($S422-$T422)*(1+('Econômico Macro'!$R$12/100)))</f>
        <v>0</v>
      </c>
      <c r="V422" s="880">
        <f t="shared" si="285"/>
        <v>0</v>
      </c>
      <c r="W422" s="880">
        <f t="shared" si="292"/>
        <v>0</v>
      </c>
      <c r="X422" s="367">
        <f t="shared" si="278"/>
        <v>0</v>
      </c>
      <c r="Y422" s="367">
        <f t="shared" si="279"/>
        <v>0</v>
      </c>
      <c r="Z422" s="367">
        <f t="shared" si="270"/>
        <v>0</v>
      </c>
      <c r="AA422" s="367">
        <f t="shared" si="280"/>
        <v>0</v>
      </c>
      <c r="AB422" s="373"/>
      <c r="AD422" s="365"/>
      <c r="AE422" s="839"/>
      <c r="AR422" s="247"/>
      <c r="AS422" s="247"/>
      <c r="AT422" s="247"/>
      <c r="AU422" s="247"/>
      <c r="AW422" s="252"/>
      <c r="AX422" s="206"/>
      <c r="AY422" s="255"/>
      <c r="AZ422" s="236"/>
      <c r="CE422" s="485">
        <v>411</v>
      </c>
    </row>
    <row r="423" spans="1:83" s="130" customFormat="1" ht="21.95" customHeight="1" x14ac:dyDescent="0.2">
      <c r="A423" s="237">
        <f t="shared" si="281"/>
        <v>0</v>
      </c>
      <c r="B423" s="237">
        <f t="shared" si="282"/>
        <v>0</v>
      </c>
      <c r="C423" s="393">
        <f t="shared" si="276"/>
        <v>0</v>
      </c>
      <c r="D423" s="393" t="str">
        <f t="shared" si="277"/>
        <v xml:space="preserve">03 </v>
      </c>
      <c r="E423" s="959" t="s">
        <v>548</v>
      </c>
      <c r="F423" s="959" t="s">
        <v>156</v>
      </c>
      <c r="G423" s="959" t="s">
        <v>8</v>
      </c>
      <c r="H423" s="970">
        <v>35</v>
      </c>
      <c r="I423" s="965">
        <v>155</v>
      </c>
      <c r="J423" s="964">
        <v>5425</v>
      </c>
      <c r="K423" s="367">
        <v>0.12720000000000001</v>
      </c>
      <c r="L423" s="367">
        <f>IF($H423="",0,VLOOKUP($E423,Plan3!$A$386:$CT$487,$E$7,0))%</f>
        <v>0.16829999999999998</v>
      </c>
      <c r="M423" s="368">
        <f t="shared" si="287"/>
        <v>5.8904999999999994</v>
      </c>
      <c r="N423" s="368">
        <f t="shared" si="288"/>
        <v>913.02749999999992</v>
      </c>
      <c r="O423" s="367">
        <v>8.3333333333333329E-2</v>
      </c>
      <c r="P423" s="999">
        <f t="shared" ref="P423:P426" si="301">3/24</f>
        <v>0.125</v>
      </c>
      <c r="Q423" s="368">
        <f t="shared" si="289"/>
        <v>4.375</v>
      </c>
      <c r="R423" s="368">
        <f t="shared" si="290"/>
        <v>678.125</v>
      </c>
      <c r="S423" s="880">
        <v>5482.6858333333339</v>
      </c>
      <c r="T423" s="880">
        <f t="shared" si="284"/>
        <v>685.33572916666674</v>
      </c>
      <c r="U423" s="880">
        <f>IF($I423="",0,($S423-$T423)*(1+('Econômico Macro'!$R$12/100)))</f>
        <v>4880.3442609687509</v>
      </c>
      <c r="V423" s="880">
        <f t="shared" si="285"/>
        <v>5565.6799901354179</v>
      </c>
      <c r="W423" s="880">
        <f t="shared" si="292"/>
        <v>936.70394233979073</v>
      </c>
      <c r="X423" s="367">
        <f t="shared" si="278"/>
        <v>4.109999999999997E-2</v>
      </c>
      <c r="Y423" s="367">
        <f t="shared" si="279"/>
        <v>4.1666666666666671E-2</v>
      </c>
      <c r="Z423" s="367">
        <f t="shared" si="270"/>
        <v>-4.3299999999999977E-2</v>
      </c>
      <c r="AA423" s="367">
        <f t="shared" si="280"/>
        <v>5.666666666667014E-4</v>
      </c>
      <c r="AB423" s="373"/>
      <c r="AD423" s="365"/>
      <c r="AE423" s="839"/>
      <c r="AR423" s="247"/>
      <c r="AS423" s="247"/>
      <c r="AT423" s="247"/>
      <c r="AU423" s="247"/>
      <c r="AW423" s="252"/>
      <c r="AX423" s="206"/>
      <c r="AY423" s="255"/>
      <c r="AZ423" s="236"/>
      <c r="CE423" s="485">
        <v>412</v>
      </c>
    </row>
    <row r="424" spans="1:83" s="130" customFormat="1" ht="21.95" customHeight="1" x14ac:dyDescent="0.2">
      <c r="A424" s="237">
        <f t="shared" si="281"/>
        <v>0</v>
      </c>
      <c r="B424" s="237">
        <f t="shared" si="282"/>
        <v>0</v>
      </c>
      <c r="C424" s="393">
        <f t="shared" si="276"/>
        <v>0</v>
      </c>
      <c r="D424" s="393" t="str">
        <f t="shared" si="277"/>
        <v xml:space="preserve">03 </v>
      </c>
      <c r="E424" s="959" t="s">
        <v>549</v>
      </c>
      <c r="F424" s="959" t="s">
        <v>550</v>
      </c>
      <c r="G424" s="959" t="s">
        <v>8</v>
      </c>
      <c r="H424" s="965">
        <v>391</v>
      </c>
      <c r="I424" s="965">
        <v>110</v>
      </c>
      <c r="J424" s="962">
        <v>43010</v>
      </c>
      <c r="K424" s="367">
        <v>0.12720000000000001</v>
      </c>
      <c r="L424" s="367">
        <f>IF($H424="",0,VLOOKUP($E424,Plan3!$A$386:$CT$487,$E$7,0))%</f>
        <v>0.16829999999999998</v>
      </c>
      <c r="M424" s="368">
        <f t="shared" si="287"/>
        <v>65.805299999999988</v>
      </c>
      <c r="N424" s="368">
        <f t="shared" si="288"/>
        <v>7238.5829999999987</v>
      </c>
      <c r="O424" s="367">
        <v>8.3333333333333329E-2</v>
      </c>
      <c r="P424" s="999">
        <f t="shared" si="301"/>
        <v>0.125</v>
      </c>
      <c r="Q424" s="368">
        <f t="shared" si="289"/>
        <v>48.875</v>
      </c>
      <c r="R424" s="368">
        <f t="shared" si="290"/>
        <v>5376.25</v>
      </c>
      <c r="S424" s="880">
        <v>43467.339666666667</v>
      </c>
      <c r="T424" s="880">
        <f t="shared" si="284"/>
        <v>5433.4174583333333</v>
      </c>
      <c r="U424" s="880">
        <f>IF($I424="",0,($S424-$T424)*(1+('Econômico Macro'!$R$12/100)))</f>
        <v>38691.909062537503</v>
      </c>
      <c r="V424" s="880">
        <f t="shared" si="285"/>
        <v>44125.326520870833</v>
      </c>
      <c r="W424" s="880">
        <f t="shared" si="292"/>
        <v>7426.2924534625599</v>
      </c>
      <c r="X424" s="367">
        <f t="shared" si="278"/>
        <v>4.109999999999997E-2</v>
      </c>
      <c r="Y424" s="367">
        <f t="shared" si="279"/>
        <v>4.1666666666666671E-2</v>
      </c>
      <c r="Z424" s="367">
        <f t="shared" si="270"/>
        <v>-4.3299999999999977E-2</v>
      </c>
      <c r="AA424" s="367">
        <f t="shared" si="280"/>
        <v>5.666666666667014E-4</v>
      </c>
      <c r="AB424" s="373"/>
      <c r="AD424" s="365"/>
      <c r="AE424" s="839"/>
      <c r="AR424" s="247"/>
      <c r="AS424" s="247"/>
      <c r="AT424" s="247"/>
      <c r="AU424" s="247"/>
      <c r="AW424" s="252"/>
      <c r="AX424" s="206"/>
      <c r="AY424" s="255"/>
      <c r="AZ424" s="236"/>
      <c r="CE424" s="485">
        <v>413</v>
      </c>
    </row>
    <row r="425" spans="1:83" s="130" customFormat="1" ht="21.95" customHeight="1" x14ac:dyDescent="0.2">
      <c r="A425" s="237">
        <f t="shared" si="281"/>
        <v>0</v>
      </c>
      <c r="B425" s="237">
        <f t="shared" si="282"/>
        <v>0</v>
      </c>
      <c r="C425" s="393">
        <f t="shared" si="276"/>
        <v>0</v>
      </c>
      <c r="D425" s="393" t="str">
        <f t="shared" si="277"/>
        <v xml:space="preserve">03 </v>
      </c>
      <c r="E425" s="959" t="s">
        <v>551</v>
      </c>
      <c r="F425" s="959" t="s">
        <v>2156</v>
      </c>
      <c r="G425" s="959" t="s">
        <v>8</v>
      </c>
      <c r="H425" s="961">
        <v>25806</v>
      </c>
      <c r="I425" s="960">
        <v>4.5</v>
      </c>
      <c r="J425" s="972">
        <v>116127</v>
      </c>
      <c r="K425" s="367">
        <v>0.12720000000000001</v>
      </c>
      <c r="L425" s="367">
        <f>IF($H425="",0,VLOOKUP($E425,Plan3!$A$386:$CT$487,$E$7,0))%</f>
        <v>0.16829999999999998</v>
      </c>
      <c r="M425" s="368">
        <f t="shared" si="287"/>
        <v>4343.1497999999992</v>
      </c>
      <c r="N425" s="368">
        <f t="shared" si="288"/>
        <v>19544.174099999997</v>
      </c>
      <c r="O425" s="367">
        <v>8.3333333333333329E-2</v>
      </c>
      <c r="P425" s="999">
        <f t="shared" si="301"/>
        <v>0.125</v>
      </c>
      <c r="Q425" s="368">
        <f t="shared" si="289"/>
        <v>3225.75</v>
      </c>
      <c r="R425" s="368">
        <f t="shared" si="290"/>
        <v>14515.875</v>
      </c>
      <c r="S425" s="880">
        <v>117361.8171</v>
      </c>
      <c r="T425" s="880">
        <f t="shared" si="284"/>
        <v>14670.2271375</v>
      </c>
      <c r="U425" s="880">
        <f>IF($I425="",0,($S425-$T425)*(1+('Econômico Macro'!$R$12/100)))</f>
        <v>104468.15446885127</v>
      </c>
      <c r="V425" s="880">
        <f t="shared" si="285"/>
        <v>119138.38160635126</v>
      </c>
      <c r="W425" s="880">
        <f t="shared" si="292"/>
        <v>20050.989624348917</v>
      </c>
      <c r="X425" s="367">
        <f t="shared" si="278"/>
        <v>4.109999999999997E-2</v>
      </c>
      <c r="Y425" s="367">
        <f t="shared" si="279"/>
        <v>4.1666666666666671E-2</v>
      </c>
      <c r="Z425" s="367">
        <f t="shared" si="270"/>
        <v>-4.3299999999999977E-2</v>
      </c>
      <c r="AA425" s="367">
        <f t="shared" si="280"/>
        <v>5.666666666667014E-4</v>
      </c>
      <c r="AB425" s="373"/>
      <c r="AD425" s="365"/>
      <c r="AE425" s="839"/>
      <c r="AR425" s="247"/>
      <c r="AS425" s="247"/>
      <c r="AT425" s="247"/>
      <c r="AU425" s="247"/>
      <c r="AW425" s="252"/>
      <c r="AX425" s="206"/>
      <c r="AY425" s="255"/>
      <c r="AZ425" s="236"/>
      <c r="CE425" s="485">
        <v>414</v>
      </c>
    </row>
    <row r="426" spans="1:83" s="130" customFormat="1" ht="21.95" customHeight="1" x14ac:dyDescent="0.2">
      <c r="A426" s="237">
        <f t="shared" si="281"/>
        <v>0</v>
      </c>
      <c r="B426" s="237">
        <f t="shared" si="282"/>
        <v>0</v>
      </c>
      <c r="C426" s="393">
        <f t="shared" si="276"/>
        <v>0</v>
      </c>
      <c r="D426" s="393" t="str">
        <f t="shared" si="277"/>
        <v xml:space="preserve">03 </v>
      </c>
      <c r="E426" s="959" t="s">
        <v>552</v>
      </c>
      <c r="F426" s="959" t="s">
        <v>553</v>
      </c>
      <c r="G426" s="959" t="s">
        <v>8</v>
      </c>
      <c r="H426" s="963">
        <v>8602</v>
      </c>
      <c r="I426" s="960">
        <v>3</v>
      </c>
      <c r="J426" s="962">
        <v>25806</v>
      </c>
      <c r="K426" s="367">
        <v>0.12720000000000001</v>
      </c>
      <c r="L426" s="367">
        <f>IF($H426="",0,VLOOKUP($E426,Plan3!$A$386:$CT$487,$E$7,0))%</f>
        <v>0.16829999999999998</v>
      </c>
      <c r="M426" s="368">
        <f t="shared" si="287"/>
        <v>1447.7165999999997</v>
      </c>
      <c r="N426" s="368">
        <f t="shared" si="288"/>
        <v>4343.1497999999992</v>
      </c>
      <c r="O426" s="367">
        <v>8.3333333333333329E-2</v>
      </c>
      <c r="P426" s="999">
        <f t="shared" si="301"/>
        <v>0.125</v>
      </c>
      <c r="Q426" s="368">
        <f t="shared" si="289"/>
        <v>1075.25</v>
      </c>
      <c r="R426" s="368">
        <f t="shared" si="290"/>
        <v>3225.75</v>
      </c>
      <c r="S426" s="880">
        <v>26080.4038</v>
      </c>
      <c r="T426" s="880">
        <f t="shared" si="284"/>
        <v>3260.050475</v>
      </c>
      <c r="U426" s="880">
        <f>IF($I426="",0,($S426-$T426)*(1+('Econômico Macro'!$R$12/100)))</f>
        <v>23215.145437522504</v>
      </c>
      <c r="V426" s="880">
        <f t="shared" si="285"/>
        <v>26475.195912522504</v>
      </c>
      <c r="W426" s="880">
        <f t="shared" si="292"/>
        <v>4455.7754720775365</v>
      </c>
      <c r="X426" s="367">
        <f t="shared" si="278"/>
        <v>4.109999999999997E-2</v>
      </c>
      <c r="Y426" s="367">
        <f t="shared" si="279"/>
        <v>4.1666666666666671E-2</v>
      </c>
      <c r="Z426" s="367">
        <f t="shared" si="270"/>
        <v>-4.3299999999999977E-2</v>
      </c>
      <c r="AA426" s="367">
        <f t="shared" si="280"/>
        <v>5.666666666667014E-4</v>
      </c>
      <c r="AB426" s="373"/>
      <c r="AD426" s="365"/>
      <c r="AE426" s="839"/>
      <c r="AR426" s="247"/>
      <c r="AS426" s="247"/>
      <c r="AT426" s="247"/>
      <c r="AU426" s="247"/>
      <c r="AW426" s="252"/>
      <c r="AX426" s="206"/>
      <c r="AY426" s="255"/>
      <c r="AZ426" s="236"/>
      <c r="CE426" s="485">
        <v>415</v>
      </c>
    </row>
    <row r="427" spans="1:83" s="130" customFormat="1" ht="21.95" customHeight="1" x14ac:dyDescent="0.2">
      <c r="A427" s="237">
        <f t="shared" si="281"/>
        <v>0</v>
      </c>
      <c r="B427" s="237">
        <f t="shared" si="282"/>
        <v>0</v>
      </c>
      <c r="C427" s="393">
        <f t="shared" si="276"/>
        <v>0</v>
      </c>
      <c r="D427" s="393" t="str">
        <f t="shared" si="277"/>
        <v xml:space="preserve">03 </v>
      </c>
      <c r="E427" s="959" t="s">
        <v>554</v>
      </c>
      <c r="F427" s="959" t="s">
        <v>555</v>
      </c>
      <c r="G427" s="959" t="s">
        <v>8</v>
      </c>
      <c r="H427" s="970">
        <v>34</v>
      </c>
      <c r="I427" s="970">
        <v>25</v>
      </c>
      <c r="J427" s="966">
        <v>850</v>
      </c>
      <c r="K427" s="367">
        <v>0.12720000000000001</v>
      </c>
      <c r="L427" s="367">
        <f>IF($H427="",0,VLOOKUP($E427,Plan3!$A$386:$CT$487,$E$7,0))%</f>
        <v>0.16829999999999998</v>
      </c>
      <c r="M427" s="368">
        <f t="shared" si="287"/>
        <v>5.7221999999999991</v>
      </c>
      <c r="N427" s="368">
        <f t="shared" si="288"/>
        <v>143.05499999999998</v>
      </c>
      <c r="O427" s="367">
        <v>0.5</v>
      </c>
      <c r="P427" s="999">
        <v>0.5</v>
      </c>
      <c r="Q427" s="368">
        <f t="shared" si="289"/>
        <v>17</v>
      </c>
      <c r="R427" s="368">
        <f t="shared" si="290"/>
        <v>425</v>
      </c>
      <c r="S427" s="880">
        <v>854.93000000000006</v>
      </c>
      <c r="T427" s="880">
        <f t="shared" si="284"/>
        <v>427.46500000000003</v>
      </c>
      <c r="U427" s="880">
        <f>IF($I427="",0,($S427-$T427)*(1+('Econômico Macro'!$R$12/100)))</f>
        <v>434.86014450000005</v>
      </c>
      <c r="V427" s="880">
        <f t="shared" si="285"/>
        <v>862.32514450000008</v>
      </c>
      <c r="W427" s="880">
        <f t="shared" si="292"/>
        <v>145.12932181935</v>
      </c>
      <c r="X427" s="367">
        <f t="shared" si="278"/>
        <v>4.109999999999997E-2</v>
      </c>
      <c r="Y427" s="367">
        <f t="shared" si="279"/>
        <v>0</v>
      </c>
      <c r="Z427" s="367">
        <f t="shared" si="270"/>
        <v>0.33169999999999999</v>
      </c>
      <c r="AA427" s="367">
        <f t="shared" si="280"/>
        <v>-4.109999999999997E-2</v>
      </c>
      <c r="AB427" s="373"/>
      <c r="AD427" s="365"/>
      <c r="AE427" s="839"/>
      <c r="AR427" s="247"/>
      <c r="AS427" s="247"/>
      <c r="AT427" s="247"/>
      <c r="AU427" s="247"/>
      <c r="AW427" s="252"/>
      <c r="AX427" s="206"/>
      <c r="AY427" s="255"/>
      <c r="AZ427" s="236"/>
      <c r="CE427" s="485">
        <v>416</v>
      </c>
    </row>
    <row r="428" spans="1:83" s="130" customFormat="1" ht="21.95" customHeight="1" x14ac:dyDescent="0.2">
      <c r="A428" s="237">
        <f t="shared" si="281"/>
        <v>0</v>
      </c>
      <c r="B428" s="237">
        <f t="shared" si="282"/>
        <v>0</v>
      </c>
      <c r="C428" s="393">
        <f t="shared" si="276"/>
        <v>0</v>
      </c>
      <c r="D428" s="393" t="str">
        <f t="shared" si="277"/>
        <v xml:space="preserve">03 </v>
      </c>
      <c r="E428" s="959" t="s">
        <v>2188</v>
      </c>
      <c r="F428" s="959" t="s">
        <v>2189</v>
      </c>
      <c r="G428" s="959" t="s">
        <v>7</v>
      </c>
      <c r="H428" s="960">
        <v>0</v>
      </c>
      <c r="I428" s="979">
        <v>1246222.1499999999</v>
      </c>
      <c r="J428" s="973">
        <v>0</v>
      </c>
      <c r="K428" s="367">
        <v>0.12720000000000001</v>
      </c>
      <c r="L428" s="367">
        <f>IF($H428="",0,VLOOKUP($E428,Plan3!$A$386:$CT$487,$E$7,0))%</f>
        <v>0.16829999999999998</v>
      </c>
      <c r="M428" s="368">
        <f t="shared" si="287"/>
        <v>0</v>
      </c>
      <c r="N428" s="368">
        <f t="shared" si="288"/>
        <v>0</v>
      </c>
      <c r="O428" s="367">
        <v>8.3333333333333329E-2</v>
      </c>
      <c r="P428" s="999">
        <f t="shared" ref="P428:P429" si="302">3/24</f>
        <v>0.125</v>
      </c>
      <c r="Q428" s="368">
        <f t="shared" si="289"/>
        <v>0</v>
      </c>
      <c r="R428" s="368">
        <f t="shared" si="290"/>
        <v>0</v>
      </c>
      <c r="S428" s="880">
        <v>0</v>
      </c>
      <c r="T428" s="880">
        <f t="shared" si="284"/>
        <v>0</v>
      </c>
      <c r="U428" s="880">
        <f>IF($I428="",0,($S428-$T428)*(1+('Econômico Macro'!$R$12/100)))</f>
        <v>0</v>
      </c>
      <c r="V428" s="880">
        <f t="shared" si="285"/>
        <v>0</v>
      </c>
      <c r="W428" s="880">
        <f t="shared" si="292"/>
        <v>0</v>
      </c>
      <c r="X428" s="367">
        <f t="shared" si="278"/>
        <v>4.109999999999997E-2</v>
      </c>
      <c r="Y428" s="367">
        <f t="shared" si="279"/>
        <v>4.1666666666666671E-2</v>
      </c>
      <c r="Z428" s="367">
        <f t="shared" si="270"/>
        <v>-4.3299999999999977E-2</v>
      </c>
      <c r="AA428" s="367">
        <f t="shared" si="280"/>
        <v>5.666666666667014E-4</v>
      </c>
      <c r="AB428" s="373"/>
      <c r="AD428" s="365"/>
      <c r="AE428" s="839"/>
      <c r="AR428" s="247"/>
      <c r="AS428" s="247"/>
      <c r="AT428" s="247"/>
      <c r="AU428" s="247"/>
      <c r="AW428" s="252"/>
      <c r="AX428" s="206"/>
      <c r="AY428" s="255"/>
      <c r="AZ428" s="236"/>
      <c r="CE428" s="485">
        <v>417</v>
      </c>
    </row>
    <row r="429" spans="1:83" s="130" customFormat="1" ht="21.95" customHeight="1" x14ac:dyDescent="0.2">
      <c r="A429" s="237">
        <f t="shared" si="281"/>
        <v>0</v>
      </c>
      <c r="B429" s="237">
        <f t="shared" si="282"/>
        <v>0</v>
      </c>
      <c r="C429" s="393">
        <f t="shared" si="276"/>
        <v>0</v>
      </c>
      <c r="D429" s="393" t="str">
        <f t="shared" si="277"/>
        <v xml:space="preserve">03 </v>
      </c>
      <c r="E429" s="959" t="s">
        <v>2190</v>
      </c>
      <c r="F429" s="959" t="s">
        <v>2191</v>
      </c>
      <c r="G429" s="959" t="s">
        <v>7</v>
      </c>
      <c r="H429" s="960">
        <v>0</v>
      </c>
      <c r="I429" s="960">
        <v>0</v>
      </c>
      <c r="J429" s="973">
        <v>0</v>
      </c>
      <c r="K429" s="367">
        <v>0.12720000000000001</v>
      </c>
      <c r="L429" s="367">
        <f>IF($H429="",0,VLOOKUP($E429,Plan3!$A$386:$CT$487,$E$7,0))%</f>
        <v>0.16829999999999998</v>
      </c>
      <c r="M429" s="368">
        <f t="shared" si="287"/>
        <v>0</v>
      </c>
      <c r="N429" s="368">
        <f t="shared" si="288"/>
        <v>0</v>
      </c>
      <c r="O429" s="367">
        <v>8.3333333333333329E-2</v>
      </c>
      <c r="P429" s="999">
        <f t="shared" si="302"/>
        <v>0.125</v>
      </c>
      <c r="Q429" s="368">
        <f t="shared" si="289"/>
        <v>0</v>
      </c>
      <c r="R429" s="368">
        <f t="shared" si="290"/>
        <v>0</v>
      </c>
      <c r="S429" s="880">
        <v>0</v>
      </c>
      <c r="T429" s="880">
        <f t="shared" si="284"/>
        <v>0</v>
      </c>
      <c r="U429" s="880">
        <f>IF($I429="",0,($S429-$T429)*(1+('Econômico Macro'!$R$12/100)))</f>
        <v>0</v>
      </c>
      <c r="V429" s="880">
        <f t="shared" si="285"/>
        <v>0</v>
      </c>
      <c r="W429" s="880">
        <f t="shared" si="292"/>
        <v>0</v>
      </c>
      <c r="X429" s="367">
        <f t="shared" si="278"/>
        <v>4.109999999999997E-2</v>
      </c>
      <c r="Y429" s="367">
        <f t="shared" si="279"/>
        <v>4.1666666666666671E-2</v>
      </c>
      <c r="Z429" s="367">
        <f t="shared" si="270"/>
        <v>-4.3299999999999977E-2</v>
      </c>
      <c r="AA429" s="367">
        <f t="shared" si="280"/>
        <v>5.666666666667014E-4</v>
      </c>
      <c r="AB429" s="373"/>
      <c r="AC429" s="155"/>
      <c r="AD429" s="689"/>
      <c r="AE429" s="835"/>
      <c r="AF429" s="155"/>
      <c r="AG429" s="207"/>
      <c r="AH429" s="208"/>
      <c r="AI429" s="207"/>
      <c r="AJ429" s="208"/>
      <c r="AK429" s="155"/>
      <c r="AL429" s="212"/>
      <c r="AM429" s="209"/>
      <c r="AN429" s="209"/>
      <c r="AO429" s="209"/>
      <c r="AP429" s="213"/>
      <c r="AQ429" s="401"/>
      <c r="AR429" s="247"/>
      <c r="AS429" s="247"/>
      <c r="AT429" s="247"/>
      <c r="AU429" s="247"/>
      <c r="AV429" s="155"/>
      <c r="AW429" s="250"/>
      <c r="AX429" s="248"/>
      <c r="AY429" s="402"/>
      <c r="AZ429" s="237"/>
      <c r="BA429" s="155"/>
      <c r="BB429" s="155"/>
      <c r="BC429" s="155"/>
      <c r="BD429" s="155"/>
      <c r="BE429" s="155"/>
      <c r="BF429" s="155"/>
      <c r="BG429" s="155"/>
      <c r="BH429" s="155"/>
      <c r="BI429" s="155"/>
      <c r="BJ429" s="155"/>
      <c r="BK429" s="155"/>
      <c r="BL429" s="666"/>
      <c r="BM429" s="667"/>
      <c r="BN429" s="668"/>
      <c r="BO429" s="669"/>
      <c r="BP429" s="669"/>
      <c r="BQ429" s="670"/>
      <c r="BR429" s="671"/>
      <c r="BS429" s="669"/>
      <c r="BT429" s="669"/>
      <c r="BU429" s="672"/>
      <c r="CE429" s="485">
        <v>418</v>
      </c>
    </row>
    <row r="430" spans="1:83" s="130" customFormat="1" ht="21.95" customHeight="1" x14ac:dyDescent="0.2">
      <c r="A430" s="237">
        <f t="shared" si="281"/>
        <v>0</v>
      </c>
      <c r="B430" s="237">
        <f t="shared" si="282"/>
        <v>0</v>
      </c>
      <c r="C430" s="393" t="str">
        <f t="shared" si="276"/>
        <v xml:space="preserve">04 </v>
      </c>
      <c r="D430" s="393" t="str">
        <f t="shared" si="277"/>
        <v xml:space="preserve">04 </v>
      </c>
      <c r="E430" s="161" t="s">
        <v>91</v>
      </c>
      <c r="F430" s="161" t="s">
        <v>164</v>
      </c>
      <c r="G430" s="162"/>
      <c r="H430" s="162"/>
      <c r="I430" s="162"/>
      <c r="J430" s="163">
        <v>164433.53</v>
      </c>
      <c r="K430" s="164">
        <v>2.652600366847321E-2</v>
      </c>
      <c r="L430" s="164">
        <f t="array" ref="L430">SUM(IF($D431:$D$479=$E430,$L431:$L$479*$J431:$J$479))/$J430</f>
        <v>5.3050912669696984E-2</v>
      </c>
      <c r="M430" s="163">
        <f>$L430*$H430</f>
        <v>0</v>
      </c>
      <c r="N430" s="163">
        <f>$L430*$J430</f>
        <v>8723.3488399999987</v>
      </c>
      <c r="O430" s="164">
        <v>1.9178549938486795E-2</v>
      </c>
      <c r="P430" s="164">
        <f t="array" ref="P430">SUM(IF($D431:$D$479=$E430,$J431:$J$479*$P431:$P$479))/$J430</f>
        <v>2.9680047615592758E-2</v>
      </c>
      <c r="Q430" s="163">
        <f>$P430*$H430</f>
        <v>0</v>
      </c>
      <c r="R430" s="163">
        <f>$P430*$J430</f>
        <v>4880.3950000000004</v>
      </c>
      <c r="S430" s="163">
        <v>166304.37722666666</v>
      </c>
      <c r="T430" s="163">
        <f>SUM(T431:T450)</f>
        <v>4932.4348668333332</v>
      </c>
      <c r="U430" s="163"/>
      <c r="V430" s="163">
        <f t="shared" ref="V430:W430" si="303">SUM(V431:V450)</f>
        <v>169096.11182949186</v>
      </c>
      <c r="W430" s="163">
        <f t="shared" si="303"/>
        <v>8953.5361130438123</v>
      </c>
      <c r="X430" s="164">
        <f t="shared" si="278"/>
        <v>2.6524909001223774E-2</v>
      </c>
      <c r="Y430" s="164">
        <f t="shared" si="279"/>
        <v>1.0501497677105964E-2</v>
      </c>
      <c r="Z430" s="164">
        <f t="shared" si="270"/>
        <v>-2.3370865054104226E-2</v>
      </c>
      <c r="AA430" s="164">
        <f t="shared" si="280"/>
        <v>-1.602341132411781E-2</v>
      </c>
      <c r="AB430" s="201"/>
      <c r="AD430" s="365"/>
      <c r="AE430" s="839"/>
      <c r="AR430" s="247"/>
      <c r="AS430" s="247"/>
      <c r="AT430" s="247"/>
      <c r="AU430" s="247"/>
      <c r="AW430" s="252"/>
      <c r="AX430" s="206"/>
      <c r="AY430" s="255"/>
      <c r="AZ430" s="236"/>
      <c r="CE430" s="485">
        <v>419</v>
      </c>
    </row>
    <row r="431" spans="1:83" s="130" customFormat="1" ht="21.95" customHeight="1" x14ac:dyDescent="0.2">
      <c r="A431" s="237">
        <f t="shared" si="281"/>
        <v>0</v>
      </c>
      <c r="B431" s="237">
        <f t="shared" si="282"/>
        <v>0</v>
      </c>
      <c r="C431" s="393">
        <f t="shared" si="276"/>
        <v>0</v>
      </c>
      <c r="D431" s="393" t="str">
        <f t="shared" si="277"/>
        <v xml:space="preserve">04 </v>
      </c>
      <c r="E431" s="959" t="s">
        <v>92</v>
      </c>
      <c r="F431" s="959" t="s">
        <v>828</v>
      </c>
      <c r="G431" s="959" t="s">
        <v>10</v>
      </c>
      <c r="H431" s="970">
        <v>12</v>
      </c>
      <c r="I431" s="965">
        <v>150</v>
      </c>
      <c r="J431" s="964">
        <v>1800</v>
      </c>
      <c r="K431" s="367">
        <v>0.28770000000000001</v>
      </c>
      <c r="L431" s="367">
        <f>IF($H431="",0,VLOOKUP($E431,Plan3!$A$386:$CT$487,$E$7,0))%</f>
        <v>0.57530000000000003</v>
      </c>
      <c r="M431" s="368">
        <f t="shared" si="287"/>
        <v>6.9036000000000008</v>
      </c>
      <c r="N431" s="368">
        <f t="shared" si="288"/>
        <v>1035.54</v>
      </c>
      <c r="O431" s="367"/>
      <c r="P431" s="999"/>
      <c r="Q431" s="368">
        <f t="shared" si="289"/>
        <v>0</v>
      </c>
      <c r="R431" s="368">
        <f t="shared" si="290"/>
        <v>0</v>
      </c>
      <c r="S431" s="880">
        <v>1820.88</v>
      </c>
      <c r="T431" s="880">
        <f t="shared" si="284"/>
        <v>0</v>
      </c>
      <c r="U431" s="880">
        <f>IF($I431="",0,($S431-$T431)*(1+('Econômico Macro'!$R$12/100)))</f>
        <v>1852.3812240000002</v>
      </c>
      <c r="V431" s="880">
        <f t="shared" si="285"/>
        <v>1852.3812240000002</v>
      </c>
      <c r="W431" s="880">
        <f t="shared" si="292"/>
        <v>1065.6749181672001</v>
      </c>
      <c r="X431" s="367">
        <f t="shared" si="278"/>
        <v>0.28760000000000002</v>
      </c>
      <c r="Y431" s="367">
        <f t="shared" si="279"/>
        <v>0</v>
      </c>
      <c r="Z431" s="367">
        <f t="shared" si="270"/>
        <v>-0.57530000000000003</v>
      </c>
      <c r="AA431" s="367">
        <f t="shared" si="280"/>
        <v>-0.28760000000000002</v>
      </c>
      <c r="AB431" s="373"/>
      <c r="AC431" s="155"/>
      <c r="AD431" s="689"/>
      <c r="AE431" s="835"/>
      <c r="AF431" s="155"/>
      <c r="AG431" s="207"/>
      <c r="AH431" s="208"/>
      <c r="AI431" s="207"/>
      <c r="AJ431" s="208"/>
      <c r="AK431" s="155"/>
      <c r="AL431" s="212"/>
      <c r="AM431" s="209"/>
      <c r="AN431" s="209"/>
      <c r="AO431" s="209"/>
      <c r="AP431" s="213"/>
      <c r="AQ431" s="401"/>
      <c r="AR431" s="247"/>
      <c r="AS431" s="247"/>
      <c r="AT431" s="247"/>
      <c r="AU431" s="247"/>
      <c r="AV431" s="155"/>
      <c r="AW431" s="250"/>
      <c r="AX431" s="248"/>
      <c r="AY431" s="402"/>
      <c r="AZ431" s="237"/>
      <c r="BA431" s="155"/>
      <c r="BB431" s="155"/>
      <c r="BC431" s="155"/>
      <c r="BD431" s="155"/>
      <c r="BE431" s="155"/>
      <c r="BF431" s="155"/>
      <c r="BG431" s="155"/>
      <c r="BH431" s="155"/>
      <c r="BI431" s="155"/>
      <c r="BJ431" s="155"/>
      <c r="BK431" s="155"/>
      <c r="BL431" s="666"/>
      <c r="BM431" s="667"/>
      <c r="BN431" s="668"/>
      <c r="BO431" s="669"/>
      <c r="BP431" s="669"/>
      <c r="BQ431" s="670"/>
      <c r="BR431" s="671"/>
      <c r="BS431" s="669"/>
      <c r="BT431" s="669"/>
      <c r="BU431" s="672"/>
      <c r="CE431" s="485">
        <v>420</v>
      </c>
    </row>
    <row r="432" spans="1:83" s="130" customFormat="1" ht="21.95" customHeight="1" x14ac:dyDescent="0.2">
      <c r="A432" s="237">
        <f t="shared" si="281"/>
        <v>0</v>
      </c>
      <c r="B432" s="237">
        <f t="shared" si="282"/>
        <v>0</v>
      </c>
      <c r="C432" s="393">
        <f t="shared" si="276"/>
        <v>0</v>
      </c>
      <c r="D432" s="393" t="str">
        <f t="shared" si="277"/>
        <v xml:space="preserve">04 </v>
      </c>
      <c r="E432" s="959" t="s">
        <v>93</v>
      </c>
      <c r="F432" s="959" t="s">
        <v>2157</v>
      </c>
      <c r="G432" s="959" t="s">
        <v>10</v>
      </c>
      <c r="H432" s="960">
        <v>6</v>
      </c>
      <c r="I432" s="965">
        <v>350</v>
      </c>
      <c r="J432" s="964">
        <v>2100</v>
      </c>
      <c r="K432" s="367">
        <v>0</v>
      </c>
      <c r="L432" s="367">
        <f>IF($H432="",0,VLOOKUP($E432,Plan3!$A$386:$CT$487,$E$7,0))%</f>
        <v>0</v>
      </c>
      <c r="M432" s="368">
        <f t="shared" si="287"/>
        <v>0</v>
      </c>
      <c r="N432" s="368">
        <f t="shared" si="288"/>
        <v>0</v>
      </c>
      <c r="O432" s="367">
        <v>0</v>
      </c>
      <c r="P432" s="367">
        <f t="shared" si="293"/>
        <v>0</v>
      </c>
      <c r="Q432" s="368">
        <f t="shared" si="289"/>
        <v>0</v>
      </c>
      <c r="R432" s="368">
        <f t="shared" si="290"/>
        <v>0</v>
      </c>
      <c r="S432" s="880">
        <v>2124.36</v>
      </c>
      <c r="T432" s="880">
        <f t="shared" si="284"/>
        <v>0</v>
      </c>
      <c r="U432" s="880">
        <f>IF($I432="",0,($S432-$T432)*(1+('Econômico Macro'!$R$12/100)))</f>
        <v>2161.1114280000002</v>
      </c>
      <c r="V432" s="880">
        <f t="shared" si="285"/>
        <v>2161.1114280000002</v>
      </c>
      <c r="W432" s="880">
        <f t="shared" si="292"/>
        <v>0</v>
      </c>
      <c r="X432" s="367">
        <f t="shared" si="278"/>
        <v>0</v>
      </c>
      <c r="Y432" s="367">
        <f t="shared" si="279"/>
        <v>0</v>
      </c>
      <c r="Z432" s="367">
        <f t="shared" si="270"/>
        <v>0</v>
      </c>
      <c r="AA432" s="367">
        <f t="shared" si="280"/>
        <v>0</v>
      </c>
      <c r="AB432" s="373"/>
      <c r="AD432" s="365"/>
      <c r="AE432" s="839"/>
      <c r="AR432" s="247"/>
      <c r="AS432" s="247"/>
      <c r="AT432" s="247"/>
      <c r="AU432" s="247"/>
      <c r="AW432" s="252"/>
      <c r="AX432" s="206"/>
      <c r="AY432" s="255"/>
      <c r="AZ432" s="236"/>
      <c r="CE432" s="485">
        <v>421</v>
      </c>
    </row>
    <row r="433" spans="1:83" s="130" customFormat="1" ht="21.95" customHeight="1" x14ac:dyDescent="0.2">
      <c r="A433" s="237">
        <f t="shared" si="281"/>
        <v>0</v>
      </c>
      <c r="B433" s="237">
        <f t="shared" si="282"/>
        <v>0</v>
      </c>
      <c r="C433" s="393">
        <f t="shared" si="276"/>
        <v>0</v>
      </c>
      <c r="D433" s="393" t="str">
        <f t="shared" si="277"/>
        <v xml:space="preserve">04 </v>
      </c>
      <c r="E433" s="959" t="s">
        <v>165</v>
      </c>
      <c r="F433" s="959" t="s">
        <v>465</v>
      </c>
      <c r="G433" s="959" t="s">
        <v>10</v>
      </c>
      <c r="H433" s="960">
        <v>3</v>
      </c>
      <c r="I433" s="965">
        <v>450</v>
      </c>
      <c r="J433" s="964">
        <v>1350</v>
      </c>
      <c r="K433" s="367">
        <v>0</v>
      </c>
      <c r="L433" s="367">
        <f>IF($H433="",0,VLOOKUP($E433,Plan3!$A$386:$CT$487,$E$7,0))%</f>
        <v>0</v>
      </c>
      <c r="M433" s="368">
        <f t="shared" si="287"/>
        <v>0</v>
      </c>
      <c r="N433" s="368">
        <f t="shared" si="288"/>
        <v>0</v>
      </c>
      <c r="O433" s="367">
        <v>0</v>
      </c>
      <c r="P433" s="367">
        <f t="shared" si="293"/>
        <v>0</v>
      </c>
      <c r="Q433" s="368">
        <f t="shared" si="289"/>
        <v>0</v>
      </c>
      <c r="R433" s="368">
        <f t="shared" si="290"/>
        <v>0</v>
      </c>
      <c r="S433" s="880">
        <v>1365.66</v>
      </c>
      <c r="T433" s="880">
        <f t="shared" si="284"/>
        <v>0</v>
      </c>
      <c r="U433" s="880">
        <f>IF($I433="",0,($S433-$T433)*(1+('Econômico Macro'!$R$12/100)))</f>
        <v>1389.2859180000003</v>
      </c>
      <c r="V433" s="880">
        <f t="shared" si="285"/>
        <v>1389.2859180000003</v>
      </c>
      <c r="W433" s="880">
        <f t="shared" si="292"/>
        <v>0</v>
      </c>
      <c r="X433" s="367">
        <f t="shared" si="278"/>
        <v>0</v>
      </c>
      <c r="Y433" s="367">
        <f t="shared" si="279"/>
        <v>0</v>
      </c>
      <c r="Z433" s="367">
        <f t="shared" si="270"/>
        <v>0</v>
      </c>
      <c r="AA433" s="367">
        <f t="shared" si="280"/>
        <v>0</v>
      </c>
      <c r="AB433" s="373"/>
      <c r="AD433" s="365"/>
      <c r="AE433" s="839"/>
      <c r="AR433" s="247"/>
      <c r="AS433" s="247"/>
      <c r="AT433" s="247"/>
      <c r="AU433" s="247"/>
      <c r="AW433" s="252"/>
      <c r="AX433" s="206"/>
      <c r="AY433" s="255"/>
      <c r="AZ433" s="236"/>
      <c r="CE433" s="485">
        <v>422</v>
      </c>
    </row>
    <row r="434" spans="1:83" s="130" customFormat="1" ht="21.95" customHeight="1" x14ac:dyDescent="0.2">
      <c r="A434" s="237">
        <f t="shared" si="281"/>
        <v>0</v>
      </c>
      <c r="B434" s="237">
        <f t="shared" si="282"/>
        <v>0</v>
      </c>
      <c r="C434" s="393">
        <f t="shared" si="276"/>
        <v>0</v>
      </c>
      <c r="D434" s="393" t="str">
        <f t="shared" si="277"/>
        <v xml:space="preserve">04 </v>
      </c>
      <c r="E434" s="959" t="s">
        <v>166</v>
      </c>
      <c r="F434" s="959" t="s">
        <v>829</v>
      </c>
      <c r="G434" s="959" t="s">
        <v>10</v>
      </c>
      <c r="H434" s="960">
        <v>5</v>
      </c>
      <c r="I434" s="965">
        <v>150</v>
      </c>
      <c r="J434" s="966">
        <v>750</v>
      </c>
      <c r="K434" s="367">
        <v>9.9499999999999991E-2</v>
      </c>
      <c r="L434" s="367">
        <f>IF($H434="",0,VLOOKUP($E434,Plan3!$A$386:$CT$487,$E$7,0))%</f>
        <v>0.19899999999999998</v>
      </c>
      <c r="M434" s="368">
        <f t="shared" si="287"/>
        <v>0.99499999999999988</v>
      </c>
      <c r="N434" s="368">
        <f t="shared" si="288"/>
        <v>149.25</v>
      </c>
      <c r="O434" s="367"/>
      <c r="P434" s="999"/>
      <c r="Q434" s="368">
        <f t="shared" si="289"/>
        <v>0</v>
      </c>
      <c r="R434" s="368">
        <f t="shared" si="290"/>
        <v>0</v>
      </c>
      <c r="S434" s="880">
        <v>758.7</v>
      </c>
      <c r="T434" s="880">
        <f t="shared" si="284"/>
        <v>0</v>
      </c>
      <c r="U434" s="880">
        <f>IF($I434="",0,($S434-$T434)*(1+('Econômico Macro'!$R$12/100)))</f>
        <v>771.82551000000012</v>
      </c>
      <c r="V434" s="880">
        <f t="shared" si="285"/>
        <v>771.82551000000012</v>
      </c>
      <c r="W434" s="880">
        <f t="shared" si="292"/>
        <v>153.59327649000002</v>
      </c>
      <c r="X434" s="367">
        <f t="shared" si="278"/>
        <v>9.9499999999999991E-2</v>
      </c>
      <c r="Y434" s="367">
        <f t="shared" si="279"/>
        <v>0</v>
      </c>
      <c r="Z434" s="367">
        <f t="shared" si="270"/>
        <v>-0.19899999999999998</v>
      </c>
      <c r="AA434" s="367">
        <f t="shared" si="280"/>
        <v>-9.9499999999999991E-2</v>
      </c>
      <c r="AB434" s="373"/>
      <c r="AD434" s="365"/>
      <c r="AE434" s="839"/>
      <c r="AR434" s="247"/>
      <c r="AS434" s="247"/>
      <c r="AT434" s="247"/>
      <c r="AU434" s="247"/>
      <c r="AW434" s="252"/>
      <c r="AX434" s="206"/>
      <c r="AY434" s="255"/>
      <c r="AZ434" s="236"/>
      <c r="CE434" s="485">
        <v>423</v>
      </c>
    </row>
    <row r="435" spans="1:83" s="130" customFormat="1" ht="21.95" customHeight="1" x14ac:dyDescent="0.2">
      <c r="A435" s="237">
        <f t="shared" si="281"/>
        <v>0</v>
      </c>
      <c r="B435" s="237">
        <f t="shared" si="282"/>
        <v>0</v>
      </c>
      <c r="C435" s="393">
        <f t="shared" si="276"/>
        <v>0</v>
      </c>
      <c r="D435" s="393" t="str">
        <f t="shared" si="277"/>
        <v xml:space="preserve">04 </v>
      </c>
      <c r="E435" s="959" t="s">
        <v>167</v>
      </c>
      <c r="F435" s="959" t="s">
        <v>830</v>
      </c>
      <c r="G435" s="959" t="s">
        <v>8</v>
      </c>
      <c r="H435" s="960">
        <v>1</v>
      </c>
      <c r="I435" s="965">
        <v>652.57000000000005</v>
      </c>
      <c r="J435" s="966">
        <v>652.57000000000005</v>
      </c>
      <c r="K435" s="367">
        <v>9.9499999999999991E-2</v>
      </c>
      <c r="L435" s="367">
        <f>IF($H435="",0,VLOOKUP($E435,Plan3!$A$386:$CT$487,$E$7,0))%</f>
        <v>0.19899999999999998</v>
      </c>
      <c r="M435" s="368">
        <f t="shared" si="287"/>
        <v>0.19899999999999998</v>
      </c>
      <c r="N435" s="368">
        <f t="shared" si="288"/>
        <v>129.86142999999998</v>
      </c>
      <c r="O435" s="367">
        <v>8.3333333333333329E-2</v>
      </c>
      <c r="P435" s="999">
        <f t="shared" ref="P435:P439" si="304">3/24</f>
        <v>0.125</v>
      </c>
      <c r="Q435" s="368">
        <f t="shared" si="289"/>
        <v>0.125</v>
      </c>
      <c r="R435" s="368">
        <f t="shared" si="290"/>
        <v>81.571250000000006</v>
      </c>
      <c r="S435" s="880">
        <v>659.50899433333336</v>
      </c>
      <c r="T435" s="880">
        <f t="shared" si="284"/>
        <v>82.43862429166667</v>
      </c>
      <c r="U435" s="880">
        <f>IF($I435="",0,($S435-$T435)*(1+('Econômico Macro'!$R$12/100)))</f>
        <v>587.05368744338762</v>
      </c>
      <c r="V435" s="880">
        <f t="shared" si="285"/>
        <v>669.49231173505427</v>
      </c>
      <c r="W435" s="880">
        <f t="shared" si="292"/>
        <v>133.22897003527578</v>
      </c>
      <c r="X435" s="367">
        <f t="shared" si="278"/>
        <v>9.9499999999999991E-2</v>
      </c>
      <c r="Y435" s="367">
        <f t="shared" si="279"/>
        <v>4.1666666666666671E-2</v>
      </c>
      <c r="Z435" s="367">
        <f t="shared" si="270"/>
        <v>-7.3999999999999982E-2</v>
      </c>
      <c r="AA435" s="367">
        <f t="shared" si="280"/>
        <v>-5.783333333333332E-2</v>
      </c>
      <c r="AB435" s="373"/>
      <c r="AD435" s="365"/>
      <c r="AE435" s="839"/>
      <c r="AR435" s="247"/>
      <c r="AS435" s="247"/>
      <c r="AT435" s="247"/>
      <c r="AU435" s="247"/>
      <c r="AW435" s="252"/>
      <c r="AX435" s="206"/>
      <c r="AY435" s="255"/>
      <c r="AZ435" s="236"/>
      <c r="CE435" s="485">
        <v>424</v>
      </c>
    </row>
    <row r="436" spans="1:83" s="130" customFormat="1" ht="21.95" customHeight="1" x14ac:dyDescent="0.2">
      <c r="A436" s="237">
        <f t="shared" si="281"/>
        <v>0</v>
      </c>
      <c r="B436" s="237">
        <f t="shared" si="282"/>
        <v>0</v>
      </c>
      <c r="C436" s="393">
        <f t="shared" si="276"/>
        <v>0</v>
      </c>
      <c r="D436" s="393" t="str">
        <f t="shared" si="277"/>
        <v xml:space="preserve">04 </v>
      </c>
      <c r="E436" s="959" t="s">
        <v>168</v>
      </c>
      <c r="F436" s="959" t="s">
        <v>169</v>
      </c>
      <c r="G436" s="959" t="s">
        <v>10</v>
      </c>
      <c r="H436" s="970">
        <v>13</v>
      </c>
      <c r="I436" s="963">
        <v>2299.2759999999998</v>
      </c>
      <c r="J436" s="962">
        <v>29890.59</v>
      </c>
      <c r="K436" s="367">
        <v>9.9499999999999991E-2</v>
      </c>
      <c r="L436" s="367">
        <f>IF($H436="",0,VLOOKUP($E436,Plan3!$A$386:$CT$487,$E$7,0))%</f>
        <v>0.19899999999999998</v>
      </c>
      <c r="M436" s="368">
        <f t="shared" si="287"/>
        <v>2.5869999999999997</v>
      </c>
      <c r="N436" s="368">
        <f t="shared" si="288"/>
        <v>5948.2274099999995</v>
      </c>
      <c r="O436" s="367">
        <v>8.3333333333333329E-2</v>
      </c>
      <c r="P436" s="999">
        <f t="shared" si="304"/>
        <v>0.125</v>
      </c>
      <c r="Q436" s="368">
        <f t="shared" si="289"/>
        <v>1.625</v>
      </c>
      <c r="R436" s="368">
        <f t="shared" si="290"/>
        <v>3736.32375</v>
      </c>
      <c r="S436" s="880">
        <v>30208.426607000001</v>
      </c>
      <c r="T436" s="880">
        <f t="shared" si="284"/>
        <v>3776.0533258750002</v>
      </c>
      <c r="U436" s="880">
        <f>IF($I436="",0,($S436-$T436)*(1+('Econômico Macro'!$R$12/100)))</f>
        <v>26889.653338888467</v>
      </c>
      <c r="V436" s="880">
        <f t="shared" si="285"/>
        <v>30665.706664763467</v>
      </c>
      <c r="W436" s="880">
        <f t="shared" si="292"/>
        <v>6102.4756262879291</v>
      </c>
      <c r="X436" s="367">
        <f t="shared" si="278"/>
        <v>9.9499999999999991E-2</v>
      </c>
      <c r="Y436" s="367">
        <f t="shared" si="279"/>
        <v>4.1666666666666671E-2</v>
      </c>
      <c r="Z436" s="367">
        <f t="shared" si="270"/>
        <v>-7.3999999999999982E-2</v>
      </c>
      <c r="AA436" s="367">
        <f t="shared" si="280"/>
        <v>-5.783333333333332E-2</v>
      </c>
      <c r="AB436" s="373"/>
      <c r="AD436" s="365"/>
      <c r="AE436" s="839"/>
      <c r="AR436" s="247"/>
      <c r="AS436" s="247"/>
      <c r="AT436" s="247"/>
      <c r="AU436" s="247"/>
      <c r="AW436" s="252"/>
      <c r="AX436" s="206"/>
      <c r="AY436" s="255"/>
      <c r="AZ436" s="236"/>
      <c r="CE436" s="485">
        <v>425</v>
      </c>
    </row>
    <row r="437" spans="1:83" s="130" customFormat="1" ht="21.95" customHeight="1" x14ac:dyDescent="0.2">
      <c r="A437" s="237">
        <f t="shared" si="281"/>
        <v>0</v>
      </c>
      <c r="B437" s="237">
        <f t="shared" si="282"/>
        <v>0</v>
      </c>
      <c r="C437" s="393">
        <f t="shared" si="276"/>
        <v>0</v>
      </c>
      <c r="D437" s="393" t="str">
        <f t="shared" si="277"/>
        <v xml:space="preserve">04 </v>
      </c>
      <c r="E437" s="959" t="s">
        <v>170</v>
      </c>
      <c r="F437" s="959" t="s">
        <v>556</v>
      </c>
      <c r="G437" s="959" t="s">
        <v>10</v>
      </c>
      <c r="H437" s="970">
        <v>24</v>
      </c>
      <c r="I437" s="965">
        <v>250</v>
      </c>
      <c r="J437" s="964">
        <v>6000</v>
      </c>
      <c r="K437" s="367">
        <v>9.9499999999999991E-2</v>
      </c>
      <c r="L437" s="367">
        <f>IF($H437="",0,VLOOKUP($E437,Plan3!$A$386:$CT$487,$E$7,0))%</f>
        <v>0.19899999999999998</v>
      </c>
      <c r="M437" s="368">
        <f t="shared" si="287"/>
        <v>4.7759999999999998</v>
      </c>
      <c r="N437" s="368">
        <f t="shared" si="288"/>
        <v>1194</v>
      </c>
      <c r="O437" s="367">
        <v>8.3333333333333329E-2</v>
      </c>
      <c r="P437" s="999">
        <f t="shared" si="304"/>
        <v>0.125</v>
      </c>
      <c r="Q437" s="368">
        <f t="shared" si="289"/>
        <v>3</v>
      </c>
      <c r="R437" s="368">
        <f t="shared" si="290"/>
        <v>750</v>
      </c>
      <c r="S437" s="880">
        <v>6063.8</v>
      </c>
      <c r="T437" s="880">
        <f t="shared" si="284"/>
        <v>757.97500000000002</v>
      </c>
      <c r="U437" s="880">
        <f>IF($I437="",0,($S437-$T437)*(1+('Econômico Macro'!$R$12/100)))</f>
        <v>5397.6157725000003</v>
      </c>
      <c r="V437" s="880">
        <f t="shared" si="285"/>
        <v>6155.5907725000006</v>
      </c>
      <c r="W437" s="880">
        <f t="shared" si="292"/>
        <v>1224.9625637275001</v>
      </c>
      <c r="X437" s="367">
        <f t="shared" si="278"/>
        <v>9.9499999999999991E-2</v>
      </c>
      <c r="Y437" s="367">
        <f t="shared" si="279"/>
        <v>4.1666666666666671E-2</v>
      </c>
      <c r="Z437" s="367">
        <f t="shared" si="270"/>
        <v>-7.3999999999999982E-2</v>
      </c>
      <c r="AA437" s="367">
        <f t="shared" si="280"/>
        <v>-5.783333333333332E-2</v>
      </c>
      <c r="AB437" s="373"/>
      <c r="AD437" s="365"/>
      <c r="AE437" s="839"/>
      <c r="AR437" s="247"/>
      <c r="AS437" s="247"/>
      <c r="AT437" s="247"/>
      <c r="AU437" s="247"/>
      <c r="AW437" s="252"/>
      <c r="AX437" s="206"/>
      <c r="AY437" s="255"/>
      <c r="AZ437" s="236"/>
      <c r="CE437" s="485">
        <v>426</v>
      </c>
    </row>
    <row r="438" spans="1:83" s="130" customFormat="1" ht="21.95" customHeight="1" x14ac:dyDescent="0.2">
      <c r="A438" s="237">
        <f t="shared" si="281"/>
        <v>0</v>
      </c>
      <c r="B438" s="237">
        <f t="shared" si="282"/>
        <v>0</v>
      </c>
      <c r="C438" s="393">
        <f t="shared" si="276"/>
        <v>0</v>
      </c>
      <c r="D438" s="393" t="str">
        <f t="shared" si="277"/>
        <v xml:space="preserve">04 </v>
      </c>
      <c r="E438" s="959" t="s">
        <v>171</v>
      </c>
      <c r="F438" s="959" t="s">
        <v>381</v>
      </c>
      <c r="G438" s="959" t="s">
        <v>10</v>
      </c>
      <c r="H438" s="960">
        <v>3</v>
      </c>
      <c r="I438" s="965">
        <v>200</v>
      </c>
      <c r="J438" s="966">
        <v>600</v>
      </c>
      <c r="K438" s="367">
        <v>9.9499999999999991E-2</v>
      </c>
      <c r="L438" s="367">
        <f>IF($H438="",0,VLOOKUP($E438,Plan3!$A$386:$CT$487,$E$7,0))%</f>
        <v>0.19899999999999998</v>
      </c>
      <c r="M438" s="368">
        <f t="shared" si="287"/>
        <v>0.59699999999999998</v>
      </c>
      <c r="N438" s="368">
        <f t="shared" si="288"/>
        <v>119.39999999999999</v>
      </c>
      <c r="O438" s="367">
        <v>8.3333333333333329E-2</v>
      </c>
      <c r="P438" s="999">
        <f t="shared" si="304"/>
        <v>0.125</v>
      </c>
      <c r="Q438" s="368">
        <f t="shared" si="289"/>
        <v>0.375</v>
      </c>
      <c r="R438" s="368">
        <f t="shared" si="290"/>
        <v>75</v>
      </c>
      <c r="S438" s="880">
        <v>606.38</v>
      </c>
      <c r="T438" s="880">
        <f t="shared" si="284"/>
        <v>75.797499999999999</v>
      </c>
      <c r="U438" s="880">
        <f>IF($I438="",0,($S438-$T438)*(1+('Econômico Macro'!$R$12/100)))</f>
        <v>539.76157725000007</v>
      </c>
      <c r="V438" s="880">
        <f t="shared" si="285"/>
        <v>615.55907725000009</v>
      </c>
      <c r="W438" s="880">
        <f t="shared" si="292"/>
        <v>122.49625637275001</v>
      </c>
      <c r="X438" s="367">
        <f t="shared" si="278"/>
        <v>9.9499999999999991E-2</v>
      </c>
      <c r="Y438" s="367">
        <f t="shared" si="279"/>
        <v>4.1666666666666671E-2</v>
      </c>
      <c r="Z438" s="367">
        <f t="shared" si="270"/>
        <v>-7.3999999999999982E-2</v>
      </c>
      <c r="AA438" s="367">
        <f t="shared" si="280"/>
        <v>-5.783333333333332E-2</v>
      </c>
      <c r="AB438" s="373"/>
      <c r="AD438" s="365"/>
      <c r="AE438" s="839"/>
      <c r="AR438" s="247"/>
      <c r="AS438" s="247"/>
      <c r="AT438" s="247"/>
      <c r="AU438" s="247"/>
      <c r="AW438" s="252"/>
      <c r="AX438" s="206"/>
      <c r="AY438" s="255"/>
      <c r="AZ438" s="236"/>
      <c r="CE438" s="485">
        <v>427</v>
      </c>
    </row>
    <row r="439" spans="1:83" s="130" customFormat="1" ht="21.95" customHeight="1" x14ac:dyDescent="0.2">
      <c r="A439" s="237">
        <f t="shared" si="281"/>
        <v>0</v>
      </c>
      <c r="B439" s="237">
        <f t="shared" si="282"/>
        <v>0</v>
      </c>
      <c r="C439" s="393">
        <f t="shared" si="276"/>
        <v>0</v>
      </c>
      <c r="D439" s="393" t="str">
        <f t="shared" si="277"/>
        <v xml:space="preserve">04 </v>
      </c>
      <c r="E439" s="959" t="s">
        <v>172</v>
      </c>
      <c r="F439" s="959" t="s">
        <v>174</v>
      </c>
      <c r="G439" s="959" t="s">
        <v>8</v>
      </c>
      <c r="H439" s="960">
        <v>1</v>
      </c>
      <c r="I439" s="965">
        <v>700</v>
      </c>
      <c r="J439" s="966">
        <v>700</v>
      </c>
      <c r="K439" s="367">
        <v>5.5300000000000002E-2</v>
      </c>
      <c r="L439" s="367">
        <f>IF($H439="",0,VLOOKUP($E439,Plan3!$A$386:$CT$487,$E$7,0))%</f>
        <v>0.1106</v>
      </c>
      <c r="M439" s="368">
        <f t="shared" si="287"/>
        <v>0.1106</v>
      </c>
      <c r="N439" s="368">
        <f t="shared" si="288"/>
        <v>77.42</v>
      </c>
      <c r="O439" s="367">
        <v>8.3333333333333329E-2</v>
      </c>
      <c r="P439" s="999">
        <f t="shared" si="304"/>
        <v>0.125</v>
      </c>
      <c r="Q439" s="368">
        <f t="shared" si="289"/>
        <v>0.125</v>
      </c>
      <c r="R439" s="368">
        <f t="shared" si="290"/>
        <v>87.5</v>
      </c>
      <c r="S439" s="880">
        <v>707.44333333333338</v>
      </c>
      <c r="T439" s="880">
        <f t="shared" si="284"/>
        <v>88.430416666666673</v>
      </c>
      <c r="U439" s="880">
        <f>IF($I439="",0,($S439-$T439)*(1+('Econômico Macro'!$R$12/100)))</f>
        <v>629.72184012500009</v>
      </c>
      <c r="V439" s="880">
        <f t="shared" si="285"/>
        <v>718.15225679166679</v>
      </c>
      <c r="W439" s="880">
        <f t="shared" si="292"/>
        <v>79.427639601158347</v>
      </c>
      <c r="X439" s="367">
        <f t="shared" si="278"/>
        <v>5.5300000000000002E-2</v>
      </c>
      <c r="Y439" s="367">
        <f t="shared" si="279"/>
        <v>4.1666666666666671E-2</v>
      </c>
      <c r="Z439" s="367">
        <f t="shared" si="270"/>
        <v>1.4399999999999996E-2</v>
      </c>
      <c r="AA439" s="367">
        <f t="shared" si="280"/>
        <v>-1.3633333333333331E-2</v>
      </c>
      <c r="AB439" s="373"/>
      <c r="AD439" s="365"/>
      <c r="AE439" s="839"/>
      <c r="AR439" s="247"/>
      <c r="AS439" s="247"/>
      <c r="AT439" s="247"/>
      <c r="AU439" s="247"/>
      <c r="AW439" s="252"/>
      <c r="AX439" s="206"/>
      <c r="AY439" s="255"/>
      <c r="AZ439" s="236"/>
      <c r="CE439" s="485">
        <v>428</v>
      </c>
    </row>
    <row r="440" spans="1:83" s="130" customFormat="1" ht="21.95" customHeight="1" x14ac:dyDescent="0.2">
      <c r="A440" s="237">
        <f t="shared" si="281"/>
        <v>0</v>
      </c>
      <c r="B440" s="237">
        <f t="shared" si="282"/>
        <v>0</v>
      </c>
      <c r="C440" s="393">
        <f t="shared" si="276"/>
        <v>0</v>
      </c>
      <c r="D440" s="393" t="str">
        <f t="shared" si="277"/>
        <v xml:space="preserve">04 </v>
      </c>
      <c r="E440" s="959" t="s">
        <v>173</v>
      </c>
      <c r="F440" s="959" t="s">
        <v>2349</v>
      </c>
      <c r="G440" s="959" t="s">
        <v>15</v>
      </c>
      <c r="H440" s="965">
        <v>500</v>
      </c>
      <c r="I440" s="970">
        <v>12</v>
      </c>
      <c r="J440" s="964">
        <v>6000</v>
      </c>
      <c r="K440" s="367">
        <v>0</v>
      </c>
      <c r="L440" s="367">
        <f>IF($H440="",0,VLOOKUP($E440,Plan3!$A$386:$CT$487,$E$7,0))%</f>
        <v>0</v>
      </c>
      <c r="M440" s="368">
        <f t="shared" si="287"/>
        <v>0</v>
      </c>
      <c r="N440" s="368">
        <f t="shared" si="288"/>
        <v>0</v>
      </c>
      <c r="O440" s="367">
        <v>0</v>
      </c>
      <c r="P440" s="367">
        <f t="shared" si="293"/>
        <v>0</v>
      </c>
      <c r="Q440" s="368">
        <f t="shared" si="289"/>
        <v>0</v>
      </c>
      <c r="R440" s="368">
        <f t="shared" si="290"/>
        <v>0</v>
      </c>
      <c r="S440" s="880">
        <v>6069.6</v>
      </c>
      <c r="T440" s="880">
        <f t="shared" si="284"/>
        <v>0</v>
      </c>
      <c r="U440" s="880">
        <f>IF($I440="",0,($S440-$T440)*(1+('Econômico Macro'!$R$12/100)))</f>
        <v>6174.604080000001</v>
      </c>
      <c r="V440" s="880">
        <f t="shared" si="285"/>
        <v>6174.604080000001</v>
      </c>
      <c r="W440" s="880">
        <f t="shared" si="292"/>
        <v>0</v>
      </c>
      <c r="X440" s="367">
        <f t="shared" si="278"/>
        <v>0</v>
      </c>
      <c r="Y440" s="367">
        <f t="shared" si="279"/>
        <v>0</v>
      </c>
      <c r="Z440" s="367">
        <f t="shared" si="270"/>
        <v>0</v>
      </c>
      <c r="AA440" s="367">
        <f t="shared" si="280"/>
        <v>0</v>
      </c>
      <c r="AB440" s="373"/>
      <c r="AD440" s="365"/>
      <c r="AE440" s="839"/>
      <c r="AR440" s="247"/>
      <c r="AS440" s="247"/>
      <c r="AT440" s="247"/>
      <c r="AU440" s="247"/>
      <c r="AW440" s="252"/>
      <c r="AX440" s="206"/>
      <c r="AY440" s="255"/>
      <c r="AZ440" s="236"/>
      <c r="CE440" s="485">
        <v>429</v>
      </c>
    </row>
    <row r="441" spans="1:83" s="130" customFormat="1" ht="21.95" customHeight="1" x14ac:dyDescent="0.2">
      <c r="A441" s="237">
        <f t="shared" si="281"/>
        <v>0</v>
      </c>
      <c r="B441" s="237">
        <f t="shared" si="282"/>
        <v>0</v>
      </c>
      <c r="C441" s="393">
        <f t="shared" si="276"/>
        <v>0</v>
      </c>
      <c r="D441" s="393" t="str">
        <f t="shared" si="277"/>
        <v xml:space="preserve">04 </v>
      </c>
      <c r="E441" s="959" t="s">
        <v>175</v>
      </c>
      <c r="F441" s="959" t="s">
        <v>474</v>
      </c>
      <c r="G441" s="959" t="s">
        <v>90</v>
      </c>
      <c r="H441" s="970">
        <v>48</v>
      </c>
      <c r="I441" s="970">
        <v>37.097999999999999</v>
      </c>
      <c r="J441" s="964">
        <v>1780.7</v>
      </c>
      <c r="K441" s="367">
        <v>0</v>
      </c>
      <c r="L441" s="367">
        <f>IF($H441="",0,VLOOKUP($E441,Plan3!$A$386:$CT$487,$E$7,0))%</f>
        <v>0</v>
      </c>
      <c r="M441" s="368">
        <f t="shared" si="287"/>
        <v>0</v>
      </c>
      <c r="N441" s="368">
        <f t="shared" si="288"/>
        <v>0</v>
      </c>
      <c r="O441" s="367">
        <v>0</v>
      </c>
      <c r="P441" s="367">
        <f t="shared" si="293"/>
        <v>0</v>
      </c>
      <c r="Q441" s="368">
        <f t="shared" si="289"/>
        <v>0</v>
      </c>
      <c r="R441" s="368">
        <f t="shared" si="290"/>
        <v>0</v>
      </c>
      <c r="S441" s="880">
        <v>1801.3561200000001</v>
      </c>
      <c r="T441" s="880">
        <f t="shared" si="284"/>
        <v>0</v>
      </c>
      <c r="U441" s="880">
        <f>IF($I441="",0,($S441-$T441)*(1+('Econômico Macro'!$R$12/100)))</f>
        <v>1832.5195808760004</v>
      </c>
      <c r="V441" s="880">
        <f t="shared" si="285"/>
        <v>1832.5195808760004</v>
      </c>
      <c r="W441" s="880">
        <f t="shared" si="292"/>
        <v>0</v>
      </c>
      <c r="X441" s="367">
        <f t="shared" si="278"/>
        <v>0</v>
      </c>
      <c r="Y441" s="367">
        <f t="shared" si="279"/>
        <v>0</v>
      </c>
      <c r="Z441" s="367">
        <f t="shared" si="270"/>
        <v>0</v>
      </c>
      <c r="AA441" s="367">
        <f t="shared" si="280"/>
        <v>0</v>
      </c>
      <c r="AB441" s="373"/>
      <c r="AD441" s="365"/>
      <c r="AE441" s="839"/>
      <c r="AR441" s="247"/>
      <c r="AS441" s="247"/>
      <c r="AT441" s="247"/>
      <c r="AU441" s="247"/>
      <c r="AW441" s="252"/>
      <c r="AX441" s="206"/>
      <c r="AY441" s="255"/>
      <c r="AZ441" s="236"/>
      <c r="CE441" s="485">
        <v>430</v>
      </c>
    </row>
    <row r="442" spans="1:83" s="130" customFormat="1" ht="21.95" customHeight="1" x14ac:dyDescent="0.2">
      <c r="A442" s="237">
        <f t="shared" si="281"/>
        <v>0</v>
      </c>
      <c r="B442" s="237">
        <f t="shared" si="282"/>
        <v>0</v>
      </c>
      <c r="C442" s="393">
        <f t="shared" si="276"/>
        <v>0</v>
      </c>
      <c r="D442" s="393" t="str">
        <f t="shared" si="277"/>
        <v xml:space="preserve">04 </v>
      </c>
      <c r="E442" s="959" t="s">
        <v>176</v>
      </c>
      <c r="F442" s="959" t="s">
        <v>502</v>
      </c>
      <c r="G442" s="959" t="s">
        <v>10</v>
      </c>
      <c r="H442" s="960">
        <v>1</v>
      </c>
      <c r="I442" s="965">
        <v>350</v>
      </c>
      <c r="J442" s="966">
        <v>350</v>
      </c>
      <c r="K442" s="367">
        <v>9.9499999999999991E-2</v>
      </c>
      <c r="L442" s="367">
        <f>IF($H442="",0,VLOOKUP($E442,Plan3!$A$386:$CT$487,$E$7,0))%</f>
        <v>0.19899999999999998</v>
      </c>
      <c r="M442" s="368">
        <f t="shared" si="287"/>
        <v>0.19899999999999998</v>
      </c>
      <c r="N442" s="368">
        <f t="shared" si="288"/>
        <v>69.649999999999991</v>
      </c>
      <c r="O442" s="367"/>
      <c r="P442" s="999"/>
      <c r="Q442" s="368">
        <f t="shared" si="289"/>
        <v>0</v>
      </c>
      <c r="R442" s="368">
        <f t="shared" si="290"/>
        <v>0</v>
      </c>
      <c r="S442" s="880">
        <v>354.06</v>
      </c>
      <c r="T442" s="880">
        <f t="shared" si="284"/>
        <v>0</v>
      </c>
      <c r="U442" s="880">
        <f>IF($I442="",0,($S442-$T442)*(1+('Econômico Macro'!$R$12/100)))</f>
        <v>360.18523800000003</v>
      </c>
      <c r="V442" s="880">
        <f t="shared" si="285"/>
        <v>360.18523800000003</v>
      </c>
      <c r="W442" s="880">
        <f t="shared" si="292"/>
        <v>71.676862361999994</v>
      </c>
      <c r="X442" s="367">
        <f t="shared" si="278"/>
        <v>9.9499999999999991E-2</v>
      </c>
      <c r="Y442" s="367">
        <f t="shared" si="279"/>
        <v>0</v>
      </c>
      <c r="Z442" s="367">
        <f t="shared" si="270"/>
        <v>-0.19899999999999998</v>
      </c>
      <c r="AA442" s="367">
        <f t="shared" si="280"/>
        <v>-9.9499999999999991E-2</v>
      </c>
      <c r="AB442" s="373"/>
      <c r="AD442" s="365"/>
      <c r="AE442" s="839"/>
      <c r="AR442" s="247"/>
      <c r="AS442" s="247"/>
      <c r="AT442" s="247"/>
      <c r="AU442" s="247"/>
      <c r="AW442" s="252"/>
      <c r="AX442" s="206"/>
      <c r="AY442" s="255"/>
      <c r="AZ442" s="236"/>
      <c r="CE442" s="485">
        <v>431</v>
      </c>
    </row>
    <row r="443" spans="1:83" s="130" customFormat="1" ht="21.95" customHeight="1" x14ac:dyDescent="0.2">
      <c r="A443" s="237">
        <f t="shared" si="281"/>
        <v>0</v>
      </c>
      <c r="B443" s="237">
        <f t="shared" si="282"/>
        <v>0</v>
      </c>
      <c r="C443" s="393">
        <f t="shared" si="276"/>
        <v>0</v>
      </c>
      <c r="D443" s="393" t="str">
        <f t="shared" si="277"/>
        <v xml:space="preserve">04 </v>
      </c>
      <c r="E443" s="959" t="s">
        <v>177</v>
      </c>
      <c r="F443" s="959" t="s">
        <v>2158</v>
      </c>
      <c r="G443" s="959" t="s">
        <v>10</v>
      </c>
      <c r="H443" s="970">
        <v>11</v>
      </c>
      <c r="I443" s="963">
        <v>6000</v>
      </c>
      <c r="J443" s="962">
        <v>66000</v>
      </c>
      <c r="K443" s="367">
        <v>0</v>
      </c>
      <c r="L443" s="367">
        <f>IF($H443="",0,VLOOKUP($E443,Plan3!$A$386:$CT$487,$E$7,0))%</f>
        <v>0</v>
      </c>
      <c r="M443" s="368">
        <f t="shared" si="287"/>
        <v>0</v>
      </c>
      <c r="N443" s="368">
        <f t="shared" si="288"/>
        <v>0</v>
      </c>
      <c r="O443" s="367">
        <v>0</v>
      </c>
      <c r="P443" s="367">
        <f t="shared" si="293"/>
        <v>0</v>
      </c>
      <c r="Q443" s="368">
        <f t="shared" si="289"/>
        <v>0</v>
      </c>
      <c r="R443" s="368">
        <f t="shared" si="290"/>
        <v>0</v>
      </c>
      <c r="S443" s="880">
        <v>66765.600000000006</v>
      </c>
      <c r="T443" s="880">
        <f t="shared" si="284"/>
        <v>0</v>
      </c>
      <c r="U443" s="880">
        <f>IF($I443="",0,($S443-$T443)*(1+('Econômico Macro'!$R$12/100)))</f>
        <v>67920.644880000007</v>
      </c>
      <c r="V443" s="880">
        <f t="shared" si="285"/>
        <v>67920.644880000007</v>
      </c>
      <c r="W443" s="880">
        <f t="shared" si="292"/>
        <v>0</v>
      </c>
      <c r="X443" s="367">
        <f t="shared" si="278"/>
        <v>0</v>
      </c>
      <c r="Y443" s="367">
        <f t="shared" si="279"/>
        <v>0</v>
      </c>
      <c r="Z443" s="367">
        <f t="shared" si="270"/>
        <v>0</v>
      </c>
      <c r="AA443" s="367">
        <f t="shared" si="280"/>
        <v>0</v>
      </c>
      <c r="AB443" s="373"/>
      <c r="AD443" s="365"/>
      <c r="AE443" s="839"/>
      <c r="AR443" s="247"/>
      <c r="AS443" s="247"/>
      <c r="AT443" s="247"/>
      <c r="AU443" s="247"/>
      <c r="AW443" s="252"/>
      <c r="AX443" s="206"/>
      <c r="AY443" s="255"/>
      <c r="AZ443" s="236"/>
      <c r="CE443" s="485">
        <v>432</v>
      </c>
    </row>
    <row r="444" spans="1:83" s="130" customFormat="1" ht="21.95" customHeight="1" x14ac:dyDescent="0.2">
      <c r="A444" s="237">
        <f t="shared" si="281"/>
        <v>0</v>
      </c>
      <c r="B444" s="237">
        <f t="shared" si="282"/>
        <v>0</v>
      </c>
      <c r="C444" s="393">
        <f t="shared" si="276"/>
        <v>0</v>
      </c>
      <c r="D444" s="393" t="str">
        <f t="shared" si="277"/>
        <v xml:space="preserve">04 </v>
      </c>
      <c r="E444" s="959" t="s">
        <v>178</v>
      </c>
      <c r="F444" s="959" t="s">
        <v>488</v>
      </c>
      <c r="G444" s="959" t="s">
        <v>10</v>
      </c>
      <c r="H444" s="970">
        <v>66</v>
      </c>
      <c r="I444" s="965">
        <v>300</v>
      </c>
      <c r="J444" s="962">
        <v>19800</v>
      </c>
      <c r="K444" s="367">
        <v>0</v>
      </c>
      <c r="L444" s="367">
        <f>IF($H444="",0,VLOOKUP($E444,Plan3!$A$386:$CT$487,$E$7,0))%</f>
        <v>0</v>
      </c>
      <c r="M444" s="368">
        <f t="shared" si="287"/>
        <v>0</v>
      </c>
      <c r="N444" s="368">
        <f t="shared" si="288"/>
        <v>0</v>
      </c>
      <c r="O444" s="367">
        <v>0</v>
      </c>
      <c r="P444" s="367">
        <f t="shared" si="293"/>
        <v>0</v>
      </c>
      <c r="Q444" s="368">
        <f t="shared" si="289"/>
        <v>0</v>
      </c>
      <c r="R444" s="368">
        <f t="shared" si="290"/>
        <v>0</v>
      </c>
      <c r="S444" s="880">
        <v>20029.68</v>
      </c>
      <c r="T444" s="880">
        <f t="shared" si="284"/>
        <v>0</v>
      </c>
      <c r="U444" s="880">
        <f>IF($I444="",0,($S444-$T444)*(1+('Econômico Macro'!$R$12/100)))</f>
        <v>20376.193464000004</v>
      </c>
      <c r="V444" s="880">
        <f t="shared" si="285"/>
        <v>20376.193464000004</v>
      </c>
      <c r="W444" s="880">
        <f t="shared" si="292"/>
        <v>0</v>
      </c>
      <c r="X444" s="367">
        <f t="shared" si="278"/>
        <v>0</v>
      </c>
      <c r="Y444" s="367">
        <f t="shared" si="279"/>
        <v>0</v>
      </c>
      <c r="Z444" s="367">
        <f t="shared" ref="Z444:Z479" si="305">$P444-$L444</f>
        <v>0</v>
      </c>
      <c r="AA444" s="367">
        <f t="shared" si="280"/>
        <v>0</v>
      </c>
      <c r="AB444" s="373"/>
      <c r="AD444" s="365"/>
      <c r="AE444" s="839"/>
      <c r="AR444" s="247"/>
      <c r="AS444" s="247"/>
      <c r="AT444" s="247"/>
      <c r="AU444" s="247"/>
      <c r="AW444" s="252"/>
      <c r="AX444" s="206"/>
      <c r="AY444" s="255"/>
      <c r="AZ444" s="236"/>
      <c r="CE444" s="485">
        <v>433</v>
      </c>
    </row>
    <row r="445" spans="1:83" s="130" customFormat="1" ht="21.95" customHeight="1" x14ac:dyDescent="0.2">
      <c r="A445" s="237">
        <f t="shared" si="281"/>
        <v>0</v>
      </c>
      <c r="B445" s="237">
        <f t="shared" si="282"/>
        <v>0</v>
      </c>
      <c r="C445" s="393">
        <f t="shared" si="276"/>
        <v>0</v>
      </c>
      <c r="D445" s="393" t="str">
        <f t="shared" si="277"/>
        <v xml:space="preserve">04 </v>
      </c>
      <c r="E445" s="967" t="s">
        <v>557</v>
      </c>
      <c r="F445" s="967" t="s">
        <v>558</v>
      </c>
      <c r="G445" s="967"/>
      <c r="H445" s="968"/>
      <c r="I445" s="968"/>
      <c r="J445" s="969">
        <v>26659.67</v>
      </c>
      <c r="K445" s="367">
        <v>0</v>
      </c>
      <c r="L445" s="367">
        <f>IF($H445="",0,VLOOKUP($E445,Plan3!$A$386:$CT$487,$E$7,0))%</f>
        <v>0</v>
      </c>
      <c r="M445" s="368">
        <f t="shared" si="287"/>
        <v>0</v>
      </c>
      <c r="N445" s="368">
        <f t="shared" si="288"/>
        <v>0</v>
      </c>
      <c r="O445" s="367">
        <v>0</v>
      </c>
      <c r="P445" s="367">
        <f t="shared" si="293"/>
        <v>0</v>
      </c>
      <c r="Q445" s="368">
        <f t="shared" si="289"/>
        <v>0</v>
      </c>
      <c r="R445" s="368">
        <f t="shared" si="290"/>
        <v>0</v>
      </c>
      <c r="S445" s="880">
        <v>0</v>
      </c>
      <c r="T445" s="880">
        <f t="shared" si="284"/>
        <v>0</v>
      </c>
      <c r="U445" s="880">
        <f>IF($I445="",0,($S445-$T445)*(1+('Econômico Macro'!$R$12/100)))</f>
        <v>0</v>
      </c>
      <c r="V445" s="880">
        <f t="shared" si="285"/>
        <v>0</v>
      </c>
      <c r="W445" s="880">
        <f t="shared" si="292"/>
        <v>0</v>
      </c>
      <c r="X445" s="367">
        <f t="shared" si="278"/>
        <v>0</v>
      </c>
      <c r="Y445" s="367">
        <f t="shared" si="279"/>
        <v>0</v>
      </c>
      <c r="Z445" s="367">
        <f t="shared" si="305"/>
        <v>0</v>
      </c>
      <c r="AA445" s="367">
        <f t="shared" si="280"/>
        <v>0</v>
      </c>
      <c r="AB445" s="373"/>
      <c r="AD445" s="365"/>
      <c r="AE445" s="839"/>
      <c r="AR445" s="247"/>
      <c r="AS445" s="247"/>
      <c r="AT445" s="247"/>
      <c r="AU445" s="247"/>
      <c r="AW445" s="252"/>
      <c r="AX445" s="206"/>
      <c r="AY445" s="255"/>
      <c r="AZ445" s="236"/>
      <c r="CE445" s="485">
        <v>434</v>
      </c>
    </row>
    <row r="446" spans="1:83" s="130" customFormat="1" ht="21.95" customHeight="1" x14ac:dyDescent="0.2">
      <c r="A446" s="237">
        <f t="shared" si="281"/>
        <v>0</v>
      </c>
      <c r="B446" s="237">
        <f t="shared" si="282"/>
        <v>0</v>
      </c>
      <c r="C446" s="393">
        <f t="shared" ref="C446:C479" si="306">IF($D446=$D445,0,$D446)</f>
        <v>0</v>
      </c>
      <c r="D446" s="393" t="str">
        <f t="shared" ref="D446:D479" si="307">IF(LEFT($E446,3)=$E446,$E446,LEFT($D445,2)&amp;" ")</f>
        <v xml:space="preserve">04 </v>
      </c>
      <c r="E446" s="959" t="s">
        <v>559</v>
      </c>
      <c r="F446" s="959" t="s">
        <v>463</v>
      </c>
      <c r="G446" s="959" t="s">
        <v>7</v>
      </c>
      <c r="H446" s="960">
        <v>1</v>
      </c>
      <c r="I446" s="963">
        <v>2536.2051999999999</v>
      </c>
      <c r="J446" s="964">
        <v>2536.21</v>
      </c>
      <c r="K446" s="367">
        <v>0</v>
      </c>
      <c r="L446" s="367">
        <f>IF($H446="",0,VLOOKUP($E446,Plan3!$A$386:$CT$487,$E$7,0))%</f>
        <v>0</v>
      </c>
      <c r="M446" s="368">
        <f t="shared" si="287"/>
        <v>0</v>
      </c>
      <c r="N446" s="368">
        <f t="shared" si="288"/>
        <v>0</v>
      </c>
      <c r="O446" s="367">
        <v>0</v>
      </c>
      <c r="P446" s="367">
        <f t="shared" si="293"/>
        <v>0</v>
      </c>
      <c r="Q446" s="368">
        <f t="shared" si="289"/>
        <v>0</v>
      </c>
      <c r="R446" s="368">
        <f t="shared" si="290"/>
        <v>0</v>
      </c>
      <c r="S446" s="880">
        <v>2565.630036</v>
      </c>
      <c r="T446" s="880">
        <f t="shared" si="284"/>
        <v>0</v>
      </c>
      <c r="U446" s="880">
        <f>IF($I446="",0,($S446-$T446)*(1+('Econômico Macro'!$R$12/100)))</f>
        <v>2610.0154356228004</v>
      </c>
      <c r="V446" s="880">
        <f t="shared" si="285"/>
        <v>2610.0154356228004</v>
      </c>
      <c r="W446" s="880">
        <f t="shared" si="292"/>
        <v>0</v>
      </c>
      <c r="X446" s="367">
        <f t="shared" ref="X446:X479" si="308">$L446-$K446</f>
        <v>0</v>
      </c>
      <c r="Y446" s="367">
        <f t="shared" ref="Y446:Y479" si="309">$P446-$O446</f>
        <v>0</v>
      </c>
      <c r="Z446" s="367">
        <f t="shared" si="305"/>
        <v>0</v>
      </c>
      <c r="AA446" s="367">
        <f t="shared" ref="AA446:AA479" si="310">$Y446-$X446</f>
        <v>0</v>
      </c>
      <c r="AB446" s="373"/>
      <c r="AD446" s="365"/>
      <c r="AE446" s="839"/>
      <c r="AR446" s="247"/>
      <c r="AS446" s="247"/>
      <c r="AT446" s="247"/>
      <c r="AU446" s="247"/>
      <c r="AW446" s="252"/>
      <c r="AX446" s="206"/>
      <c r="AY446" s="255"/>
      <c r="AZ446" s="236"/>
      <c r="CE446" s="485">
        <v>435</v>
      </c>
    </row>
    <row r="447" spans="1:83" s="130" customFormat="1" ht="21.95" customHeight="1" x14ac:dyDescent="0.2">
      <c r="A447" s="237">
        <f t="shared" ref="A447:A479" si="311">AJ447</f>
        <v>0</v>
      </c>
      <c r="B447" s="237">
        <f t="shared" ref="B447:B479" si="312">AH447</f>
        <v>0</v>
      </c>
      <c r="C447" s="393">
        <f t="shared" si="306"/>
        <v>0</v>
      </c>
      <c r="D447" s="393" t="str">
        <f t="shared" si="307"/>
        <v xml:space="preserve">04 </v>
      </c>
      <c r="E447" s="959" t="s">
        <v>560</v>
      </c>
      <c r="F447" s="959" t="s">
        <v>462</v>
      </c>
      <c r="G447" s="959" t="s">
        <v>7</v>
      </c>
      <c r="H447" s="960">
        <v>1</v>
      </c>
      <c r="I447" s="961">
        <v>13000</v>
      </c>
      <c r="J447" s="962">
        <v>13000</v>
      </c>
      <c r="K447" s="367">
        <v>0</v>
      </c>
      <c r="L447" s="367">
        <f>IF($H447="",0,VLOOKUP($E447,Plan3!$A$386:$CT$487,$E$7,0))%</f>
        <v>0</v>
      </c>
      <c r="M447" s="368">
        <f t="shared" si="287"/>
        <v>0</v>
      </c>
      <c r="N447" s="368">
        <f t="shared" si="288"/>
        <v>0</v>
      </c>
      <c r="O447" s="367">
        <v>0</v>
      </c>
      <c r="P447" s="367">
        <f t="shared" si="293"/>
        <v>0</v>
      </c>
      <c r="Q447" s="368">
        <f t="shared" si="289"/>
        <v>0</v>
      </c>
      <c r="R447" s="368">
        <f t="shared" si="290"/>
        <v>0</v>
      </c>
      <c r="S447" s="880">
        <v>13150.800000000001</v>
      </c>
      <c r="T447" s="880">
        <f t="shared" ref="T447:T479" si="313">$S447*$P447</f>
        <v>0</v>
      </c>
      <c r="U447" s="880">
        <f>IF($I447="",0,($S447-$T447)*(1+('Econômico Macro'!$R$12/100)))</f>
        <v>13378.308840000002</v>
      </c>
      <c r="V447" s="880">
        <f t="shared" ref="V447:V479" si="314">$U447+$T447</f>
        <v>13378.308840000002</v>
      </c>
      <c r="W447" s="880">
        <f t="shared" si="292"/>
        <v>0</v>
      </c>
      <c r="X447" s="367">
        <f t="shared" si="308"/>
        <v>0</v>
      </c>
      <c r="Y447" s="367">
        <f t="shared" si="309"/>
        <v>0</v>
      </c>
      <c r="Z447" s="367">
        <f t="shared" si="305"/>
        <v>0</v>
      </c>
      <c r="AA447" s="367">
        <f t="shared" si="310"/>
        <v>0</v>
      </c>
      <c r="AB447" s="373"/>
      <c r="AD447" s="365"/>
      <c r="AE447" s="839"/>
      <c r="AR447" s="247"/>
      <c r="AS447" s="247"/>
      <c r="AT447" s="247"/>
      <c r="AU447" s="247"/>
      <c r="AW447" s="252"/>
      <c r="AX447" s="206"/>
      <c r="AY447" s="255"/>
      <c r="AZ447" s="236"/>
      <c r="CE447" s="485">
        <v>436</v>
      </c>
    </row>
    <row r="448" spans="1:83" s="130" customFormat="1" ht="21.95" customHeight="1" x14ac:dyDescent="0.2">
      <c r="A448" s="237">
        <f t="shared" si="311"/>
        <v>0</v>
      </c>
      <c r="B448" s="237">
        <f t="shared" si="312"/>
        <v>0</v>
      </c>
      <c r="C448" s="393">
        <f t="shared" si="306"/>
        <v>0</v>
      </c>
      <c r="D448" s="393" t="str">
        <f t="shared" si="307"/>
        <v xml:space="preserve">04 </v>
      </c>
      <c r="E448" s="959" t="s">
        <v>561</v>
      </c>
      <c r="F448" s="959" t="s">
        <v>461</v>
      </c>
      <c r="G448" s="959" t="s">
        <v>8</v>
      </c>
      <c r="H448" s="960">
        <v>1</v>
      </c>
      <c r="I448" s="963">
        <v>1373.4502</v>
      </c>
      <c r="J448" s="964">
        <v>1373.46</v>
      </c>
      <c r="K448" s="367">
        <v>0</v>
      </c>
      <c r="L448" s="367">
        <f>IF($H448="",0,VLOOKUP($E448,Plan3!$A$386:$CT$487,$E$7,0))%</f>
        <v>0</v>
      </c>
      <c r="M448" s="368">
        <f t="shared" ref="M448:M479" si="315">$L448*$H448</f>
        <v>0</v>
      </c>
      <c r="N448" s="368">
        <f t="shared" ref="N448:N479" si="316">$L448*$J448</f>
        <v>0</v>
      </c>
      <c r="O448" s="367">
        <v>0</v>
      </c>
      <c r="P448" s="367">
        <f t="shared" si="293"/>
        <v>0</v>
      </c>
      <c r="Q448" s="368">
        <f t="shared" ref="Q448:Q479" si="317">$P448*$H448</f>
        <v>0</v>
      </c>
      <c r="R448" s="368">
        <f t="shared" ref="R448:R479" si="318">$P448*$J448</f>
        <v>0</v>
      </c>
      <c r="S448" s="880">
        <v>1389.3921360000002</v>
      </c>
      <c r="T448" s="880">
        <f t="shared" si="313"/>
        <v>0</v>
      </c>
      <c r="U448" s="880">
        <f>IF($I448="",0,($S448-$T448)*(1+('Econômico Macro'!$R$12/100)))</f>
        <v>1413.4286199528003</v>
      </c>
      <c r="V448" s="880">
        <f t="shared" si="314"/>
        <v>1413.4286199528003</v>
      </c>
      <c r="W448" s="880">
        <f t="shared" si="292"/>
        <v>0</v>
      </c>
      <c r="X448" s="367">
        <f t="shared" si="308"/>
        <v>0</v>
      </c>
      <c r="Y448" s="367">
        <f t="shared" si="309"/>
        <v>0</v>
      </c>
      <c r="Z448" s="367">
        <f t="shared" si="305"/>
        <v>0</v>
      </c>
      <c r="AA448" s="367">
        <f t="shared" si="310"/>
        <v>0</v>
      </c>
      <c r="AB448" s="373"/>
      <c r="AD448" s="365"/>
      <c r="AE448" s="839"/>
      <c r="AR448" s="247"/>
      <c r="AS448" s="247"/>
      <c r="AT448" s="247"/>
      <c r="AU448" s="247"/>
      <c r="AW448" s="252"/>
      <c r="AX448" s="206"/>
      <c r="AY448" s="255"/>
      <c r="AZ448" s="236"/>
      <c r="CE448" s="485">
        <v>437</v>
      </c>
    </row>
    <row r="449" spans="1:83" s="130" customFormat="1" ht="21.95" customHeight="1" x14ac:dyDescent="0.2">
      <c r="A449" s="237">
        <f t="shared" si="311"/>
        <v>0</v>
      </c>
      <c r="B449" s="237">
        <f t="shared" si="312"/>
        <v>0</v>
      </c>
      <c r="C449" s="393">
        <f t="shared" si="306"/>
        <v>0</v>
      </c>
      <c r="D449" s="393" t="str">
        <f t="shared" si="307"/>
        <v xml:space="preserve">04 </v>
      </c>
      <c r="E449" s="959" t="s">
        <v>562</v>
      </c>
      <c r="F449" s="959" t="s">
        <v>2159</v>
      </c>
      <c r="G449" s="959" t="s">
        <v>10</v>
      </c>
      <c r="H449" s="970">
        <v>44</v>
      </c>
      <c r="I449" s="965">
        <v>150</v>
      </c>
      <c r="J449" s="964">
        <v>6600</v>
      </c>
      <c r="K449" s="367">
        <v>0</v>
      </c>
      <c r="L449" s="367">
        <f>IF($H449="",0,VLOOKUP($E449,Plan3!$A$386:$CT$487,$E$7,0))%</f>
        <v>0</v>
      </c>
      <c r="M449" s="368">
        <f t="shared" si="315"/>
        <v>0</v>
      </c>
      <c r="N449" s="368">
        <f t="shared" si="316"/>
        <v>0</v>
      </c>
      <c r="O449" s="367">
        <v>0</v>
      </c>
      <c r="P449" s="367">
        <f t="shared" ref="P449:P463" si="319">L449</f>
        <v>0</v>
      </c>
      <c r="Q449" s="368">
        <f t="shared" si="317"/>
        <v>0</v>
      </c>
      <c r="R449" s="368">
        <f t="shared" si="318"/>
        <v>0</v>
      </c>
      <c r="S449" s="880">
        <v>6676.56</v>
      </c>
      <c r="T449" s="880">
        <f t="shared" si="313"/>
        <v>0</v>
      </c>
      <c r="U449" s="880">
        <f>IF($I449="",0,($S449-$T449)*(1+('Econômico Macro'!$R$12/100)))</f>
        <v>6792.0644880000009</v>
      </c>
      <c r="V449" s="880">
        <f t="shared" si="314"/>
        <v>6792.0644880000009</v>
      </c>
      <c r="W449" s="880">
        <f t="shared" ref="W449:W479" si="320">V449*L449</f>
        <v>0</v>
      </c>
      <c r="X449" s="367">
        <f t="shared" si="308"/>
        <v>0</v>
      </c>
      <c r="Y449" s="367">
        <f t="shared" si="309"/>
        <v>0</v>
      </c>
      <c r="Z449" s="367">
        <f t="shared" si="305"/>
        <v>0</v>
      </c>
      <c r="AA449" s="367">
        <f t="shared" si="310"/>
        <v>0</v>
      </c>
      <c r="AB449" s="373"/>
      <c r="AD449" s="365"/>
      <c r="AE449" s="839"/>
      <c r="AR449" s="247"/>
      <c r="AS449" s="247"/>
      <c r="AT449" s="247"/>
      <c r="AU449" s="247"/>
      <c r="AW449" s="252"/>
      <c r="AX449" s="206"/>
      <c r="AY449" s="255"/>
      <c r="AZ449" s="236"/>
      <c r="CE449" s="485">
        <v>438</v>
      </c>
    </row>
    <row r="450" spans="1:83" s="130" customFormat="1" ht="21.95" customHeight="1" x14ac:dyDescent="0.2">
      <c r="A450" s="237">
        <f t="shared" si="311"/>
        <v>0</v>
      </c>
      <c r="B450" s="237">
        <f t="shared" si="312"/>
        <v>0</v>
      </c>
      <c r="C450" s="393">
        <f t="shared" si="306"/>
        <v>0</v>
      </c>
      <c r="D450" s="393" t="str">
        <f t="shared" si="307"/>
        <v xml:space="preserve">04 </v>
      </c>
      <c r="E450" s="959" t="s">
        <v>563</v>
      </c>
      <c r="F450" s="959" t="s">
        <v>431</v>
      </c>
      <c r="G450" s="959" t="s">
        <v>10</v>
      </c>
      <c r="H450" s="970">
        <v>21</v>
      </c>
      <c r="I450" s="965">
        <v>150</v>
      </c>
      <c r="J450" s="964">
        <v>3150</v>
      </c>
      <c r="K450" s="367">
        <v>0</v>
      </c>
      <c r="L450" s="367">
        <f>IF($H450="",0,VLOOKUP($E450,Plan3!$A$386:$CT$487,$E$7,0))%</f>
        <v>0</v>
      </c>
      <c r="M450" s="368">
        <f t="shared" si="315"/>
        <v>0</v>
      </c>
      <c r="N450" s="368">
        <f t="shared" si="316"/>
        <v>0</v>
      </c>
      <c r="O450" s="367">
        <v>0</v>
      </c>
      <c r="P450" s="999">
        <f>1/21</f>
        <v>4.7619047619047616E-2</v>
      </c>
      <c r="Q450" s="368">
        <f t="shared" si="317"/>
        <v>1</v>
      </c>
      <c r="R450" s="368">
        <f t="shared" si="318"/>
        <v>150</v>
      </c>
      <c r="S450" s="880">
        <v>3186.54</v>
      </c>
      <c r="T450" s="880">
        <f t="shared" si="313"/>
        <v>151.73999999999998</v>
      </c>
      <c r="U450" s="880">
        <f>IF($I450="",0,($S450-$T450)*(1+('Econômico Macro'!$R$12/100)))</f>
        <v>3087.3020400000005</v>
      </c>
      <c r="V450" s="880">
        <f t="shared" si="314"/>
        <v>3239.0420400000003</v>
      </c>
      <c r="W450" s="880">
        <f t="shared" si="320"/>
        <v>0</v>
      </c>
      <c r="X450" s="367">
        <f t="shared" si="308"/>
        <v>0</v>
      </c>
      <c r="Y450" s="367">
        <f t="shared" si="309"/>
        <v>4.7619047619047616E-2</v>
      </c>
      <c r="Z450" s="367">
        <f t="shared" si="305"/>
        <v>4.7619047619047616E-2</v>
      </c>
      <c r="AA450" s="367">
        <f t="shared" si="310"/>
        <v>4.7619047619047616E-2</v>
      </c>
      <c r="AB450" s="373"/>
      <c r="AD450" s="365"/>
      <c r="AE450" s="839"/>
      <c r="AR450" s="247"/>
      <c r="AS450" s="247"/>
      <c r="AT450" s="247"/>
      <c r="AU450" s="247"/>
      <c r="AW450" s="252"/>
      <c r="AX450" s="206"/>
      <c r="AY450" s="255"/>
      <c r="AZ450" s="236"/>
      <c r="CE450" s="485">
        <v>439</v>
      </c>
    </row>
    <row r="451" spans="1:83" s="130" customFormat="1" ht="21.95" customHeight="1" x14ac:dyDescent="0.2">
      <c r="A451" s="237">
        <f t="shared" si="311"/>
        <v>0</v>
      </c>
      <c r="B451" s="237">
        <f t="shared" si="312"/>
        <v>0</v>
      </c>
      <c r="C451" s="393" t="str">
        <f t="shared" si="306"/>
        <v xml:space="preserve">05 </v>
      </c>
      <c r="D451" s="393" t="str">
        <f t="shared" si="307"/>
        <v xml:space="preserve">05 </v>
      </c>
      <c r="E451" s="161" t="s">
        <v>95</v>
      </c>
      <c r="F451" s="161" t="s">
        <v>564</v>
      </c>
      <c r="G451" s="162"/>
      <c r="H451" s="162"/>
      <c r="I451" s="162"/>
      <c r="J451" s="163">
        <v>311618.37</v>
      </c>
      <c r="K451" s="164">
        <v>0.12719999999999998</v>
      </c>
      <c r="L451" s="164">
        <f t="array" ref="L451">SUM(IF($D452:$D$479=$E451,$L452:$L$479*$J452:$J$479))/$J451</f>
        <v>0.16830000000000001</v>
      </c>
      <c r="M451" s="163">
        <f>$L451*$H451</f>
        <v>0</v>
      </c>
      <c r="N451" s="163">
        <f>$L451*$J451</f>
        <v>52445.371671000001</v>
      </c>
      <c r="O451" s="164">
        <v>0.1162425239350727</v>
      </c>
      <c r="P451" s="164">
        <f t="array" ref="P451">SUM(IF($D452:$D$479=$E451,$J452:$J$479*$P452:$P$479))/$J451</f>
        <v>0.16232506694005236</v>
      </c>
      <c r="Q451" s="163">
        <f>$P451*$H451</f>
        <v>0</v>
      </c>
      <c r="R451" s="163">
        <f>$P451*$J451</f>
        <v>50583.47277</v>
      </c>
      <c r="S451" s="163">
        <v>314812.95274433342</v>
      </c>
      <c r="T451" s="163">
        <f>SUM(T452:T477)</f>
        <v>50967.113655923669</v>
      </c>
      <c r="U451" s="163"/>
      <c r="V451" s="163">
        <f t="shared" ref="V451:W451" si="321">SUM(V452:V477)</f>
        <v>319377.48576056288</v>
      </c>
      <c r="W451" s="163">
        <f t="shared" si="321"/>
        <v>53751.230853502726</v>
      </c>
      <c r="X451" s="164">
        <f t="shared" si="308"/>
        <v>4.1100000000000025E-2</v>
      </c>
      <c r="Y451" s="164">
        <f t="shared" si="309"/>
        <v>4.6082543004979659E-2</v>
      </c>
      <c r="Z451" s="164">
        <f t="shared" si="305"/>
        <v>-5.9749330599476458E-3</v>
      </c>
      <c r="AA451" s="164">
        <f t="shared" si="310"/>
        <v>4.9825430049796338E-3</v>
      </c>
      <c r="AB451" s="201"/>
      <c r="AD451" s="365"/>
      <c r="AE451" s="839"/>
      <c r="AR451" s="247"/>
      <c r="AS451" s="247"/>
      <c r="AT451" s="247"/>
      <c r="AU451" s="247"/>
      <c r="AW451" s="252"/>
      <c r="AX451" s="206"/>
      <c r="AY451" s="255"/>
      <c r="AZ451" s="236"/>
      <c r="CE451" s="485">
        <v>440</v>
      </c>
    </row>
    <row r="452" spans="1:83" s="130" customFormat="1" ht="21.95" customHeight="1" x14ac:dyDescent="0.2">
      <c r="A452" s="237">
        <f t="shared" si="311"/>
        <v>0</v>
      </c>
      <c r="B452" s="237">
        <f t="shared" si="312"/>
        <v>0</v>
      </c>
      <c r="C452" s="393">
        <f t="shared" si="306"/>
        <v>0</v>
      </c>
      <c r="D452" s="393" t="str">
        <f t="shared" si="307"/>
        <v xml:space="preserve">05 </v>
      </c>
      <c r="E452" s="967" t="s">
        <v>565</v>
      </c>
      <c r="F452" s="967" t="s">
        <v>566</v>
      </c>
      <c r="G452" s="967"/>
      <c r="H452" s="968"/>
      <c r="I452" s="968"/>
      <c r="J452" s="971">
        <v>234906.45</v>
      </c>
      <c r="K452" s="367">
        <v>0</v>
      </c>
      <c r="L452" s="367">
        <f>IF($H452="",0,VLOOKUP($E452,Plan3!$A$386:$CT$487,$E$7,0))%</f>
        <v>0</v>
      </c>
      <c r="M452" s="368">
        <f t="shared" si="315"/>
        <v>0</v>
      </c>
      <c r="N452" s="368">
        <f t="shared" si="316"/>
        <v>0</v>
      </c>
      <c r="O452" s="367">
        <v>0</v>
      </c>
      <c r="P452" s="367">
        <f t="shared" si="319"/>
        <v>0</v>
      </c>
      <c r="Q452" s="368">
        <f t="shared" si="317"/>
        <v>0</v>
      </c>
      <c r="R452" s="368">
        <f t="shared" si="318"/>
        <v>0</v>
      </c>
      <c r="S452" s="880">
        <v>0</v>
      </c>
      <c r="T452" s="880">
        <f t="shared" si="313"/>
        <v>0</v>
      </c>
      <c r="U452" s="880">
        <f>IF($I452="",0,($S452-$T452)*(1+('Econômico Macro'!$R$12/100)))</f>
        <v>0</v>
      </c>
      <c r="V452" s="880">
        <f t="shared" si="314"/>
        <v>0</v>
      </c>
      <c r="W452" s="880">
        <f t="shared" si="320"/>
        <v>0</v>
      </c>
      <c r="X452" s="367">
        <f t="shared" si="308"/>
        <v>0</v>
      </c>
      <c r="Y452" s="367">
        <f t="shared" si="309"/>
        <v>0</v>
      </c>
      <c r="Z452" s="367">
        <f t="shared" si="305"/>
        <v>0</v>
      </c>
      <c r="AA452" s="367">
        <f t="shared" si="310"/>
        <v>0</v>
      </c>
      <c r="AB452" s="373"/>
      <c r="AC452" s="155"/>
      <c r="AD452" s="689"/>
      <c r="AE452" s="835"/>
      <c r="AF452" s="155"/>
      <c r="AG452" s="207"/>
      <c r="AH452" s="208"/>
      <c r="AI452" s="207"/>
      <c r="AJ452" s="208"/>
      <c r="AK452" s="155"/>
      <c r="AL452" s="212"/>
      <c r="AM452" s="209"/>
      <c r="AN452" s="209"/>
      <c r="AO452" s="209"/>
      <c r="AP452" s="213"/>
      <c r="AQ452" s="401"/>
      <c r="AR452" s="247"/>
      <c r="AS452" s="247"/>
      <c r="AT452" s="247"/>
      <c r="AU452" s="247"/>
      <c r="AV452" s="155"/>
      <c r="AW452" s="250"/>
      <c r="AX452" s="248"/>
      <c r="AY452" s="402"/>
      <c r="AZ452" s="237"/>
      <c r="BA452" s="155"/>
      <c r="BB452" s="155"/>
      <c r="BC452" s="155"/>
      <c r="BD452" s="155"/>
      <c r="BE452" s="155"/>
      <c r="BF452" s="155"/>
      <c r="BG452" s="155"/>
      <c r="BH452" s="155"/>
      <c r="BI452" s="155"/>
      <c r="BJ452" s="155"/>
      <c r="BK452" s="155"/>
      <c r="BL452" s="666"/>
      <c r="BM452" s="667"/>
      <c r="BN452" s="668"/>
      <c r="BO452" s="669"/>
      <c r="BP452" s="669"/>
      <c r="BQ452" s="670"/>
      <c r="BR452" s="671"/>
      <c r="BS452" s="669"/>
      <c r="BT452" s="669"/>
      <c r="BU452" s="672"/>
      <c r="CE452" s="485">
        <v>441</v>
      </c>
    </row>
    <row r="453" spans="1:83" s="130" customFormat="1" ht="21.95" customHeight="1" x14ac:dyDescent="0.2">
      <c r="A453" s="237">
        <f t="shared" si="311"/>
        <v>0</v>
      </c>
      <c r="B453" s="237">
        <f t="shared" si="312"/>
        <v>0</v>
      </c>
      <c r="C453" s="393">
        <f t="shared" si="306"/>
        <v>0</v>
      </c>
      <c r="D453" s="393" t="str">
        <f t="shared" si="307"/>
        <v xml:space="preserve">05 </v>
      </c>
      <c r="E453" s="959" t="s">
        <v>567</v>
      </c>
      <c r="F453" s="959" t="s">
        <v>831</v>
      </c>
      <c r="G453" s="959" t="s">
        <v>10</v>
      </c>
      <c r="H453" s="970">
        <v>22</v>
      </c>
      <c r="I453" s="963">
        <v>1000</v>
      </c>
      <c r="J453" s="962">
        <v>22000</v>
      </c>
      <c r="K453" s="367">
        <v>0.12720000000000001</v>
      </c>
      <c r="L453" s="367">
        <f>IF($H453="",0,VLOOKUP($E453,Plan3!$A$386:$CT$487,$E$7,0))%</f>
        <v>0.16829999999999998</v>
      </c>
      <c r="M453" s="368">
        <f t="shared" si="315"/>
        <v>3.7025999999999994</v>
      </c>
      <c r="N453" s="368">
        <f t="shared" si="316"/>
        <v>3702.5999999999995</v>
      </c>
      <c r="O453" s="367">
        <v>8.3333333333333329E-2</v>
      </c>
      <c r="P453" s="999">
        <f t="shared" ref="P453:P462" si="322">3/24</f>
        <v>0.125</v>
      </c>
      <c r="Q453" s="368">
        <f t="shared" si="317"/>
        <v>2.75</v>
      </c>
      <c r="R453" s="368">
        <f t="shared" si="318"/>
        <v>2750</v>
      </c>
      <c r="S453" s="880">
        <v>22233.933333333334</v>
      </c>
      <c r="T453" s="880">
        <f t="shared" si="313"/>
        <v>2779.2416666666668</v>
      </c>
      <c r="U453" s="880">
        <f>IF($I453="",0,($S453-$T453)*(1+('Econômico Macro'!$R$12/100)))</f>
        <v>19791.257832499999</v>
      </c>
      <c r="V453" s="880">
        <f t="shared" si="314"/>
        <v>22570.499499166668</v>
      </c>
      <c r="W453" s="880">
        <f t="shared" si="320"/>
        <v>3798.6150657097496</v>
      </c>
      <c r="X453" s="367">
        <f t="shared" si="308"/>
        <v>4.109999999999997E-2</v>
      </c>
      <c r="Y453" s="367">
        <f t="shared" si="309"/>
        <v>4.1666666666666671E-2</v>
      </c>
      <c r="Z453" s="367">
        <f t="shared" si="305"/>
        <v>-4.3299999999999977E-2</v>
      </c>
      <c r="AA453" s="367">
        <f t="shared" si="310"/>
        <v>5.666666666667014E-4</v>
      </c>
      <c r="AB453" s="373"/>
      <c r="AD453" s="365"/>
      <c r="AE453" s="839"/>
      <c r="AR453" s="247"/>
      <c r="AS453" s="247"/>
      <c r="AT453" s="247"/>
      <c r="AU453" s="247"/>
      <c r="AW453" s="252"/>
      <c r="AX453" s="206"/>
      <c r="AY453" s="255"/>
      <c r="AZ453" s="236"/>
      <c r="CE453" s="485">
        <v>442</v>
      </c>
    </row>
    <row r="454" spans="1:83" s="130" customFormat="1" ht="21.95" customHeight="1" x14ac:dyDescent="0.2">
      <c r="A454" s="237">
        <f t="shared" si="311"/>
        <v>0</v>
      </c>
      <c r="B454" s="237">
        <f t="shared" si="312"/>
        <v>0</v>
      </c>
      <c r="C454" s="393">
        <f t="shared" si="306"/>
        <v>0</v>
      </c>
      <c r="D454" s="393" t="str">
        <f t="shared" si="307"/>
        <v xml:space="preserve">05 </v>
      </c>
      <c r="E454" s="959" t="s">
        <v>568</v>
      </c>
      <c r="F454" s="959" t="s">
        <v>832</v>
      </c>
      <c r="G454" s="959" t="s">
        <v>10</v>
      </c>
      <c r="H454" s="970">
        <v>22</v>
      </c>
      <c r="I454" s="965">
        <v>900</v>
      </c>
      <c r="J454" s="962">
        <v>19800</v>
      </c>
      <c r="K454" s="367">
        <v>0.12720000000000001</v>
      </c>
      <c r="L454" s="367">
        <f>IF($H454="",0,VLOOKUP($E454,Plan3!$A$386:$CT$487,$E$7,0))%</f>
        <v>0.16829999999999998</v>
      </c>
      <c r="M454" s="368">
        <f t="shared" si="315"/>
        <v>3.7025999999999994</v>
      </c>
      <c r="N454" s="368">
        <f t="shared" si="316"/>
        <v>3332.3399999999997</v>
      </c>
      <c r="O454" s="367">
        <v>8.3333333333333329E-2</v>
      </c>
      <c r="P454" s="999">
        <f t="shared" si="322"/>
        <v>0.125</v>
      </c>
      <c r="Q454" s="368">
        <f t="shared" si="317"/>
        <v>2.75</v>
      </c>
      <c r="R454" s="368">
        <f t="shared" si="318"/>
        <v>2475</v>
      </c>
      <c r="S454" s="880">
        <v>20010.54</v>
      </c>
      <c r="T454" s="880">
        <f t="shared" si="313"/>
        <v>2501.3175000000001</v>
      </c>
      <c r="U454" s="880">
        <f>IF($I454="",0,($S454-$T454)*(1+('Econômico Macro'!$R$12/100)))</f>
        <v>17812.132049250002</v>
      </c>
      <c r="V454" s="880">
        <f t="shared" si="314"/>
        <v>20313.449549250003</v>
      </c>
      <c r="W454" s="880">
        <f t="shared" si="320"/>
        <v>3418.753559138775</v>
      </c>
      <c r="X454" s="367">
        <f t="shared" si="308"/>
        <v>4.109999999999997E-2</v>
      </c>
      <c r="Y454" s="367">
        <f t="shared" si="309"/>
        <v>4.1666666666666671E-2</v>
      </c>
      <c r="Z454" s="367">
        <f t="shared" si="305"/>
        <v>-4.3299999999999977E-2</v>
      </c>
      <c r="AA454" s="367">
        <f t="shared" si="310"/>
        <v>5.666666666667014E-4</v>
      </c>
      <c r="AB454" s="373"/>
      <c r="AD454" s="365"/>
      <c r="AE454" s="839"/>
      <c r="AR454" s="247"/>
      <c r="AS454" s="247"/>
      <c r="AT454" s="247"/>
      <c r="AU454" s="247"/>
      <c r="AW454" s="252"/>
      <c r="AX454" s="206"/>
      <c r="AY454" s="255"/>
      <c r="AZ454" s="236"/>
      <c r="CE454" s="485">
        <v>443</v>
      </c>
    </row>
    <row r="455" spans="1:83" s="130" customFormat="1" ht="21.95" customHeight="1" x14ac:dyDescent="0.2">
      <c r="A455" s="237">
        <f t="shared" si="311"/>
        <v>0</v>
      </c>
      <c r="B455" s="237">
        <f t="shared" si="312"/>
        <v>0</v>
      </c>
      <c r="C455" s="393">
        <f t="shared" si="306"/>
        <v>0</v>
      </c>
      <c r="D455" s="393" t="str">
        <f t="shared" si="307"/>
        <v xml:space="preserve">05 </v>
      </c>
      <c r="E455" s="959" t="s">
        <v>569</v>
      </c>
      <c r="F455" s="959" t="s">
        <v>2362</v>
      </c>
      <c r="G455" s="959" t="s">
        <v>10</v>
      </c>
      <c r="H455" s="970">
        <v>22</v>
      </c>
      <c r="I455" s="963">
        <v>1000</v>
      </c>
      <c r="J455" s="962">
        <v>22000</v>
      </c>
      <c r="K455" s="367">
        <v>0.12720000000000001</v>
      </c>
      <c r="L455" s="367">
        <f>IF($H455="",0,VLOOKUP($E455,Plan3!$A$386:$CT$487,$E$7,0))%</f>
        <v>0.16829999999999998</v>
      </c>
      <c r="M455" s="368">
        <f t="shared" si="315"/>
        <v>3.7025999999999994</v>
      </c>
      <c r="N455" s="368">
        <f t="shared" si="316"/>
        <v>3702.5999999999995</v>
      </c>
      <c r="O455" s="367">
        <v>8.3333333333333329E-2</v>
      </c>
      <c r="P455" s="999">
        <f t="shared" si="322"/>
        <v>0.125</v>
      </c>
      <c r="Q455" s="368">
        <f t="shared" si="317"/>
        <v>2.75</v>
      </c>
      <c r="R455" s="368">
        <f t="shared" si="318"/>
        <v>2750</v>
      </c>
      <c r="S455" s="880">
        <v>22233.933333333334</v>
      </c>
      <c r="T455" s="880">
        <f t="shared" si="313"/>
        <v>2779.2416666666668</v>
      </c>
      <c r="U455" s="880">
        <f>IF($I455="",0,($S455-$T455)*(1+('Econômico Macro'!$R$12/100)))</f>
        <v>19791.257832499999</v>
      </c>
      <c r="V455" s="880">
        <f t="shared" si="314"/>
        <v>22570.499499166668</v>
      </c>
      <c r="W455" s="880">
        <f t="shared" si="320"/>
        <v>3798.6150657097496</v>
      </c>
      <c r="X455" s="367">
        <f t="shared" si="308"/>
        <v>4.109999999999997E-2</v>
      </c>
      <c r="Y455" s="367">
        <f t="shared" si="309"/>
        <v>4.1666666666666671E-2</v>
      </c>
      <c r="Z455" s="367">
        <f t="shared" si="305"/>
        <v>-4.3299999999999977E-2</v>
      </c>
      <c r="AA455" s="367">
        <f t="shared" si="310"/>
        <v>5.666666666667014E-4</v>
      </c>
      <c r="AB455" s="373"/>
      <c r="AD455" s="365"/>
      <c r="AE455" s="839"/>
      <c r="AR455" s="247"/>
      <c r="AS455" s="247"/>
      <c r="AT455" s="247"/>
      <c r="AU455" s="247"/>
      <c r="AW455" s="252"/>
      <c r="AX455" s="206"/>
      <c r="AY455" s="255"/>
      <c r="AZ455" s="236"/>
      <c r="CE455" s="485">
        <v>444</v>
      </c>
    </row>
    <row r="456" spans="1:83" s="130" customFormat="1" ht="21.95" customHeight="1" x14ac:dyDescent="0.2">
      <c r="A456" s="237">
        <f t="shared" si="311"/>
        <v>0</v>
      </c>
      <c r="B456" s="237">
        <f t="shared" si="312"/>
        <v>0</v>
      </c>
      <c r="C456" s="393">
        <f t="shared" si="306"/>
        <v>0</v>
      </c>
      <c r="D456" s="393" t="str">
        <f t="shared" si="307"/>
        <v xml:space="preserve">05 </v>
      </c>
      <c r="E456" s="959" t="s">
        <v>570</v>
      </c>
      <c r="F456" s="959" t="s">
        <v>833</v>
      </c>
      <c r="G456" s="959" t="s">
        <v>10</v>
      </c>
      <c r="H456" s="970">
        <v>22</v>
      </c>
      <c r="I456" s="965">
        <v>400</v>
      </c>
      <c r="J456" s="964">
        <v>8800</v>
      </c>
      <c r="K456" s="367">
        <v>0.12720000000000001</v>
      </c>
      <c r="L456" s="367">
        <f>IF($H456="",0,VLOOKUP($E456,Plan3!$A$386:$CT$487,$E$7,0))%</f>
        <v>0.16829999999999998</v>
      </c>
      <c r="M456" s="368">
        <f t="shared" si="315"/>
        <v>3.7025999999999994</v>
      </c>
      <c r="N456" s="368">
        <f t="shared" si="316"/>
        <v>1481.0399999999997</v>
      </c>
      <c r="O456" s="367">
        <v>8.3333333333333329E-2</v>
      </c>
      <c r="P456" s="999">
        <f t="shared" si="322"/>
        <v>0.125</v>
      </c>
      <c r="Q456" s="368">
        <f t="shared" si="317"/>
        <v>2.75</v>
      </c>
      <c r="R456" s="368">
        <f t="shared" si="318"/>
        <v>1100</v>
      </c>
      <c r="S456" s="880">
        <v>8893.5733333333337</v>
      </c>
      <c r="T456" s="880">
        <f t="shared" si="313"/>
        <v>1111.6966666666667</v>
      </c>
      <c r="U456" s="880">
        <f>IF($I456="",0,($S456-$T456)*(1+('Econômico Macro'!$R$12/100)))</f>
        <v>7916.5031330000011</v>
      </c>
      <c r="V456" s="880">
        <f t="shared" si="314"/>
        <v>9028.1997996666687</v>
      </c>
      <c r="W456" s="880">
        <f t="shared" si="320"/>
        <v>1519.4460262839002</v>
      </c>
      <c r="X456" s="367">
        <f t="shared" si="308"/>
        <v>4.109999999999997E-2</v>
      </c>
      <c r="Y456" s="367">
        <f t="shared" si="309"/>
        <v>4.1666666666666671E-2</v>
      </c>
      <c r="Z456" s="367">
        <f t="shared" si="305"/>
        <v>-4.3299999999999977E-2</v>
      </c>
      <c r="AA456" s="367">
        <f t="shared" si="310"/>
        <v>5.666666666667014E-4</v>
      </c>
      <c r="AB456" s="373"/>
      <c r="AD456" s="365"/>
      <c r="AE456" s="839"/>
      <c r="AR456" s="247"/>
      <c r="AS456" s="247"/>
      <c r="AT456" s="247"/>
      <c r="AU456" s="247"/>
      <c r="AW456" s="252"/>
      <c r="AX456" s="206"/>
      <c r="AY456" s="255"/>
      <c r="AZ456" s="236"/>
      <c r="CE456" s="485">
        <v>445</v>
      </c>
    </row>
    <row r="457" spans="1:83" s="130" customFormat="1" ht="21.95" customHeight="1" x14ac:dyDescent="0.2">
      <c r="A457" s="237">
        <f t="shared" si="311"/>
        <v>0</v>
      </c>
      <c r="B457" s="237">
        <f t="shared" si="312"/>
        <v>0</v>
      </c>
      <c r="C457" s="393">
        <f t="shared" si="306"/>
        <v>0</v>
      </c>
      <c r="D457" s="393" t="str">
        <f t="shared" si="307"/>
        <v xml:space="preserve">05 </v>
      </c>
      <c r="E457" s="959" t="s">
        <v>571</v>
      </c>
      <c r="F457" s="959" t="s">
        <v>834</v>
      </c>
      <c r="G457" s="959" t="s">
        <v>10</v>
      </c>
      <c r="H457" s="970">
        <v>22</v>
      </c>
      <c r="I457" s="965">
        <v>488.94</v>
      </c>
      <c r="J457" s="962">
        <v>10756.68</v>
      </c>
      <c r="K457" s="367">
        <v>0.12720000000000001</v>
      </c>
      <c r="L457" s="367">
        <f>IF($H457="",0,VLOOKUP($E457,Plan3!$A$386:$CT$487,$E$7,0))%</f>
        <v>0.16829999999999998</v>
      </c>
      <c r="M457" s="368">
        <f t="shared" si="315"/>
        <v>3.7025999999999994</v>
      </c>
      <c r="N457" s="368">
        <f t="shared" si="316"/>
        <v>1810.3492439999998</v>
      </c>
      <c r="O457" s="367">
        <v>8.3333333333333329E-2</v>
      </c>
      <c r="P457" s="999">
        <f t="shared" si="322"/>
        <v>0.125</v>
      </c>
      <c r="Q457" s="368">
        <f t="shared" si="317"/>
        <v>2.75</v>
      </c>
      <c r="R457" s="368">
        <f t="shared" si="318"/>
        <v>1344.585</v>
      </c>
      <c r="S457" s="880">
        <v>10871.059364000001</v>
      </c>
      <c r="T457" s="880">
        <f t="shared" si="313"/>
        <v>1358.8824205000001</v>
      </c>
      <c r="U457" s="880">
        <f>IF($I457="",0,($S457-$T457)*(1+('Econômico Macro'!$R$12/100)))</f>
        <v>9676.7376046225509</v>
      </c>
      <c r="V457" s="880">
        <f t="shared" si="314"/>
        <v>11035.620025122551</v>
      </c>
      <c r="W457" s="880">
        <f t="shared" si="320"/>
        <v>1857.2948502281251</v>
      </c>
      <c r="X457" s="367">
        <f t="shared" si="308"/>
        <v>4.109999999999997E-2</v>
      </c>
      <c r="Y457" s="367">
        <f t="shared" si="309"/>
        <v>4.1666666666666671E-2</v>
      </c>
      <c r="Z457" s="367">
        <f t="shared" si="305"/>
        <v>-4.3299999999999977E-2</v>
      </c>
      <c r="AA457" s="367">
        <f t="shared" si="310"/>
        <v>5.666666666667014E-4</v>
      </c>
      <c r="AB457" s="373"/>
      <c r="AC457" s="155"/>
      <c r="AD457" s="689"/>
      <c r="AE457" s="835"/>
      <c r="AF457" s="155"/>
      <c r="AG457" s="207"/>
      <c r="AH457" s="208"/>
      <c r="AI457" s="207"/>
      <c r="AJ457" s="208"/>
      <c r="AK457" s="155"/>
      <c r="AL457" s="212"/>
      <c r="AM457" s="209"/>
      <c r="AN457" s="209"/>
      <c r="AO457" s="209"/>
      <c r="AP457" s="213"/>
      <c r="AQ457" s="401"/>
      <c r="AR457" s="247"/>
      <c r="AS457" s="247"/>
      <c r="AT457" s="247"/>
      <c r="AU457" s="247"/>
      <c r="AV457" s="155"/>
      <c r="AW457" s="250"/>
      <c r="AX457" s="248"/>
      <c r="AY457" s="402"/>
      <c r="AZ457" s="237"/>
      <c r="BA457" s="155"/>
      <c r="BB457" s="155"/>
      <c r="BC457" s="155"/>
      <c r="BD457" s="155"/>
      <c r="BE457" s="155"/>
      <c r="BF457" s="155"/>
      <c r="BG457" s="155"/>
      <c r="BH457" s="155"/>
      <c r="BI457" s="155"/>
      <c r="BJ457" s="155"/>
      <c r="BK457" s="155"/>
      <c r="BL457" s="666"/>
      <c r="BM457" s="667"/>
      <c r="BN457" s="668"/>
      <c r="BO457" s="669"/>
      <c r="BP457" s="669"/>
      <c r="BQ457" s="670"/>
      <c r="BR457" s="671"/>
      <c r="BS457" s="669"/>
      <c r="BT457" s="669"/>
      <c r="BU457" s="672"/>
      <c r="CE457" s="485">
        <v>446</v>
      </c>
    </row>
    <row r="458" spans="1:83" s="130" customFormat="1" ht="21.95" customHeight="1" x14ac:dyDescent="0.2">
      <c r="A458" s="237">
        <f t="shared" si="311"/>
        <v>0</v>
      </c>
      <c r="B458" s="237">
        <f t="shared" si="312"/>
        <v>0</v>
      </c>
      <c r="C458" s="393">
        <f t="shared" si="306"/>
        <v>0</v>
      </c>
      <c r="D458" s="393" t="str">
        <f t="shared" si="307"/>
        <v xml:space="preserve">05 </v>
      </c>
      <c r="E458" s="959" t="s">
        <v>572</v>
      </c>
      <c r="F458" s="959" t="s">
        <v>445</v>
      </c>
      <c r="G458" s="959" t="s">
        <v>10</v>
      </c>
      <c r="H458" s="970">
        <v>24</v>
      </c>
      <c r="I458" s="965">
        <v>150</v>
      </c>
      <c r="J458" s="964">
        <v>3600</v>
      </c>
      <c r="K458" s="367">
        <v>0.12720000000000001</v>
      </c>
      <c r="L458" s="367">
        <f>IF($H458="",0,VLOOKUP($E458,Plan3!$A$386:$CT$487,$E$7,0))%</f>
        <v>0.16829999999999998</v>
      </c>
      <c r="M458" s="368">
        <f t="shared" si="315"/>
        <v>4.0391999999999992</v>
      </c>
      <c r="N458" s="368">
        <f t="shared" si="316"/>
        <v>605.87999999999988</v>
      </c>
      <c r="O458" s="367">
        <v>8.3333333333333329E-2</v>
      </c>
      <c r="P458" s="999">
        <f t="shared" si="322"/>
        <v>0.125</v>
      </c>
      <c r="Q458" s="368">
        <f t="shared" si="317"/>
        <v>3</v>
      </c>
      <c r="R458" s="368">
        <f t="shared" si="318"/>
        <v>450</v>
      </c>
      <c r="S458" s="880">
        <v>3638.28</v>
      </c>
      <c r="T458" s="880">
        <f t="shared" si="313"/>
        <v>454.78500000000003</v>
      </c>
      <c r="U458" s="880">
        <f>IF($I458="",0,($S458-$T458)*(1+('Econômico Macro'!$R$12/100)))</f>
        <v>3238.5694635000004</v>
      </c>
      <c r="V458" s="880">
        <f t="shared" si="314"/>
        <v>3693.3544635000003</v>
      </c>
      <c r="W458" s="880">
        <f t="shared" si="320"/>
        <v>621.59155620704996</v>
      </c>
      <c r="X458" s="367">
        <f t="shared" si="308"/>
        <v>4.109999999999997E-2</v>
      </c>
      <c r="Y458" s="367">
        <f t="shared" si="309"/>
        <v>4.1666666666666671E-2</v>
      </c>
      <c r="Z458" s="367">
        <f t="shared" si="305"/>
        <v>-4.3299999999999977E-2</v>
      </c>
      <c r="AA458" s="367">
        <f t="shared" si="310"/>
        <v>5.666666666667014E-4</v>
      </c>
      <c r="AB458" s="373"/>
      <c r="AD458" s="365"/>
      <c r="AE458" s="839"/>
      <c r="AR458" s="247"/>
      <c r="AS458" s="247"/>
      <c r="AT458" s="247"/>
      <c r="AU458" s="247"/>
      <c r="AW458" s="252"/>
      <c r="AX458" s="206"/>
      <c r="AY458" s="255"/>
      <c r="AZ458" s="236"/>
      <c r="CE458" s="485">
        <v>447</v>
      </c>
    </row>
    <row r="459" spans="1:83" s="130" customFormat="1" ht="21.95" customHeight="1" x14ac:dyDescent="0.2">
      <c r="A459" s="237">
        <f t="shared" si="311"/>
        <v>0</v>
      </c>
      <c r="B459" s="237">
        <f t="shared" si="312"/>
        <v>0</v>
      </c>
      <c r="C459" s="393">
        <f t="shared" si="306"/>
        <v>0</v>
      </c>
      <c r="D459" s="393" t="str">
        <f t="shared" si="307"/>
        <v xml:space="preserve">05 </v>
      </c>
      <c r="E459" s="959" t="s">
        <v>573</v>
      </c>
      <c r="F459" s="959" t="s">
        <v>835</v>
      </c>
      <c r="G459" s="959" t="s">
        <v>10</v>
      </c>
      <c r="H459" s="970">
        <v>22</v>
      </c>
      <c r="I459" s="963">
        <v>1040</v>
      </c>
      <c r="J459" s="962">
        <v>22880</v>
      </c>
      <c r="K459" s="367">
        <v>0.12720000000000001</v>
      </c>
      <c r="L459" s="367">
        <f>IF($H459="",0,VLOOKUP($E459,Plan3!$A$386:$CT$487,$E$7,0))%</f>
        <v>0.16829999999999998</v>
      </c>
      <c r="M459" s="368">
        <f t="shared" si="315"/>
        <v>3.7025999999999994</v>
      </c>
      <c r="N459" s="368">
        <f t="shared" si="316"/>
        <v>3850.7039999999993</v>
      </c>
      <c r="O459" s="367">
        <v>8.3333333333333329E-2</v>
      </c>
      <c r="P459" s="999">
        <f t="shared" si="322"/>
        <v>0.125</v>
      </c>
      <c r="Q459" s="368">
        <f t="shared" si="317"/>
        <v>2.75</v>
      </c>
      <c r="R459" s="368">
        <f t="shared" si="318"/>
        <v>2860</v>
      </c>
      <c r="S459" s="880">
        <v>23123.290666666668</v>
      </c>
      <c r="T459" s="880">
        <f t="shared" si="313"/>
        <v>2890.4113333333335</v>
      </c>
      <c r="U459" s="880">
        <f>IF($I459="",0,($S459-$T459)*(1+('Econômico Macro'!$R$12/100)))</f>
        <v>20582.908145800004</v>
      </c>
      <c r="V459" s="880">
        <f t="shared" si="314"/>
        <v>23473.319479133337</v>
      </c>
      <c r="W459" s="880">
        <f t="shared" si="320"/>
        <v>3950.55966833814</v>
      </c>
      <c r="X459" s="367">
        <f t="shared" si="308"/>
        <v>4.109999999999997E-2</v>
      </c>
      <c r="Y459" s="367">
        <f t="shared" si="309"/>
        <v>4.1666666666666671E-2</v>
      </c>
      <c r="Z459" s="367">
        <f t="shared" si="305"/>
        <v>-4.3299999999999977E-2</v>
      </c>
      <c r="AA459" s="367">
        <f t="shared" si="310"/>
        <v>5.666666666667014E-4</v>
      </c>
      <c r="AB459" s="373"/>
      <c r="AD459" s="365"/>
      <c r="AE459" s="839"/>
      <c r="AR459" s="247"/>
      <c r="AS459" s="247"/>
      <c r="AT459" s="247"/>
      <c r="AU459" s="247"/>
      <c r="AW459" s="252"/>
      <c r="AX459" s="206"/>
      <c r="AY459" s="255"/>
      <c r="AZ459" s="236"/>
      <c r="CE459" s="485">
        <v>448</v>
      </c>
    </row>
    <row r="460" spans="1:83" s="130" customFormat="1" ht="21.95" customHeight="1" x14ac:dyDescent="0.2">
      <c r="A460" s="237">
        <f t="shared" si="311"/>
        <v>0</v>
      </c>
      <c r="B460" s="237">
        <f t="shared" si="312"/>
        <v>0</v>
      </c>
      <c r="C460" s="393">
        <f t="shared" si="306"/>
        <v>0</v>
      </c>
      <c r="D460" s="393" t="str">
        <f t="shared" si="307"/>
        <v xml:space="preserve">05 </v>
      </c>
      <c r="E460" s="959" t="s">
        <v>574</v>
      </c>
      <c r="F460" s="959" t="s">
        <v>437</v>
      </c>
      <c r="G460" s="959" t="s">
        <v>10</v>
      </c>
      <c r="H460" s="970">
        <v>22</v>
      </c>
      <c r="I460" s="965">
        <v>230.44399999999999</v>
      </c>
      <c r="J460" s="964">
        <v>5069.7700000000004</v>
      </c>
      <c r="K460" s="367">
        <v>0.12720000000000001</v>
      </c>
      <c r="L460" s="367">
        <f>IF($H460="",0,VLOOKUP($E460,Plan3!$A$386:$CT$487,$E$7,0))%</f>
        <v>0.16829999999999998</v>
      </c>
      <c r="M460" s="368">
        <f t="shared" si="315"/>
        <v>3.7025999999999994</v>
      </c>
      <c r="N460" s="368">
        <f t="shared" si="316"/>
        <v>853.24229099999991</v>
      </c>
      <c r="O460" s="367">
        <v>8.3333333333333329E-2</v>
      </c>
      <c r="P460" s="999">
        <f t="shared" si="322"/>
        <v>0.125</v>
      </c>
      <c r="Q460" s="368">
        <f t="shared" si="317"/>
        <v>2.75</v>
      </c>
      <c r="R460" s="368">
        <f t="shared" si="318"/>
        <v>633.72125000000005</v>
      </c>
      <c r="S460" s="880">
        <v>5123.6785543333344</v>
      </c>
      <c r="T460" s="880">
        <f t="shared" si="313"/>
        <v>640.4598192916668</v>
      </c>
      <c r="U460" s="880">
        <f>IF($I460="",0,($S460-$T460)*(1+('Econômico Macro'!$R$12/100)))</f>
        <v>4560.7784191578894</v>
      </c>
      <c r="V460" s="880">
        <f t="shared" si="314"/>
        <v>5201.2382384495559</v>
      </c>
      <c r="W460" s="880">
        <f t="shared" si="320"/>
        <v>875.36839553106017</v>
      </c>
      <c r="X460" s="367">
        <f t="shared" si="308"/>
        <v>4.109999999999997E-2</v>
      </c>
      <c r="Y460" s="367">
        <f t="shared" si="309"/>
        <v>4.1666666666666671E-2</v>
      </c>
      <c r="Z460" s="367">
        <f t="shared" si="305"/>
        <v>-4.3299999999999977E-2</v>
      </c>
      <c r="AA460" s="367">
        <f t="shared" si="310"/>
        <v>5.666666666667014E-4</v>
      </c>
      <c r="AB460" s="373"/>
      <c r="AD460" s="365"/>
      <c r="AE460" s="839"/>
      <c r="AR460" s="247"/>
      <c r="AS460" s="247"/>
      <c r="AT460" s="247"/>
      <c r="AU460" s="247"/>
      <c r="AW460" s="252"/>
      <c r="AX460" s="206"/>
      <c r="AY460" s="255"/>
      <c r="AZ460" s="236"/>
      <c r="CE460" s="485">
        <v>449</v>
      </c>
    </row>
    <row r="461" spans="1:83" s="130" customFormat="1" ht="21.95" customHeight="1" x14ac:dyDescent="0.2">
      <c r="A461" s="237">
        <f t="shared" si="311"/>
        <v>0</v>
      </c>
      <c r="B461" s="237">
        <f t="shared" si="312"/>
        <v>0</v>
      </c>
      <c r="C461" s="393">
        <f t="shared" si="306"/>
        <v>0</v>
      </c>
      <c r="D461" s="393" t="str">
        <f t="shared" si="307"/>
        <v xml:space="preserve">05 </v>
      </c>
      <c r="E461" s="959" t="s">
        <v>575</v>
      </c>
      <c r="F461" s="959" t="s">
        <v>439</v>
      </c>
      <c r="G461" s="959" t="s">
        <v>10</v>
      </c>
      <c r="H461" s="970">
        <v>24</v>
      </c>
      <c r="I461" s="963">
        <v>1500</v>
      </c>
      <c r="J461" s="962">
        <v>36000</v>
      </c>
      <c r="K461" s="367">
        <v>0.12720000000000001</v>
      </c>
      <c r="L461" s="367">
        <f>IF($H461="",0,VLOOKUP($E461,Plan3!$A$386:$CT$487,$E$7,0))%</f>
        <v>0.16829999999999998</v>
      </c>
      <c r="M461" s="368">
        <f t="shared" si="315"/>
        <v>4.0391999999999992</v>
      </c>
      <c r="N461" s="368">
        <f t="shared" si="316"/>
        <v>6058.7999999999993</v>
      </c>
      <c r="O461" s="367">
        <v>8.3333333333333329E-2</v>
      </c>
      <c r="P461" s="999">
        <f t="shared" si="322"/>
        <v>0.125</v>
      </c>
      <c r="Q461" s="368">
        <f t="shared" si="317"/>
        <v>3</v>
      </c>
      <c r="R461" s="368">
        <f t="shared" si="318"/>
        <v>4500</v>
      </c>
      <c r="S461" s="880">
        <v>36382.800000000003</v>
      </c>
      <c r="T461" s="880">
        <f t="shared" si="313"/>
        <v>4547.8500000000004</v>
      </c>
      <c r="U461" s="880">
        <f>IF($I461="",0,($S461-$T461)*(1+('Econômico Macro'!$R$12/100)))</f>
        <v>32385.694635000007</v>
      </c>
      <c r="V461" s="880">
        <f t="shared" si="314"/>
        <v>36933.544635000006</v>
      </c>
      <c r="W461" s="880">
        <f t="shared" si="320"/>
        <v>6215.9155620705005</v>
      </c>
      <c r="X461" s="367">
        <f t="shared" si="308"/>
        <v>4.109999999999997E-2</v>
      </c>
      <c r="Y461" s="367">
        <f t="shared" si="309"/>
        <v>4.1666666666666671E-2</v>
      </c>
      <c r="Z461" s="367">
        <f t="shared" si="305"/>
        <v>-4.3299999999999977E-2</v>
      </c>
      <c r="AA461" s="367">
        <f t="shared" si="310"/>
        <v>5.666666666667014E-4</v>
      </c>
      <c r="AB461" s="373"/>
      <c r="AD461" s="365"/>
      <c r="AE461" s="839"/>
      <c r="AR461" s="247"/>
      <c r="AS461" s="247"/>
      <c r="AT461" s="247"/>
      <c r="AU461" s="247"/>
      <c r="AW461" s="252"/>
      <c r="AX461" s="206"/>
      <c r="AY461" s="255"/>
      <c r="AZ461" s="236"/>
      <c r="CE461" s="485">
        <v>450</v>
      </c>
    </row>
    <row r="462" spans="1:83" s="130" customFormat="1" ht="21.95" customHeight="1" x14ac:dyDescent="0.2">
      <c r="A462" s="237">
        <f t="shared" si="311"/>
        <v>0</v>
      </c>
      <c r="B462" s="237">
        <f t="shared" si="312"/>
        <v>0</v>
      </c>
      <c r="C462" s="393">
        <f t="shared" si="306"/>
        <v>0</v>
      </c>
      <c r="D462" s="393" t="str">
        <f t="shared" si="307"/>
        <v xml:space="preserve">05 </v>
      </c>
      <c r="E462" s="959" t="s">
        <v>836</v>
      </c>
      <c r="F462" s="959" t="s">
        <v>433</v>
      </c>
      <c r="G462" s="959" t="s">
        <v>10</v>
      </c>
      <c r="H462" s="970">
        <v>24</v>
      </c>
      <c r="I462" s="963">
        <v>3500</v>
      </c>
      <c r="J462" s="962">
        <v>84000</v>
      </c>
      <c r="K462" s="367">
        <v>0.12720000000000001</v>
      </c>
      <c r="L462" s="367">
        <f>IF($H462="",0,VLOOKUP($E462,Plan3!$A$386:$CT$487,$E$7,0))%</f>
        <v>0.16829999999999998</v>
      </c>
      <c r="M462" s="368">
        <f t="shared" si="315"/>
        <v>4.0391999999999992</v>
      </c>
      <c r="N462" s="368">
        <f t="shared" si="316"/>
        <v>14137.199999999999</v>
      </c>
      <c r="O462" s="367">
        <v>8.3333333333333329E-2</v>
      </c>
      <c r="P462" s="999">
        <f t="shared" si="322"/>
        <v>0.125</v>
      </c>
      <c r="Q462" s="368">
        <f t="shared" si="317"/>
        <v>3</v>
      </c>
      <c r="R462" s="368">
        <f t="shared" si="318"/>
        <v>10500</v>
      </c>
      <c r="S462" s="880">
        <v>84893.2</v>
      </c>
      <c r="T462" s="880">
        <f t="shared" si="313"/>
        <v>10611.65</v>
      </c>
      <c r="U462" s="880">
        <f>IF($I462="",0,($S462-$T462)*(1+('Econômico Macro'!$R$12/100)))</f>
        <v>75566.620815000017</v>
      </c>
      <c r="V462" s="880">
        <f t="shared" si="314"/>
        <v>86178.270815000011</v>
      </c>
      <c r="W462" s="880">
        <f t="shared" si="320"/>
        <v>14503.8029781645</v>
      </c>
      <c r="X462" s="367">
        <f t="shared" si="308"/>
        <v>4.109999999999997E-2</v>
      </c>
      <c r="Y462" s="367">
        <f t="shared" si="309"/>
        <v>4.1666666666666671E-2</v>
      </c>
      <c r="Z462" s="367">
        <f t="shared" si="305"/>
        <v>-4.3299999999999977E-2</v>
      </c>
      <c r="AA462" s="367">
        <f t="shared" si="310"/>
        <v>5.666666666667014E-4</v>
      </c>
      <c r="AB462" s="373"/>
      <c r="AD462" s="365"/>
      <c r="AE462" s="839"/>
      <c r="AR462" s="247"/>
      <c r="AS462" s="247"/>
      <c r="AT462" s="247"/>
      <c r="AU462" s="247"/>
      <c r="AW462" s="252"/>
      <c r="AX462" s="206"/>
      <c r="AY462" s="255"/>
      <c r="AZ462" s="236"/>
      <c r="CE462" s="485">
        <v>451</v>
      </c>
    </row>
    <row r="463" spans="1:83" s="130" customFormat="1" ht="21.95" customHeight="1" x14ac:dyDescent="0.2">
      <c r="A463" s="237">
        <f t="shared" si="311"/>
        <v>0</v>
      </c>
      <c r="B463" s="237">
        <f t="shared" si="312"/>
        <v>0</v>
      </c>
      <c r="C463" s="393">
        <f t="shared" si="306"/>
        <v>0</v>
      </c>
      <c r="D463" s="393" t="str">
        <f t="shared" si="307"/>
        <v xml:space="preserve">05 </v>
      </c>
      <c r="E463" s="967" t="s">
        <v>576</v>
      </c>
      <c r="F463" s="967" t="s">
        <v>117</v>
      </c>
      <c r="G463" s="967"/>
      <c r="H463" s="968"/>
      <c r="I463" s="968"/>
      <c r="J463" s="969">
        <v>76711.92</v>
      </c>
      <c r="K463" s="367">
        <v>0</v>
      </c>
      <c r="L463" s="367">
        <f>IF($H463="",0,VLOOKUP($E463,Plan3!$A$386:$CT$487,$E$7,0))%</f>
        <v>0</v>
      </c>
      <c r="M463" s="368">
        <f t="shared" si="315"/>
        <v>0</v>
      </c>
      <c r="N463" s="368">
        <f t="shared" si="316"/>
        <v>0</v>
      </c>
      <c r="O463" s="367">
        <v>0</v>
      </c>
      <c r="P463" s="367">
        <f t="shared" si="319"/>
        <v>0</v>
      </c>
      <c r="Q463" s="368">
        <f t="shared" si="317"/>
        <v>0</v>
      </c>
      <c r="R463" s="368">
        <f t="shared" si="318"/>
        <v>0</v>
      </c>
      <c r="S463" s="880">
        <v>0</v>
      </c>
      <c r="T463" s="880">
        <f t="shared" si="313"/>
        <v>0</v>
      </c>
      <c r="U463" s="880">
        <f>IF($I463="",0,($S463-$T463)*(1+('Econômico Macro'!$R$12/100)))</f>
        <v>0</v>
      </c>
      <c r="V463" s="880">
        <f t="shared" si="314"/>
        <v>0</v>
      </c>
      <c r="W463" s="880">
        <f t="shared" si="320"/>
        <v>0</v>
      </c>
      <c r="X463" s="367">
        <f t="shared" si="308"/>
        <v>0</v>
      </c>
      <c r="Y463" s="367">
        <f t="shared" si="309"/>
        <v>0</v>
      </c>
      <c r="Z463" s="367">
        <f t="shared" si="305"/>
        <v>0</v>
      </c>
      <c r="AA463" s="367">
        <f t="shared" si="310"/>
        <v>0</v>
      </c>
      <c r="AB463" s="373"/>
      <c r="AD463" s="365"/>
      <c r="AE463" s="839"/>
      <c r="AR463" s="247"/>
      <c r="AS463" s="247"/>
      <c r="AT463" s="247"/>
      <c r="AU463" s="247"/>
      <c r="AW463" s="252"/>
      <c r="AX463" s="206"/>
      <c r="AY463" s="255"/>
      <c r="AZ463" s="236"/>
      <c r="CE463" s="485">
        <v>452</v>
      </c>
    </row>
    <row r="464" spans="1:83" s="130" customFormat="1" ht="21.95" customHeight="1" x14ac:dyDescent="0.2">
      <c r="A464" s="237">
        <f t="shared" si="311"/>
        <v>0</v>
      </c>
      <c r="B464" s="237">
        <f t="shared" si="312"/>
        <v>0</v>
      </c>
      <c r="C464" s="393">
        <f t="shared" si="306"/>
        <v>0</v>
      </c>
      <c r="D464" s="393" t="str">
        <f t="shared" si="307"/>
        <v xml:space="preserve">05 </v>
      </c>
      <c r="E464" s="959" t="s">
        <v>577</v>
      </c>
      <c r="F464" s="959" t="s">
        <v>578</v>
      </c>
      <c r="G464" s="959" t="s">
        <v>8</v>
      </c>
      <c r="H464" s="960">
        <v>2</v>
      </c>
      <c r="I464" s="965">
        <v>225</v>
      </c>
      <c r="J464" s="966">
        <v>450</v>
      </c>
      <c r="K464" s="367">
        <v>0.12720000000000001</v>
      </c>
      <c r="L464" s="367">
        <f>IF($H464="",0,VLOOKUP($E464,Plan3!$A$386:$CT$487,$E$7,0))%</f>
        <v>0.16829999999999998</v>
      </c>
      <c r="M464" s="368">
        <f t="shared" si="315"/>
        <v>0.33659999999999995</v>
      </c>
      <c r="N464" s="368">
        <f t="shared" si="316"/>
        <v>75.734999999999985</v>
      </c>
      <c r="O464" s="367"/>
      <c r="P464" s="999"/>
      <c r="Q464" s="368">
        <f t="shared" si="317"/>
        <v>0</v>
      </c>
      <c r="R464" s="368">
        <f t="shared" si="318"/>
        <v>0</v>
      </c>
      <c r="S464" s="880">
        <v>455.22</v>
      </c>
      <c r="T464" s="880">
        <f t="shared" si="313"/>
        <v>0</v>
      </c>
      <c r="U464" s="880">
        <f>IF($I464="",0,($S464-$T464)*(1+('Econômico Macro'!$R$12/100)))</f>
        <v>463.09530600000005</v>
      </c>
      <c r="V464" s="880">
        <f t="shared" si="314"/>
        <v>463.09530600000005</v>
      </c>
      <c r="W464" s="880">
        <f t="shared" si="320"/>
        <v>77.938939999799999</v>
      </c>
      <c r="X464" s="367">
        <f t="shared" si="308"/>
        <v>4.109999999999997E-2</v>
      </c>
      <c r="Y464" s="367">
        <f t="shared" si="309"/>
        <v>0</v>
      </c>
      <c r="Z464" s="367">
        <f t="shared" si="305"/>
        <v>-0.16829999999999998</v>
      </c>
      <c r="AA464" s="367">
        <f t="shared" si="310"/>
        <v>-4.109999999999997E-2</v>
      </c>
      <c r="AB464" s="373"/>
      <c r="AD464" s="365"/>
      <c r="AE464" s="839"/>
      <c r="AR464" s="247"/>
      <c r="AS464" s="247"/>
      <c r="AT464" s="247"/>
      <c r="AU464" s="247"/>
      <c r="AW464" s="252"/>
      <c r="AX464" s="206"/>
      <c r="AY464" s="255"/>
      <c r="AZ464" s="236"/>
      <c r="CE464" s="485">
        <v>453</v>
      </c>
    </row>
    <row r="465" spans="1:83" s="130" customFormat="1" ht="21.95" customHeight="1" x14ac:dyDescent="0.2">
      <c r="A465" s="237">
        <f t="shared" si="311"/>
        <v>0</v>
      </c>
      <c r="B465" s="237">
        <f t="shared" si="312"/>
        <v>0</v>
      </c>
      <c r="C465" s="393">
        <f t="shared" si="306"/>
        <v>0</v>
      </c>
      <c r="D465" s="393" t="str">
        <f t="shared" si="307"/>
        <v xml:space="preserve">05 </v>
      </c>
      <c r="E465" s="959" t="s">
        <v>579</v>
      </c>
      <c r="F465" s="959" t="s">
        <v>432</v>
      </c>
      <c r="G465" s="959" t="s">
        <v>7</v>
      </c>
      <c r="H465" s="960">
        <v>1</v>
      </c>
      <c r="I465" s="963">
        <v>5000</v>
      </c>
      <c r="J465" s="964">
        <v>5000</v>
      </c>
      <c r="K465" s="367">
        <v>0.12720000000000001</v>
      </c>
      <c r="L465" s="367">
        <f>IF($H465="",0,VLOOKUP($E465,Plan3!$A$386:$CT$487,$E$7,0))%</f>
        <v>0.16829999999999998</v>
      </c>
      <c r="M465" s="368">
        <f t="shared" si="315"/>
        <v>0.16829999999999998</v>
      </c>
      <c r="N465" s="368">
        <f t="shared" si="316"/>
        <v>841.49999999999989</v>
      </c>
      <c r="O465" s="367"/>
      <c r="P465" s="999"/>
      <c r="Q465" s="368">
        <f t="shared" si="317"/>
        <v>0</v>
      </c>
      <c r="R465" s="368">
        <f t="shared" si="318"/>
        <v>0</v>
      </c>
      <c r="S465" s="880">
        <v>5058</v>
      </c>
      <c r="T465" s="880">
        <f t="shared" si="313"/>
        <v>0</v>
      </c>
      <c r="U465" s="880">
        <f>IF($I465="",0,($S465-$T465)*(1+('Econômico Macro'!$R$12/100)))</f>
        <v>5145.5034000000005</v>
      </c>
      <c r="V465" s="880">
        <f t="shared" si="314"/>
        <v>5145.5034000000005</v>
      </c>
      <c r="W465" s="880">
        <f t="shared" si="320"/>
        <v>865.98822222000001</v>
      </c>
      <c r="X465" s="367">
        <f t="shared" si="308"/>
        <v>4.109999999999997E-2</v>
      </c>
      <c r="Y465" s="367">
        <f t="shared" si="309"/>
        <v>0</v>
      </c>
      <c r="Z465" s="367">
        <f t="shared" si="305"/>
        <v>-0.16829999999999998</v>
      </c>
      <c r="AA465" s="367">
        <f t="shared" si="310"/>
        <v>-4.109999999999997E-2</v>
      </c>
      <c r="AB465" s="373"/>
      <c r="AD465" s="365"/>
      <c r="AE465" s="839"/>
      <c r="AR465" s="247"/>
      <c r="AS465" s="247"/>
      <c r="AT465" s="247"/>
      <c r="AU465" s="247"/>
      <c r="AW465" s="252"/>
      <c r="AX465" s="206"/>
      <c r="AY465" s="255"/>
      <c r="AZ465" s="236"/>
      <c r="CE465" s="485">
        <v>454</v>
      </c>
    </row>
    <row r="466" spans="1:83" s="130" customFormat="1" ht="21.95" customHeight="1" x14ac:dyDescent="0.2">
      <c r="A466" s="237">
        <f t="shared" si="311"/>
        <v>0</v>
      </c>
      <c r="B466" s="237">
        <f t="shared" si="312"/>
        <v>0</v>
      </c>
      <c r="C466" s="393">
        <f t="shared" si="306"/>
        <v>0</v>
      </c>
      <c r="D466" s="393" t="str">
        <f t="shared" si="307"/>
        <v xml:space="preserve">05 </v>
      </c>
      <c r="E466" s="959" t="s">
        <v>580</v>
      </c>
      <c r="F466" s="959" t="s">
        <v>837</v>
      </c>
      <c r="G466" s="959" t="s">
        <v>10</v>
      </c>
      <c r="H466" s="960">
        <v>1</v>
      </c>
      <c r="I466" s="963">
        <v>1600</v>
      </c>
      <c r="J466" s="964">
        <v>1600</v>
      </c>
      <c r="K466" s="367">
        <v>0.12720000000000001</v>
      </c>
      <c r="L466" s="367">
        <f>IF($H466="",0,VLOOKUP($E466,Plan3!$A$386:$CT$487,$E$7,0))%</f>
        <v>0.16829999999999998</v>
      </c>
      <c r="M466" s="368">
        <f t="shared" si="315"/>
        <v>0.16829999999999998</v>
      </c>
      <c r="N466" s="368">
        <f t="shared" si="316"/>
        <v>269.27999999999997</v>
      </c>
      <c r="O466" s="367"/>
      <c r="P466" s="999"/>
      <c r="Q466" s="368">
        <f t="shared" si="317"/>
        <v>0</v>
      </c>
      <c r="R466" s="368">
        <f t="shared" si="318"/>
        <v>0</v>
      </c>
      <c r="S466" s="880">
        <v>1618.5600000000002</v>
      </c>
      <c r="T466" s="880">
        <f t="shared" si="313"/>
        <v>0</v>
      </c>
      <c r="U466" s="880">
        <f>IF($I466="",0,($S466-$T466)*(1+('Econômico Macro'!$R$12/100)))</f>
        <v>1646.5610880000004</v>
      </c>
      <c r="V466" s="880">
        <f t="shared" si="314"/>
        <v>1646.5610880000004</v>
      </c>
      <c r="W466" s="880">
        <f t="shared" si="320"/>
        <v>277.11623111040001</v>
      </c>
      <c r="X466" s="367">
        <f t="shared" si="308"/>
        <v>4.109999999999997E-2</v>
      </c>
      <c r="Y466" s="367">
        <f t="shared" si="309"/>
        <v>0</v>
      </c>
      <c r="Z466" s="367">
        <f t="shared" si="305"/>
        <v>-0.16829999999999998</v>
      </c>
      <c r="AA466" s="367">
        <f t="shared" si="310"/>
        <v>-4.109999999999997E-2</v>
      </c>
      <c r="AB466" s="373"/>
      <c r="AD466" s="365"/>
      <c r="AE466" s="839"/>
      <c r="AR466" s="247"/>
      <c r="AS466" s="247"/>
      <c r="AT466" s="247"/>
      <c r="AU466" s="247"/>
      <c r="AW466" s="252"/>
      <c r="AX466" s="206"/>
      <c r="AY466" s="255"/>
      <c r="AZ466" s="236"/>
      <c r="CE466" s="485">
        <v>455</v>
      </c>
    </row>
    <row r="467" spans="1:83" s="130" customFormat="1" ht="21.95" customHeight="1" x14ac:dyDescent="0.2">
      <c r="A467" s="237">
        <f t="shared" si="311"/>
        <v>0</v>
      </c>
      <c r="B467" s="237">
        <f t="shared" si="312"/>
        <v>0</v>
      </c>
      <c r="C467" s="393">
        <f t="shared" si="306"/>
        <v>0</v>
      </c>
      <c r="D467" s="393" t="str">
        <f t="shared" si="307"/>
        <v xml:space="preserve">05 </v>
      </c>
      <c r="E467" s="959" t="s">
        <v>581</v>
      </c>
      <c r="F467" s="959" t="s">
        <v>515</v>
      </c>
      <c r="G467" s="959" t="s">
        <v>8</v>
      </c>
      <c r="H467" s="970">
        <v>12</v>
      </c>
      <c r="I467" s="965">
        <v>517.39</v>
      </c>
      <c r="J467" s="964">
        <v>6208.68</v>
      </c>
      <c r="K467" s="367">
        <v>0.12720000000000001</v>
      </c>
      <c r="L467" s="367">
        <f>IF($H467="",0,VLOOKUP($E467,Plan3!$A$386:$CT$487,$E$7,0))%</f>
        <v>0.16829999999999998</v>
      </c>
      <c r="M467" s="368">
        <f t="shared" si="315"/>
        <v>2.0195999999999996</v>
      </c>
      <c r="N467" s="368">
        <f t="shared" si="316"/>
        <v>1044.920844</v>
      </c>
      <c r="O467" s="367"/>
      <c r="P467" s="999"/>
      <c r="Q467" s="368">
        <f t="shared" si="317"/>
        <v>0</v>
      </c>
      <c r="R467" s="368">
        <f t="shared" si="318"/>
        <v>0</v>
      </c>
      <c r="S467" s="880">
        <v>6280.7006880000008</v>
      </c>
      <c r="T467" s="880">
        <f t="shared" si="313"/>
        <v>0</v>
      </c>
      <c r="U467" s="880">
        <f>IF($I467="",0,($S467-$T467)*(1+('Econômico Macro'!$R$12/100)))</f>
        <v>6389.3568099024014</v>
      </c>
      <c r="V467" s="880">
        <f t="shared" si="314"/>
        <v>6389.3568099024014</v>
      </c>
      <c r="W467" s="880">
        <f t="shared" si="320"/>
        <v>1075.3287511065739</v>
      </c>
      <c r="X467" s="367">
        <f t="shared" si="308"/>
        <v>4.109999999999997E-2</v>
      </c>
      <c r="Y467" s="367">
        <f t="shared" si="309"/>
        <v>0</v>
      </c>
      <c r="Z467" s="367">
        <f t="shared" si="305"/>
        <v>-0.16829999999999998</v>
      </c>
      <c r="AA467" s="367">
        <f t="shared" si="310"/>
        <v>-4.109999999999997E-2</v>
      </c>
      <c r="AB467" s="373"/>
      <c r="AD467" s="365"/>
      <c r="AE467" s="839"/>
      <c r="AR467" s="247"/>
      <c r="AS467" s="247"/>
      <c r="AT467" s="247"/>
      <c r="AU467" s="247"/>
      <c r="AW467" s="252"/>
      <c r="AX467" s="206"/>
      <c r="AY467" s="255"/>
      <c r="AZ467" s="236"/>
      <c r="CE467" s="485">
        <v>456</v>
      </c>
    </row>
    <row r="468" spans="1:83" s="130" customFormat="1" ht="21.95" customHeight="1" x14ac:dyDescent="0.2">
      <c r="A468" s="237">
        <f t="shared" si="311"/>
        <v>0</v>
      </c>
      <c r="B468" s="237">
        <f t="shared" si="312"/>
        <v>0</v>
      </c>
      <c r="C468" s="393">
        <f t="shared" si="306"/>
        <v>0</v>
      </c>
      <c r="D468" s="393" t="str">
        <f t="shared" si="307"/>
        <v xml:space="preserve">05 </v>
      </c>
      <c r="E468" s="959" t="s">
        <v>582</v>
      </c>
      <c r="F468" s="959" t="s">
        <v>422</v>
      </c>
      <c r="G468" s="959" t="s">
        <v>94</v>
      </c>
      <c r="H468" s="965">
        <v>450</v>
      </c>
      <c r="I468" s="970">
        <v>57.066699999999997</v>
      </c>
      <c r="J468" s="962">
        <v>25680.02</v>
      </c>
      <c r="K468" s="367">
        <v>0.12720000000000001</v>
      </c>
      <c r="L468" s="367">
        <f>IF($H468="",0,VLOOKUP($E468,Plan3!$A$386:$CT$487,$E$7,0))%</f>
        <v>0.16829999999999998</v>
      </c>
      <c r="M468" s="368">
        <f t="shared" si="315"/>
        <v>75.734999999999985</v>
      </c>
      <c r="N468" s="368">
        <f t="shared" si="316"/>
        <v>4321.9473659999994</v>
      </c>
      <c r="O468" s="367"/>
      <c r="P468" s="999">
        <v>7.5999999999999998E-2</v>
      </c>
      <c r="Q468" s="368">
        <f t="shared" si="317"/>
        <v>34.199999999999996</v>
      </c>
      <c r="R468" s="368">
        <f t="shared" si="318"/>
        <v>1951.6815200000001</v>
      </c>
      <c r="S468" s="880">
        <v>25977.908232000002</v>
      </c>
      <c r="T468" s="880">
        <f t="shared" si="313"/>
        <v>1974.3210256320001</v>
      </c>
      <c r="U468" s="880">
        <f>IF($I468="",0,($S468-$T468)*(1+('Econômico Macro'!$R$12/100)))</f>
        <v>24418.849265038167</v>
      </c>
      <c r="V468" s="880">
        <f t="shared" si="314"/>
        <v>26393.170290670168</v>
      </c>
      <c r="W468" s="880">
        <f t="shared" si="320"/>
        <v>4441.9705599197887</v>
      </c>
      <c r="X468" s="367">
        <f t="shared" si="308"/>
        <v>4.109999999999997E-2</v>
      </c>
      <c r="Y468" s="367">
        <f t="shared" si="309"/>
        <v>7.5999999999999998E-2</v>
      </c>
      <c r="Z468" s="367">
        <f t="shared" si="305"/>
        <v>-9.2299999999999979E-2</v>
      </c>
      <c r="AA468" s="367">
        <f t="shared" si="310"/>
        <v>3.4900000000000028E-2</v>
      </c>
      <c r="AB468" s="373"/>
      <c r="AD468" s="365"/>
      <c r="AE468" s="839"/>
      <c r="AR468" s="247"/>
      <c r="AS468" s="247"/>
      <c r="AT468" s="247"/>
      <c r="AU468" s="247"/>
      <c r="AW468" s="252"/>
      <c r="AX468" s="206"/>
      <c r="AY468" s="255"/>
      <c r="AZ468" s="236"/>
      <c r="CE468" s="485">
        <v>457</v>
      </c>
    </row>
    <row r="469" spans="1:83" s="130" customFormat="1" ht="21.95" customHeight="1" x14ac:dyDescent="0.2">
      <c r="A469" s="237">
        <f t="shared" si="311"/>
        <v>0</v>
      </c>
      <c r="B469" s="237">
        <f t="shared" si="312"/>
        <v>0</v>
      </c>
      <c r="C469" s="393">
        <f t="shared" si="306"/>
        <v>0</v>
      </c>
      <c r="D469" s="393" t="str">
        <f t="shared" si="307"/>
        <v xml:space="preserve">05 </v>
      </c>
      <c r="E469" s="959" t="s">
        <v>583</v>
      </c>
      <c r="F469" s="959" t="s">
        <v>387</v>
      </c>
      <c r="G469" s="959" t="s">
        <v>7</v>
      </c>
      <c r="H469" s="960">
        <v>1</v>
      </c>
      <c r="I469" s="963">
        <v>7000</v>
      </c>
      <c r="J469" s="964">
        <v>7000</v>
      </c>
      <c r="K469" s="367">
        <v>0.12720000000000001</v>
      </c>
      <c r="L469" s="367">
        <f>IF($H469="",0,VLOOKUP($E469,Plan3!$A$386:$CT$487,$E$7,0))%</f>
        <v>0.16829999999999998</v>
      </c>
      <c r="M469" s="368">
        <f t="shared" si="315"/>
        <v>0.16829999999999998</v>
      </c>
      <c r="N469" s="368">
        <f t="shared" si="316"/>
        <v>1178.0999999999999</v>
      </c>
      <c r="O469" s="367"/>
      <c r="P469" s="999"/>
      <c r="Q469" s="368">
        <f t="shared" si="317"/>
        <v>0</v>
      </c>
      <c r="R469" s="368">
        <f t="shared" si="318"/>
        <v>0</v>
      </c>
      <c r="S469" s="880">
        <v>7081.2000000000007</v>
      </c>
      <c r="T469" s="880">
        <f t="shared" si="313"/>
        <v>0</v>
      </c>
      <c r="U469" s="880">
        <f>IF($I469="",0,($S469-$T469)*(1+('Econômico Macro'!$R$12/100)))</f>
        <v>7203.7047600000014</v>
      </c>
      <c r="V469" s="880">
        <f t="shared" si="314"/>
        <v>7203.7047600000014</v>
      </c>
      <c r="W469" s="880">
        <f t="shared" si="320"/>
        <v>1212.383511108</v>
      </c>
      <c r="X469" s="367">
        <f t="shared" si="308"/>
        <v>4.109999999999997E-2</v>
      </c>
      <c r="Y469" s="367">
        <f t="shared" si="309"/>
        <v>0</v>
      </c>
      <c r="Z469" s="367">
        <f t="shared" si="305"/>
        <v>-0.16829999999999998</v>
      </c>
      <c r="AA469" s="367">
        <f t="shared" si="310"/>
        <v>-4.109999999999997E-2</v>
      </c>
      <c r="AB469" s="373"/>
      <c r="AD469" s="365"/>
      <c r="AE469" s="839"/>
      <c r="AR469" s="247"/>
      <c r="AS469" s="247"/>
      <c r="AT469" s="247"/>
      <c r="AU469" s="247"/>
      <c r="AW469" s="252"/>
      <c r="AX469" s="206"/>
      <c r="AY469" s="255"/>
      <c r="AZ469" s="236"/>
      <c r="CE469" s="485">
        <v>458</v>
      </c>
    </row>
    <row r="470" spans="1:83" s="130" customFormat="1" ht="21.95" customHeight="1" x14ac:dyDescent="0.2">
      <c r="A470" s="237">
        <f t="shared" si="311"/>
        <v>0</v>
      </c>
      <c r="B470" s="237">
        <f t="shared" si="312"/>
        <v>0</v>
      </c>
      <c r="C470" s="393">
        <f t="shared" si="306"/>
        <v>0</v>
      </c>
      <c r="D470" s="393" t="str">
        <f t="shared" si="307"/>
        <v xml:space="preserve">05 </v>
      </c>
      <c r="E470" s="959" t="s">
        <v>584</v>
      </c>
      <c r="F470" s="959" t="s">
        <v>441</v>
      </c>
      <c r="G470" s="959" t="s">
        <v>7</v>
      </c>
      <c r="H470" s="960">
        <v>1</v>
      </c>
      <c r="I470" s="963">
        <v>3000</v>
      </c>
      <c r="J470" s="964">
        <v>3000</v>
      </c>
      <c r="K470" s="367">
        <v>0.12720000000000001</v>
      </c>
      <c r="L470" s="367">
        <f>IF($H470="",0,VLOOKUP($E470,Plan3!$A$386:$CT$487,$E$7,0))%</f>
        <v>0.16829999999999998</v>
      </c>
      <c r="M470" s="368">
        <f t="shared" si="315"/>
        <v>0.16829999999999998</v>
      </c>
      <c r="N470" s="368">
        <f t="shared" si="316"/>
        <v>504.89999999999992</v>
      </c>
      <c r="O470" s="367">
        <v>0.5</v>
      </c>
      <c r="P470" s="999">
        <v>0.5</v>
      </c>
      <c r="Q470" s="368">
        <f t="shared" si="317"/>
        <v>0.5</v>
      </c>
      <c r="R470" s="368">
        <f t="shared" si="318"/>
        <v>1500</v>
      </c>
      <c r="S470" s="880">
        <v>3017.4</v>
      </c>
      <c r="T470" s="880">
        <f t="shared" si="313"/>
        <v>1508.7</v>
      </c>
      <c r="U470" s="880">
        <f>IF($I470="",0,($S470-$T470)*(1+('Econômico Macro'!$R$12/100)))</f>
        <v>1534.8005100000003</v>
      </c>
      <c r="V470" s="880">
        <f t="shared" si="314"/>
        <v>3043.5005100000003</v>
      </c>
      <c r="W470" s="880">
        <f t="shared" si="320"/>
        <v>512.22113583299995</v>
      </c>
      <c r="X470" s="367">
        <f t="shared" si="308"/>
        <v>4.109999999999997E-2</v>
      </c>
      <c r="Y470" s="367">
        <f t="shared" si="309"/>
        <v>0</v>
      </c>
      <c r="Z470" s="367">
        <f t="shared" si="305"/>
        <v>0.33169999999999999</v>
      </c>
      <c r="AA470" s="367">
        <f t="shared" si="310"/>
        <v>-4.109999999999997E-2</v>
      </c>
      <c r="AB470" s="373"/>
      <c r="AD470" s="365"/>
      <c r="AE470" s="839"/>
      <c r="AR470" s="247"/>
      <c r="AS470" s="247"/>
      <c r="AT470" s="247"/>
      <c r="AU470" s="247"/>
      <c r="AW470" s="252"/>
      <c r="AX470" s="206"/>
      <c r="AY470" s="255"/>
      <c r="AZ470" s="236"/>
      <c r="CE470" s="485">
        <v>459</v>
      </c>
    </row>
    <row r="471" spans="1:83" s="130" customFormat="1" ht="21.95" customHeight="1" x14ac:dyDescent="0.2">
      <c r="A471" s="237">
        <f t="shared" si="311"/>
        <v>0</v>
      </c>
      <c r="B471" s="237">
        <f t="shared" si="312"/>
        <v>0</v>
      </c>
      <c r="C471" s="393">
        <f t="shared" si="306"/>
        <v>0</v>
      </c>
      <c r="D471" s="393" t="str">
        <f t="shared" si="307"/>
        <v xml:space="preserve">05 </v>
      </c>
      <c r="E471" s="959" t="s">
        <v>585</v>
      </c>
      <c r="F471" s="959" t="s">
        <v>69</v>
      </c>
      <c r="G471" s="959" t="s">
        <v>7</v>
      </c>
      <c r="H471" s="960">
        <v>1</v>
      </c>
      <c r="I471" s="963">
        <v>8500</v>
      </c>
      <c r="J471" s="964">
        <v>8500</v>
      </c>
      <c r="K471" s="367">
        <v>0.12720000000000001</v>
      </c>
      <c r="L471" s="367">
        <f>IF($H471="",0,VLOOKUP($E471,Plan3!$A$386:$CT$487,$E$7,0))%</f>
        <v>0.16829999999999998</v>
      </c>
      <c r="M471" s="368">
        <f t="shared" si="315"/>
        <v>0.16829999999999998</v>
      </c>
      <c r="N471" s="368">
        <f t="shared" si="316"/>
        <v>1430.5499999999997</v>
      </c>
      <c r="O471" s="367">
        <v>1</v>
      </c>
      <c r="P471" s="999">
        <v>1</v>
      </c>
      <c r="Q471" s="368">
        <f t="shared" si="317"/>
        <v>1</v>
      </c>
      <c r="R471" s="368">
        <f t="shared" si="318"/>
        <v>8500</v>
      </c>
      <c r="S471" s="880">
        <v>8500</v>
      </c>
      <c r="T471" s="880">
        <f t="shared" si="313"/>
        <v>8500</v>
      </c>
      <c r="U471" s="880">
        <f>IF($I471="",0,($S471-$T471)*(1+('Econômico Macro'!$R$12/100)))</f>
        <v>0</v>
      </c>
      <c r="V471" s="880">
        <f t="shared" si="314"/>
        <v>8500</v>
      </c>
      <c r="W471" s="880">
        <f t="shared" si="320"/>
        <v>1430.5499999999997</v>
      </c>
      <c r="X471" s="367">
        <f t="shared" si="308"/>
        <v>4.109999999999997E-2</v>
      </c>
      <c r="Y471" s="367">
        <f t="shared" si="309"/>
        <v>0</v>
      </c>
      <c r="Z471" s="367">
        <f t="shared" si="305"/>
        <v>0.83169999999999999</v>
      </c>
      <c r="AA471" s="367">
        <f t="shared" si="310"/>
        <v>-4.109999999999997E-2</v>
      </c>
      <c r="AB471" s="373"/>
      <c r="AD471" s="365"/>
      <c r="AE471" s="839"/>
      <c r="AR471" s="247"/>
      <c r="AS471" s="247"/>
      <c r="AT471" s="247"/>
      <c r="AU471" s="247"/>
      <c r="AW471" s="252"/>
      <c r="AX471" s="206"/>
      <c r="AY471" s="255"/>
      <c r="AZ471" s="236"/>
      <c r="CE471" s="485">
        <v>460</v>
      </c>
    </row>
    <row r="472" spans="1:83" s="130" customFormat="1" ht="21.95" customHeight="1" x14ac:dyDescent="0.2">
      <c r="A472" s="237">
        <f t="shared" si="311"/>
        <v>0</v>
      </c>
      <c r="B472" s="237">
        <f t="shared" si="312"/>
        <v>0</v>
      </c>
      <c r="C472" s="393">
        <f t="shared" si="306"/>
        <v>0</v>
      </c>
      <c r="D472" s="393" t="str">
        <f t="shared" si="307"/>
        <v xml:space="preserve">05 </v>
      </c>
      <c r="E472" s="959" t="s">
        <v>586</v>
      </c>
      <c r="F472" s="959" t="s">
        <v>377</v>
      </c>
      <c r="G472" s="959" t="s">
        <v>7</v>
      </c>
      <c r="H472" s="960">
        <v>1</v>
      </c>
      <c r="I472" s="963">
        <v>5500</v>
      </c>
      <c r="J472" s="964">
        <v>5500</v>
      </c>
      <c r="K472" s="367">
        <v>0.12720000000000001</v>
      </c>
      <c r="L472" s="367">
        <f>IF($H472="",0,VLOOKUP($E472,Plan3!$A$386:$CT$487,$E$7,0))%</f>
        <v>0.16829999999999998</v>
      </c>
      <c r="M472" s="368">
        <f t="shared" si="315"/>
        <v>0.16829999999999998</v>
      </c>
      <c r="N472" s="368">
        <f t="shared" si="316"/>
        <v>925.64999999999986</v>
      </c>
      <c r="O472" s="367">
        <v>1</v>
      </c>
      <c r="P472" s="999">
        <v>1</v>
      </c>
      <c r="Q472" s="368">
        <f t="shared" si="317"/>
        <v>1</v>
      </c>
      <c r="R472" s="368">
        <f t="shared" si="318"/>
        <v>5500</v>
      </c>
      <c r="S472" s="880">
        <v>5500</v>
      </c>
      <c r="T472" s="880">
        <f t="shared" si="313"/>
        <v>5500</v>
      </c>
      <c r="U472" s="880">
        <f>IF($I472="",0,($S472-$T472)*(1+('Econômico Macro'!$R$12/100)))</f>
        <v>0</v>
      </c>
      <c r="V472" s="880">
        <f t="shared" si="314"/>
        <v>5500</v>
      </c>
      <c r="W472" s="880">
        <f t="shared" si="320"/>
        <v>925.64999999999986</v>
      </c>
      <c r="X472" s="367">
        <f t="shared" si="308"/>
        <v>4.109999999999997E-2</v>
      </c>
      <c r="Y472" s="367">
        <f t="shared" si="309"/>
        <v>0</v>
      </c>
      <c r="Z472" s="367">
        <f t="shared" si="305"/>
        <v>0.83169999999999999</v>
      </c>
      <c r="AA472" s="367">
        <f t="shared" si="310"/>
        <v>-4.109999999999997E-2</v>
      </c>
      <c r="AB472" s="373"/>
      <c r="AD472" s="365"/>
      <c r="AE472" s="839"/>
      <c r="AR472" s="247"/>
      <c r="AS472" s="247"/>
      <c r="AT472" s="247"/>
      <c r="AU472" s="247"/>
      <c r="AW472" s="252"/>
      <c r="AX472" s="206"/>
      <c r="AY472" s="255"/>
      <c r="AZ472" s="236"/>
      <c r="CE472" s="485">
        <v>461</v>
      </c>
    </row>
    <row r="473" spans="1:83" s="130" customFormat="1" ht="21.95" customHeight="1" x14ac:dyDescent="0.2">
      <c r="A473" s="237">
        <f t="shared" si="311"/>
        <v>0</v>
      </c>
      <c r="B473" s="237">
        <f t="shared" si="312"/>
        <v>0</v>
      </c>
      <c r="C473" s="393">
        <f t="shared" si="306"/>
        <v>0</v>
      </c>
      <c r="D473" s="393" t="str">
        <f t="shared" si="307"/>
        <v xml:space="preserve">05 </v>
      </c>
      <c r="E473" s="959" t="s">
        <v>587</v>
      </c>
      <c r="F473" s="959" t="s">
        <v>839</v>
      </c>
      <c r="G473" s="959" t="s">
        <v>7</v>
      </c>
      <c r="H473" s="960">
        <v>1</v>
      </c>
      <c r="I473" s="963">
        <v>5458.2223999999997</v>
      </c>
      <c r="J473" s="964">
        <v>5458.22</v>
      </c>
      <c r="K473" s="367">
        <v>0.12720000000000001</v>
      </c>
      <c r="L473" s="367">
        <f>IF($H473="",0,VLOOKUP($E473,Plan3!$A$386:$CT$487,$E$7,0))%</f>
        <v>0.16829999999999998</v>
      </c>
      <c r="M473" s="368">
        <f t="shared" si="315"/>
        <v>0.16829999999999998</v>
      </c>
      <c r="N473" s="368">
        <f t="shared" si="316"/>
        <v>918.61842599999989</v>
      </c>
      <c r="O473" s="367">
        <v>8.3333333333333329E-2</v>
      </c>
      <c r="P473" s="999">
        <v>0.5</v>
      </c>
      <c r="Q473" s="368">
        <f t="shared" si="317"/>
        <v>0.5</v>
      </c>
      <c r="R473" s="368">
        <f t="shared" si="318"/>
        <v>2729.11</v>
      </c>
      <c r="S473" s="880">
        <v>5516.2590726666676</v>
      </c>
      <c r="T473" s="880">
        <f t="shared" si="313"/>
        <v>2758.1295363333338</v>
      </c>
      <c r="U473" s="880">
        <f>IF($I473="",0,($S473-$T473)*(1+('Econômico Macro'!$R$12/100)))</f>
        <v>2805.8451773119009</v>
      </c>
      <c r="V473" s="880">
        <f t="shared" si="314"/>
        <v>5563.9747136452352</v>
      </c>
      <c r="W473" s="880">
        <f t="shared" si="320"/>
        <v>936.41694430649295</v>
      </c>
      <c r="X473" s="367">
        <f t="shared" si="308"/>
        <v>4.109999999999997E-2</v>
      </c>
      <c r="Y473" s="367">
        <f t="shared" si="309"/>
        <v>0.41666666666666669</v>
      </c>
      <c r="Z473" s="367">
        <f t="shared" si="305"/>
        <v>0.33169999999999999</v>
      </c>
      <c r="AA473" s="367">
        <f t="shared" si="310"/>
        <v>0.37556666666666672</v>
      </c>
      <c r="AB473" s="373"/>
      <c r="AD473" s="365"/>
      <c r="AE473" s="839"/>
      <c r="AR473" s="247"/>
      <c r="AS473" s="247"/>
      <c r="AT473" s="247"/>
      <c r="AU473" s="247"/>
      <c r="AW473" s="252"/>
      <c r="AX473" s="206"/>
      <c r="AY473" s="255"/>
      <c r="AZ473" s="236"/>
      <c r="CE473" s="485">
        <v>462</v>
      </c>
    </row>
    <row r="474" spans="1:83" s="130" customFormat="1" ht="21.95" customHeight="1" x14ac:dyDescent="0.2">
      <c r="A474" s="237">
        <f t="shared" si="311"/>
        <v>0</v>
      </c>
      <c r="B474" s="237">
        <f t="shared" si="312"/>
        <v>0</v>
      </c>
      <c r="C474" s="393">
        <f t="shared" si="306"/>
        <v>0</v>
      </c>
      <c r="D474" s="393" t="str">
        <f t="shared" si="307"/>
        <v xml:space="preserve">05 </v>
      </c>
      <c r="E474" s="959" t="s">
        <v>588</v>
      </c>
      <c r="F474" s="959" t="s">
        <v>429</v>
      </c>
      <c r="G474" s="959" t="s">
        <v>7</v>
      </c>
      <c r="H474" s="960">
        <v>1</v>
      </c>
      <c r="I474" s="963">
        <v>1000</v>
      </c>
      <c r="J474" s="964">
        <v>1000</v>
      </c>
      <c r="K474" s="367">
        <v>0.12720000000000001</v>
      </c>
      <c r="L474" s="367">
        <f>IF($H474="",0,VLOOKUP($E474,Plan3!$A$386:$CT$487,$E$7,0))%</f>
        <v>0.16829999999999998</v>
      </c>
      <c r="M474" s="368">
        <f t="shared" si="315"/>
        <v>0.16829999999999998</v>
      </c>
      <c r="N474" s="368">
        <f t="shared" si="316"/>
        <v>168.29999999999998</v>
      </c>
      <c r="O474" s="367">
        <v>8.3333333333333329E-2</v>
      </c>
      <c r="P474" s="999">
        <f t="shared" ref="P474:P477" si="323">3/24</f>
        <v>0.125</v>
      </c>
      <c r="Q474" s="368">
        <f t="shared" si="317"/>
        <v>0.125</v>
      </c>
      <c r="R474" s="368">
        <f t="shared" si="318"/>
        <v>125</v>
      </c>
      <c r="S474" s="880">
        <v>1010.6333333333334</v>
      </c>
      <c r="T474" s="880">
        <f t="shared" si="313"/>
        <v>126.32916666666668</v>
      </c>
      <c r="U474" s="880">
        <f>IF($I474="",0,($S474-$T474)*(1+('Econômico Macro'!$R$12/100)))</f>
        <v>899.60262875000024</v>
      </c>
      <c r="V474" s="880">
        <f t="shared" si="314"/>
        <v>1025.931795416667</v>
      </c>
      <c r="W474" s="880">
        <f t="shared" si="320"/>
        <v>172.66432116862504</v>
      </c>
      <c r="X474" s="367">
        <f t="shared" si="308"/>
        <v>4.109999999999997E-2</v>
      </c>
      <c r="Y474" s="367">
        <f t="shared" si="309"/>
        <v>4.1666666666666671E-2</v>
      </c>
      <c r="Z474" s="367">
        <f t="shared" si="305"/>
        <v>-4.3299999999999977E-2</v>
      </c>
      <c r="AA474" s="367">
        <f t="shared" si="310"/>
        <v>5.666666666667014E-4</v>
      </c>
      <c r="AB474" s="373"/>
      <c r="AD474" s="365"/>
      <c r="AE474" s="839"/>
      <c r="AR474" s="247"/>
      <c r="AS474" s="247"/>
      <c r="AT474" s="247"/>
      <c r="AU474" s="247"/>
      <c r="AW474" s="252"/>
      <c r="AX474" s="206"/>
      <c r="AY474" s="255"/>
      <c r="AZ474" s="236"/>
      <c r="CE474" s="485">
        <v>463</v>
      </c>
    </row>
    <row r="475" spans="1:83" s="130" customFormat="1" ht="21.95" customHeight="1" x14ac:dyDescent="0.2">
      <c r="A475" s="237">
        <f t="shared" si="311"/>
        <v>0</v>
      </c>
      <c r="B475" s="237">
        <f t="shared" si="312"/>
        <v>0</v>
      </c>
      <c r="C475" s="393">
        <f t="shared" si="306"/>
        <v>0</v>
      </c>
      <c r="D475" s="393" t="str">
        <f t="shared" si="307"/>
        <v xml:space="preserve">05 </v>
      </c>
      <c r="E475" s="959" t="s">
        <v>589</v>
      </c>
      <c r="F475" s="959" t="s">
        <v>2160</v>
      </c>
      <c r="G475" s="959" t="s">
        <v>7</v>
      </c>
      <c r="H475" s="960">
        <v>1</v>
      </c>
      <c r="I475" s="963">
        <v>1315</v>
      </c>
      <c r="J475" s="964">
        <v>1315</v>
      </c>
      <c r="K475" s="367">
        <v>0.12720000000000001</v>
      </c>
      <c r="L475" s="367">
        <f>IF($H475="",0,VLOOKUP($E475,Plan3!$A$386:$CT$487,$E$7,0))%</f>
        <v>0.16829999999999998</v>
      </c>
      <c r="M475" s="368">
        <f t="shared" si="315"/>
        <v>0.16829999999999998</v>
      </c>
      <c r="N475" s="368">
        <f t="shared" si="316"/>
        <v>221.31449999999998</v>
      </c>
      <c r="O475" s="367">
        <v>8.3333333333333329E-2</v>
      </c>
      <c r="P475" s="999">
        <f t="shared" si="323"/>
        <v>0.125</v>
      </c>
      <c r="Q475" s="368">
        <f t="shared" si="317"/>
        <v>0.125</v>
      </c>
      <c r="R475" s="368">
        <f t="shared" si="318"/>
        <v>164.375</v>
      </c>
      <c r="S475" s="880">
        <v>1328.9828333333335</v>
      </c>
      <c r="T475" s="880">
        <f t="shared" si="313"/>
        <v>166.12285416666668</v>
      </c>
      <c r="U475" s="880">
        <f>IF($I475="",0,($S475-$T475)*(1+('Econômico Macro'!$R$12/100)))</f>
        <v>1182.9774568062503</v>
      </c>
      <c r="V475" s="880">
        <f t="shared" si="314"/>
        <v>1349.100310972917</v>
      </c>
      <c r="W475" s="880">
        <f t="shared" si="320"/>
        <v>227.0535823367419</v>
      </c>
      <c r="X475" s="367">
        <f t="shared" si="308"/>
        <v>4.109999999999997E-2</v>
      </c>
      <c r="Y475" s="367">
        <f t="shared" si="309"/>
        <v>4.1666666666666671E-2</v>
      </c>
      <c r="Z475" s="367">
        <f t="shared" si="305"/>
        <v>-4.3299999999999977E-2</v>
      </c>
      <c r="AA475" s="367">
        <f t="shared" si="310"/>
        <v>5.666666666667014E-4</v>
      </c>
      <c r="AB475" s="373"/>
      <c r="AD475" s="365"/>
      <c r="AE475" s="839"/>
      <c r="AR475" s="247"/>
      <c r="AS475" s="247"/>
      <c r="AT475" s="247"/>
      <c r="AU475" s="247"/>
      <c r="AW475" s="252"/>
      <c r="AX475" s="206"/>
      <c r="AY475" s="255"/>
      <c r="AZ475" s="236"/>
      <c r="CE475" s="485">
        <v>464</v>
      </c>
    </row>
    <row r="476" spans="1:83" s="130" customFormat="1" ht="21.95" customHeight="1" x14ac:dyDescent="0.2">
      <c r="A476" s="237">
        <f t="shared" si="311"/>
        <v>0</v>
      </c>
      <c r="B476" s="237">
        <f t="shared" si="312"/>
        <v>0</v>
      </c>
      <c r="C476" s="393">
        <f t="shared" si="306"/>
        <v>0</v>
      </c>
      <c r="D476" s="393" t="str">
        <f t="shared" si="307"/>
        <v xml:space="preserve">05 </v>
      </c>
      <c r="E476" s="959" t="s">
        <v>2161</v>
      </c>
      <c r="F476" s="959" t="s">
        <v>11</v>
      </c>
      <c r="G476" s="959" t="s">
        <v>7</v>
      </c>
      <c r="H476" s="960">
        <v>1</v>
      </c>
      <c r="I476" s="965">
        <v>200</v>
      </c>
      <c r="J476" s="966">
        <v>200</v>
      </c>
      <c r="K476" s="367">
        <v>0.12720000000000001</v>
      </c>
      <c r="L476" s="367">
        <f>IF($H476="",0,VLOOKUP($E476,Plan3!$A$386:$CT$487,$E$7,0))%</f>
        <v>0.16829999999999998</v>
      </c>
      <c r="M476" s="368">
        <f t="shared" si="315"/>
        <v>0.16829999999999998</v>
      </c>
      <c r="N476" s="368">
        <f t="shared" si="316"/>
        <v>33.659999999999997</v>
      </c>
      <c r="O476" s="367">
        <v>8.3333333333333329E-2</v>
      </c>
      <c r="P476" s="999">
        <f t="shared" si="323"/>
        <v>0.125</v>
      </c>
      <c r="Q476" s="368">
        <f t="shared" si="317"/>
        <v>0.125</v>
      </c>
      <c r="R476" s="368">
        <f t="shared" si="318"/>
        <v>25</v>
      </c>
      <c r="S476" s="880">
        <v>202.12666666666667</v>
      </c>
      <c r="T476" s="880">
        <f t="shared" si="313"/>
        <v>25.265833333333333</v>
      </c>
      <c r="U476" s="880">
        <f>IF($I476="",0,($S476-$T476)*(1+('Econômico Macro'!$R$12/100)))</f>
        <v>179.92052575000002</v>
      </c>
      <c r="V476" s="880">
        <f t="shared" si="314"/>
        <v>205.18635908333334</v>
      </c>
      <c r="W476" s="880">
        <f t="shared" si="320"/>
        <v>34.532864233725</v>
      </c>
      <c r="X476" s="367">
        <f t="shared" si="308"/>
        <v>4.109999999999997E-2</v>
      </c>
      <c r="Y476" s="367">
        <f t="shared" si="309"/>
        <v>4.1666666666666671E-2</v>
      </c>
      <c r="Z476" s="367">
        <f t="shared" si="305"/>
        <v>-4.3299999999999977E-2</v>
      </c>
      <c r="AA476" s="367">
        <f t="shared" si="310"/>
        <v>5.666666666667014E-4</v>
      </c>
      <c r="AB476" s="373"/>
      <c r="AD476" s="365"/>
      <c r="AE476" s="839"/>
      <c r="AR476" s="247"/>
      <c r="AS476" s="247"/>
      <c r="AT476" s="247"/>
      <c r="AU476" s="247"/>
      <c r="AW476" s="252"/>
      <c r="AX476" s="206"/>
      <c r="AY476" s="255"/>
      <c r="AZ476" s="236"/>
      <c r="CE476" s="485">
        <v>465</v>
      </c>
    </row>
    <row r="477" spans="1:83" s="130" customFormat="1" ht="21.95" customHeight="1" x14ac:dyDescent="0.2">
      <c r="A477" s="237">
        <f t="shared" si="311"/>
        <v>0</v>
      </c>
      <c r="B477" s="237">
        <f t="shared" si="312"/>
        <v>0</v>
      </c>
      <c r="C477" s="393">
        <f t="shared" si="306"/>
        <v>0</v>
      </c>
      <c r="D477" s="393" t="str">
        <f t="shared" si="307"/>
        <v xml:space="preserve">05 </v>
      </c>
      <c r="E477" s="959" t="s">
        <v>2162</v>
      </c>
      <c r="F477" s="959" t="s">
        <v>2163</v>
      </c>
      <c r="G477" s="959" t="s">
        <v>13</v>
      </c>
      <c r="H477" s="963">
        <v>1160</v>
      </c>
      <c r="I477" s="960">
        <v>5</v>
      </c>
      <c r="J477" s="964">
        <v>5800</v>
      </c>
      <c r="K477" s="367">
        <v>0.12720000000000001</v>
      </c>
      <c r="L477" s="367">
        <f>IF($H477="",0,VLOOKUP($E477,Plan3!$A$386:$CT$487,$E$7,0))%</f>
        <v>0.16829999999999998</v>
      </c>
      <c r="M477" s="368">
        <f t="shared" si="315"/>
        <v>195.22799999999998</v>
      </c>
      <c r="N477" s="368">
        <f t="shared" si="316"/>
        <v>976.13999999999987</v>
      </c>
      <c r="O477" s="367">
        <v>8.3333333333333329E-2</v>
      </c>
      <c r="P477" s="999">
        <f t="shared" si="323"/>
        <v>0.125</v>
      </c>
      <c r="Q477" s="368">
        <f t="shared" si="317"/>
        <v>145</v>
      </c>
      <c r="R477" s="368">
        <f t="shared" si="318"/>
        <v>725</v>
      </c>
      <c r="S477" s="880">
        <v>5861.6733333333332</v>
      </c>
      <c r="T477" s="880">
        <f t="shared" si="313"/>
        <v>732.70916666666665</v>
      </c>
      <c r="U477" s="880">
        <f>IF($I477="",0,($S477-$T477)*(1+('Econômico Macro'!$R$12/100)))</f>
        <v>5217.6952467500005</v>
      </c>
      <c r="V477" s="880">
        <f t="shared" si="314"/>
        <v>5950.404413416667</v>
      </c>
      <c r="W477" s="880">
        <f t="shared" si="320"/>
        <v>1001.4530627780249</v>
      </c>
      <c r="X477" s="367">
        <f t="shared" si="308"/>
        <v>4.109999999999997E-2</v>
      </c>
      <c r="Y477" s="367">
        <f t="shared" si="309"/>
        <v>4.1666666666666671E-2</v>
      </c>
      <c r="Z477" s="367">
        <f t="shared" si="305"/>
        <v>-4.3299999999999977E-2</v>
      </c>
      <c r="AA477" s="367">
        <f t="shared" si="310"/>
        <v>5.666666666667014E-4</v>
      </c>
      <c r="AB477" s="373"/>
      <c r="AD477" s="365"/>
      <c r="AE477" s="839"/>
      <c r="AR477" s="247"/>
      <c r="AS477" s="247"/>
      <c r="AT477" s="247"/>
      <c r="AU477" s="247"/>
      <c r="AW477" s="252"/>
      <c r="AX477" s="206"/>
      <c r="AY477" s="255"/>
      <c r="AZ477" s="236"/>
      <c r="CE477" s="485">
        <v>466</v>
      </c>
    </row>
    <row r="478" spans="1:83" s="130" customFormat="1" ht="21.95" customHeight="1" x14ac:dyDescent="0.2">
      <c r="A478" s="237">
        <f t="shared" si="311"/>
        <v>0</v>
      </c>
      <c r="B478" s="237">
        <f t="shared" si="312"/>
        <v>0</v>
      </c>
      <c r="C478" s="393" t="str">
        <f t="shared" si="306"/>
        <v xml:space="preserve">06 </v>
      </c>
      <c r="D478" s="393" t="str">
        <f t="shared" si="307"/>
        <v xml:space="preserve">06 </v>
      </c>
      <c r="E478" s="161" t="s">
        <v>105</v>
      </c>
      <c r="F478" s="161" t="s">
        <v>590</v>
      </c>
      <c r="G478" s="162"/>
      <c r="H478" s="162"/>
      <c r="I478" s="162"/>
      <c r="J478" s="163">
        <v>1147539.96</v>
      </c>
      <c r="K478" s="164">
        <v>0.12720000000000001</v>
      </c>
      <c r="L478" s="164">
        <f t="array" ref="L478">SUM(IF($D479:$D$479=$E478,$L479:$L$479*$J479:$J$479))/$J478</f>
        <v>0.16829999999999998</v>
      </c>
      <c r="M478" s="163">
        <f>$L478*$H478</f>
        <v>0</v>
      </c>
      <c r="N478" s="163">
        <f>$L478*$J478</f>
        <v>193130.97526799998</v>
      </c>
      <c r="O478" s="164">
        <v>4.4499999999999998E-2</v>
      </c>
      <c r="P478" s="164">
        <f t="array" ref="P478">SUM(IF($D479:$D$479=$E478,$J479:$J$479*$P479:$P$479))/$J478</f>
        <v>7.8100000000000003E-2</v>
      </c>
      <c r="Q478" s="163">
        <f>$P478*$H478</f>
        <v>0</v>
      </c>
      <c r="R478" s="163">
        <f>$P478*$J478</f>
        <v>89622.870876000001</v>
      </c>
      <c r="S478" s="163">
        <v>1160259.0634086481</v>
      </c>
      <c r="T478" s="163">
        <f>SUM(T479)</f>
        <v>90616.232852215428</v>
      </c>
      <c r="U478" s="163"/>
      <c r="V478" s="163">
        <f t="shared" ref="V478:W478" si="324">SUM(V479)</f>
        <v>1178763.8843772744</v>
      </c>
      <c r="W478" s="163">
        <f t="shared" si="324"/>
        <v>198385.96174069526</v>
      </c>
      <c r="X478" s="164">
        <f t="shared" si="308"/>
        <v>4.109999999999997E-2</v>
      </c>
      <c r="Y478" s="164">
        <f t="shared" si="309"/>
        <v>3.3600000000000005E-2</v>
      </c>
      <c r="Z478" s="164">
        <f t="shared" si="305"/>
        <v>-9.0199999999999975E-2</v>
      </c>
      <c r="AA478" s="164">
        <f t="shared" si="310"/>
        <v>-7.499999999999965E-3</v>
      </c>
      <c r="AB478" s="201"/>
      <c r="AD478" s="365"/>
      <c r="AE478" s="839"/>
      <c r="AR478" s="247"/>
      <c r="AS478" s="247"/>
      <c r="AT478" s="247"/>
      <c r="AU478" s="247"/>
      <c r="AW478" s="252"/>
      <c r="AX478" s="206"/>
      <c r="AY478" s="255"/>
      <c r="AZ478" s="236"/>
      <c r="CE478" s="485">
        <v>467</v>
      </c>
    </row>
    <row r="479" spans="1:83" s="130" customFormat="1" ht="21.95" customHeight="1" x14ac:dyDescent="0.2">
      <c r="A479" s="237">
        <f t="shared" si="311"/>
        <v>0</v>
      </c>
      <c r="B479" s="237">
        <f t="shared" si="312"/>
        <v>0</v>
      </c>
      <c r="C479" s="393">
        <f t="shared" si="306"/>
        <v>0</v>
      </c>
      <c r="D479" s="393" t="str">
        <f t="shared" si="307"/>
        <v xml:space="preserve">06 </v>
      </c>
      <c r="E479" s="959" t="s">
        <v>106</v>
      </c>
      <c r="F479" s="959" t="s">
        <v>591</v>
      </c>
      <c r="G479" s="959" t="s">
        <v>7</v>
      </c>
      <c r="H479" s="960">
        <v>1</v>
      </c>
      <c r="I479" s="979">
        <v>1147539.96</v>
      </c>
      <c r="J479" s="980">
        <v>1147539.96</v>
      </c>
      <c r="K479" s="367">
        <v>0.12720000000000001</v>
      </c>
      <c r="L479" s="367">
        <f>IF($H479="",0,VLOOKUP($E479,Plan3!$A$386:$CT$487,$E$7,0))%</f>
        <v>0.16829999999999998</v>
      </c>
      <c r="M479" s="368">
        <f t="shared" si="315"/>
        <v>0.16829999999999998</v>
      </c>
      <c r="N479" s="368">
        <f t="shared" si="316"/>
        <v>193130.97526799998</v>
      </c>
      <c r="O479" s="367">
        <v>4.4499999999999998E-2</v>
      </c>
      <c r="P479" s="999">
        <v>7.8100000000000003E-2</v>
      </c>
      <c r="Q479" s="368">
        <f t="shared" si="317"/>
        <v>7.8100000000000003E-2</v>
      </c>
      <c r="R479" s="368">
        <f t="shared" si="318"/>
        <v>89622.870876000001</v>
      </c>
      <c r="S479" s="880">
        <v>1160259.0634086481</v>
      </c>
      <c r="T479" s="880">
        <f t="shared" si="313"/>
        <v>90616.232852215428</v>
      </c>
      <c r="U479" s="880">
        <f>IF($I479="",0,($S479-$T479)*(1+('Econômico Macro'!$R$12/100)))</f>
        <v>1088147.651525059</v>
      </c>
      <c r="V479" s="880">
        <f t="shared" si="314"/>
        <v>1178763.8843772744</v>
      </c>
      <c r="W479" s="880">
        <f t="shared" si="320"/>
        <v>198385.96174069526</v>
      </c>
      <c r="X479" s="367">
        <f t="shared" si="308"/>
        <v>4.109999999999997E-2</v>
      </c>
      <c r="Y479" s="367">
        <f t="shared" si="309"/>
        <v>3.3600000000000005E-2</v>
      </c>
      <c r="Z479" s="367">
        <f t="shared" si="305"/>
        <v>-9.0199999999999975E-2</v>
      </c>
      <c r="AA479" s="367">
        <f t="shared" si="310"/>
        <v>-7.499999999999965E-3</v>
      </c>
      <c r="AB479" s="373"/>
      <c r="AC479" s="155"/>
      <c r="AD479" s="689"/>
      <c r="AE479" s="835"/>
      <c r="AF479" s="155"/>
      <c r="AG479" s="207"/>
      <c r="AH479" s="208"/>
      <c r="AI479" s="207"/>
      <c r="AJ479" s="208"/>
      <c r="AK479" s="155"/>
      <c r="AL479" s="212"/>
      <c r="AM479" s="209"/>
      <c r="AN479" s="209"/>
      <c r="AO479" s="209"/>
      <c r="AP479" s="213"/>
      <c r="AQ479" s="401"/>
      <c r="AR479" s="247"/>
      <c r="AS479" s="247"/>
      <c r="AT479" s="247"/>
      <c r="AU479" s="247"/>
      <c r="AV479" s="155"/>
      <c r="AW479" s="250"/>
      <c r="AX479" s="248"/>
      <c r="AY479" s="402"/>
      <c r="AZ479" s="237"/>
      <c r="BA479" s="155"/>
      <c r="BB479" s="155"/>
      <c r="BC479" s="155"/>
      <c r="BD479" s="155"/>
      <c r="BE479" s="155"/>
      <c r="BF479" s="155"/>
      <c r="BG479" s="155"/>
      <c r="BH479" s="155"/>
      <c r="BI479" s="155"/>
      <c r="BJ479" s="155"/>
      <c r="BK479" s="155"/>
      <c r="BL479" s="666"/>
      <c r="BM479" s="667"/>
      <c r="BN479" s="668"/>
      <c r="BO479" s="669"/>
      <c r="BP479" s="669"/>
      <c r="BQ479" s="670"/>
      <c r="BR479" s="671"/>
      <c r="BS479" s="669"/>
      <c r="BT479" s="669"/>
      <c r="BU479" s="672"/>
      <c r="CE479" s="485">
        <v>468</v>
      </c>
    </row>
    <row r="480" spans="1:83" s="130" customFormat="1" ht="30.75" customHeight="1" x14ac:dyDescent="0.2">
      <c r="A480" s="237"/>
      <c r="B480" s="237"/>
      <c r="C480" s="393"/>
      <c r="D480" s="393"/>
      <c r="E480" s="161" t="s">
        <v>62</v>
      </c>
      <c r="F480" s="161"/>
      <c r="G480" s="162"/>
      <c r="H480" s="162"/>
      <c r="I480" s="162"/>
      <c r="J480" s="163">
        <v>3339583.99</v>
      </c>
      <c r="K480" s="164">
        <v>0.14857530180098871</v>
      </c>
      <c r="L480" s="164">
        <f>N480/J480</f>
        <v>0.18666233966045573</v>
      </c>
      <c r="M480" s="163"/>
      <c r="N480" s="163">
        <f t="array" ref="N480">SUM(IF($C382:$C479=$E382:$E479,$N382:$N479))</f>
        <v>623374.56106600002</v>
      </c>
      <c r="O480" s="164">
        <v>7.1247591695794824E-2</v>
      </c>
      <c r="P480" s="164">
        <f>R480/J480</f>
        <v>0.10913217102409214</v>
      </c>
      <c r="Q480" s="163"/>
      <c r="R480" s="163">
        <f t="array" ref="R480">SUM(IF($C382:$C479=$E382:$E479,$R382:$R479))</f>
        <v>364456.05114600004</v>
      </c>
      <c r="S480" s="163">
        <v>3375563.0914119817</v>
      </c>
      <c r="T480" s="163">
        <f t="array" ref="T480">SUM(IF($C382:$C479=$E382:$E479,$T382:$T479))</f>
        <v>368085.76834951411</v>
      </c>
      <c r="U480" s="163">
        <f>SUM(U382:U479)</f>
        <v>3059506.680751449</v>
      </c>
      <c r="V480" s="163">
        <f t="array" ref="V480">SUM(IF($C382:$C479=$E382:$E479,$V382:$V479))</f>
        <v>3427592.4491009628</v>
      </c>
      <c r="W480" s="163">
        <f t="array" ref="W480">SUM(IF($C382:$C479=$E382:$E479,$W382:$W479))</f>
        <v>639673.22568515223</v>
      </c>
      <c r="X480" s="164"/>
      <c r="Y480" s="164">
        <f>P480-O480</f>
        <v>3.7884579328297321E-2</v>
      </c>
      <c r="Z480" s="164">
        <f>$P480-$L480</f>
        <v>-7.7530168636363583E-2</v>
      </c>
      <c r="AA480" s="164"/>
      <c r="AB480" s="201"/>
      <c r="AD480" s="365"/>
      <c r="AE480" s="839"/>
      <c r="AG480" s="207"/>
      <c r="AH480" s="208"/>
      <c r="AI480" s="207"/>
      <c r="AJ480" s="208"/>
      <c r="AL480" s="212"/>
      <c r="AM480" s="209"/>
      <c r="AN480" s="209"/>
      <c r="AO480" s="209"/>
      <c r="AP480" s="213"/>
      <c r="AQ480" s="259"/>
      <c r="AR480" s="247"/>
      <c r="AS480" s="247"/>
      <c r="AT480" s="247"/>
      <c r="AU480" s="247"/>
      <c r="AW480" s="250"/>
      <c r="AX480" s="206"/>
      <c r="AY480" s="255"/>
      <c r="AZ480" s="237"/>
      <c r="BL480" s="184"/>
      <c r="BM480" s="185"/>
      <c r="BN480" s="186"/>
      <c r="BO480" s="187"/>
      <c r="BP480" s="187"/>
      <c r="BQ480" s="188"/>
      <c r="BR480" s="190"/>
      <c r="BS480" s="187"/>
      <c r="BT480" s="187"/>
      <c r="BU480" s="189"/>
      <c r="CE480" s="487"/>
    </row>
    <row r="481" spans="1:83" s="130" customFormat="1" ht="30.75" customHeight="1" x14ac:dyDescent="0.2">
      <c r="A481" s="237"/>
      <c r="B481" s="237"/>
      <c r="C481" s="393"/>
      <c r="D481" s="393"/>
      <c r="E481" s="390" t="s">
        <v>67</v>
      </c>
      <c r="F481" s="390"/>
      <c r="G481" s="391"/>
      <c r="H481" s="391"/>
      <c r="I481" s="391"/>
      <c r="J481" s="392">
        <v>8797806.3599999994</v>
      </c>
      <c r="K481" s="164">
        <v>8.8076366212952215E-2</v>
      </c>
      <c r="L481" s="164">
        <f>N481/J481</f>
        <v>0.13870330385403026</v>
      </c>
      <c r="M481" s="163"/>
      <c r="N481" s="163">
        <f>N480+N380</f>
        <v>1220284.8088</v>
      </c>
      <c r="O481" s="164">
        <v>5.2905943149673833E-2</v>
      </c>
      <c r="P481" s="164">
        <f>R481/J481</f>
        <v>0.10217283485948424</v>
      </c>
      <c r="Q481" s="163"/>
      <c r="R481" s="163">
        <f>R480+R380</f>
        <v>898896.81634600007</v>
      </c>
      <c r="S481" s="163">
        <v>8894461.6213557608</v>
      </c>
      <c r="T481" s="163">
        <f>T480+T380</f>
        <v>906416.13569840242</v>
      </c>
      <c r="U481" s="163">
        <f>U480+U380</f>
        <v>8126238.6725592334</v>
      </c>
      <c r="V481" s="163">
        <f>V480+V380</f>
        <v>9032654.8082576357</v>
      </c>
      <c r="W481" s="163">
        <f>W480+W380</f>
        <v>1243737.0722543676</v>
      </c>
      <c r="X481" s="164"/>
      <c r="Y481" s="164">
        <f>P481-O481</f>
        <v>4.9266891709810405E-2</v>
      </c>
      <c r="Z481" s="164"/>
      <c r="AA481" s="164"/>
      <c r="AB481" s="201"/>
      <c r="AD481" s="365"/>
      <c r="AE481" s="839"/>
      <c r="AG481" s="207"/>
      <c r="AH481" s="208"/>
      <c r="AI481" s="207"/>
      <c r="AJ481" s="208"/>
      <c r="AL481" s="212"/>
      <c r="AM481" s="209"/>
      <c r="AN481" s="209"/>
      <c r="AO481" s="209"/>
      <c r="AP481" s="213"/>
      <c r="AQ481" s="259"/>
      <c r="AR481" s="247"/>
      <c r="AS481" s="247"/>
      <c r="AT481" s="247"/>
      <c r="AU481" s="247"/>
      <c r="AW481" s="250"/>
      <c r="AX481" s="206"/>
      <c r="AY481" s="255"/>
      <c r="AZ481" s="237"/>
      <c r="BL481" s="184"/>
      <c r="BM481" s="185"/>
      <c r="BN481" s="186"/>
      <c r="BO481" s="187"/>
      <c r="BP481" s="187"/>
      <c r="BQ481" s="188"/>
      <c r="BR481" s="190"/>
      <c r="BS481" s="187"/>
      <c r="BT481" s="187"/>
      <c r="BU481" s="189"/>
      <c r="CE481" s="487"/>
    </row>
    <row r="482" spans="1:83" s="120" customFormat="1" ht="15.75" x14ac:dyDescent="0.2">
      <c r="A482" s="844"/>
      <c r="B482" s="844"/>
      <c r="C482" s="591"/>
      <c r="D482" s="365"/>
      <c r="E482" s="981"/>
      <c r="J482" s="982"/>
      <c r="AW482" s="397"/>
      <c r="AX482" s="398"/>
      <c r="AY482" s="399"/>
      <c r="AZ482" s="394"/>
      <c r="CE482" s="484"/>
    </row>
    <row r="483" spans="1:83" ht="24" customHeight="1" x14ac:dyDescent="0.25">
      <c r="N483" s="437">
        <f>N481*'Econômico Detalhado'!P4</f>
        <v>10113452.032676464</v>
      </c>
      <c r="P483" s="792">
        <f>(R481-R478)*0.15/$J$479</f>
        <v>0.10578376008840687</v>
      </c>
      <c r="R483" s="437">
        <f>R481*'Econômico Detalhado'!$P$4</f>
        <v>7449859.0565760517</v>
      </c>
      <c r="S483" s="437"/>
      <c r="T483" s="437"/>
      <c r="U483" s="437"/>
      <c r="V483" s="437"/>
      <c r="W483" s="437"/>
    </row>
    <row r="484" spans="1:83" ht="18" x14ac:dyDescent="0.25">
      <c r="L484" s="590"/>
      <c r="N484" s="589"/>
    </row>
    <row r="485" spans="1:83" x14ac:dyDescent="0.2">
      <c r="R485" s="590"/>
      <c r="S485" s="590"/>
      <c r="T485" s="590"/>
      <c r="U485" s="590"/>
      <c r="V485" s="590"/>
      <c r="W485" s="590"/>
    </row>
  </sheetData>
  <autoFilter ref="C13:AB481"/>
  <mergeCells count="39">
    <mergeCell ref="AL8:AP8"/>
    <mergeCell ref="AM10:AM12"/>
    <mergeCell ref="AN10:AN12"/>
    <mergeCell ref="AO10:AO12"/>
    <mergeCell ref="AP10:AP12"/>
    <mergeCell ref="K11:N11"/>
    <mergeCell ref="AG10:AH11"/>
    <mergeCell ref="S11:V11"/>
    <mergeCell ref="S10:V10"/>
    <mergeCell ref="AI10:AJ11"/>
    <mergeCell ref="J11:J12"/>
    <mergeCell ref="AB11:AB12"/>
    <mergeCell ref="K10:R10"/>
    <mergeCell ref="O11:R11"/>
    <mergeCell ref="X10:Y10"/>
    <mergeCell ref="X11:X12"/>
    <mergeCell ref="Y11:Y12"/>
    <mergeCell ref="E10:J10"/>
    <mergeCell ref="E11:E12"/>
    <mergeCell ref="F11:F12"/>
    <mergeCell ref="G11:G12"/>
    <mergeCell ref="H11:H12"/>
    <mergeCell ref="I11:I12"/>
    <mergeCell ref="Z10:AB10"/>
    <mergeCell ref="Z11:Z12"/>
    <mergeCell ref="AA11:AA12"/>
    <mergeCell ref="AR11:AY11"/>
    <mergeCell ref="BL7:BU7"/>
    <mergeCell ref="BL8:BL11"/>
    <mergeCell ref="BN8:BQ8"/>
    <mergeCell ref="BR8:BU8"/>
    <mergeCell ref="BN9:BN11"/>
    <mergeCell ref="BO9:BO11"/>
    <mergeCell ref="BP9:BP11"/>
    <mergeCell ref="BQ9:BQ11"/>
    <mergeCell ref="BR9:BR11"/>
    <mergeCell ref="BS9:BS11"/>
    <mergeCell ref="BT9:BT11"/>
    <mergeCell ref="BU9:BU11"/>
  </mergeCells>
  <conditionalFormatting sqref="AB480">
    <cfRule type="containsText" dxfId="193" priority="505" operator="containsText" text="Não Iniciada">
      <formula>NOT(ISERROR(SEARCH("Não Iniciada",AB480)))</formula>
    </cfRule>
    <cfRule type="containsText" dxfId="192" priority="506" operator="containsText" text="Adiantada">
      <formula>NOT(ISERROR(SEARCH("Adiantada",AB480)))</formula>
    </cfRule>
    <cfRule type="containsText" dxfId="191" priority="507" operator="containsText" text="Atrasada">
      <formula>NOT(ISERROR(SEARCH("Atrasada",AB480)))</formula>
    </cfRule>
  </conditionalFormatting>
  <conditionalFormatting sqref="AB481">
    <cfRule type="containsText" dxfId="190" priority="502" operator="containsText" text="Não Iniciada">
      <formula>NOT(ISERROR(SEARCH("Não Iniciada",AB481)))</formula>
    </cfRule>
    <cfRule type="containsText" dxfId="189" priority="503" operator="containsText" text="Adiantada">
      <formula>NOT(ISERROR(SEARCH("Adiantada",AB481)))</formula>
    </cfRule>
    <cfRule type="containsText" dxfId="188" priority="504" operator="containsText" text="Atrasada">
      <formula>NOT(ISERROR(SEARCH("Atrasada",AB481)))</formula>
    </cfRule>
  </conditionalFormatting>
  <conditionalFormatting sqref="AB382">
    <cfRule type="containsText" dxfId="187" priority="433" operator="containsText" text="Não Iniciada">
      <formula>NOT(ISERROR(SEARCH("Não Iniciada",AB382)))</formula>
    </cfRule>
    <cfRule type="containsText" dxfId="186" priority="434" operator="containsText" text="Adiantada">
      <formula>NOT(ISERROR(SEARCH("Adiantada",AB382)))</formula>
    </cfRule>
    <cfRule type="containsText" dxfId="185" priority="435" operator="containsText" text="Atrasada">
      <formula>NOT(ISERROR(SEARCH("Atrasada",AB382)))</formula>
    </cfRule>
  </conditionalFormatting>
  <conditionalFormatting sqref="AB380">
    <cfRule type="containsText" dxfId="184" priority="412" operator="containsText" text="Não Iniciada">
      <formula>NOT(ISERROR(SEARCH("Não Iniciada",AB380)))</formula>
    </cfRule>
    <cfRule type="containsText" dxfId="183" priority="413" operator="containsText" text="Adiantada">
      <formula>NOT(ISERROR(SEARCH("Adiantada",AB380)))</formula>
    </cfRule>
    <cfRule type="containsText" dxfId="182" priority="414" operator="containsText" text="Atrasada">
      <formula>NOT(ISERROR(SEARCH("Atrasada",AB380)))</formula>
    </cfRule>
  </conditionalFormatting>
  <conditionalFormatting sqref="AB14">
    <cfRule type="containsText" dxfId="181" priority="409" operator="containsText" text="Não Iniciada">
      <formula>NOT(ISERROR(SEARCH("Não Iniciada",AB14)))</formula>
    </cfRule>
    <cfRule type="containsText" dxfId="180" priority="410" operator="containsText" text="Adiantada">
      <formula>NOT(ISERROR(SEARCH("Adiantada",AB14)))</formula>
    </cfRule>
    <cfRule type="containsText" dxfId="179" priority="411" operator="containsText" text="Atrasada">
      <formula>NOT(ISERROR(SEARCH("Atrasada",AB14)))</formula>
    </cfRule>
  </conditionalFormatting>
  <conditionalFormatting sqref="AB13">
    <cfRule type="containsText" dxfId="178" priority="406" operator="containsText" text="Não Iniciada">
      <formula>NOT(ISERROR(SEARCH("Não Iniciada",AB13)))</formula>
    </cfRule>
    <cfRule type="containsText" dxfId="177" priority="407" operator="containsText" text="Adiantada">
      <formula>NOT(ISERROR(SEARCH("Adiantada",AB13)))</formula>
    </cfRule>
    <cfRule type="containsText" dxfId="176" priority="408" operator="containsText" text="Atrasada">
      <formula>NOT(ISERROR(SEARCH("Atrasada",AB13)))</formula>
    </cfRule>
  </conditionalFormatting>
  <conditionalFormatting sqref="AB329">
    <cfRule type="containsText" dxfId="175" priority="34" operator="containsText" text="Não Iniciada">
      <formula>NOT(ISERROR(SEARCH("Não Iniciada",AB329)))</formula>
    </cfRule>
    <cfRule type="containsText" dxfId="174" priority="35" operator="containsText" text="Adiantada">
      <formula>NOT(ISERROR(SEARCH("Adiantada",AB329)))</formula>
    </cfRule>
    <cfRule type="containsText" dxfId="173" priority="36" operator="containsText" text="Atrasada">
      <formula>NOT(ISERROR(SEARCH("Atrasada",AB329)))</formula>
    </cfRule>
  </conditionalFormatting>
  <conditionalFormatting sqref="AB361">
    <cfRule type="containsText" dxfId="172" priority="31" operator="containsText" text="Não Iniciada">
      <formula>NOT(ISERROR(SEARCH("Não Iniciada",AB361)))</formula>
    </cfRule>
    <cfRule type="containsText" dxfId="171" priority="32" operator="containsText" text="Adiantada">
      <formula>NOT(ISERROR(SEARCH("Adiantada",AB361)))</formula>
    </cfRule>
    <cfRule type="containsText" dxfId="170" priority="33" operator="containsText" text="Atrasada">
      <formula>NOT(ISERROR(SEARCH("Atrasada",AB361)))</formula>
    </cfRule>
  </conditionalFormatting>
  <conditionalFormatting sqref="AB79">
    <cfRule type="containsText" dxfId="169" priority="73" operator="containsText" text="Não Iniciada">
      <formula>NOT(ISERROR(SEARCH("Não Iniciada",AB79)))</formula>
    </cfRule>
    <cfRule type="containsText" dxfId="168" priority="74" operator="containsText" text="Adiantada">
      <formula>NOT(ISERROR(SEARCH("Adiantada",AB79)))</formula>
    </cfRule>
    <cfRule type="containsText" dxfId="167" priority="75" operator="containsText" text="Atrasada">
      <formula>NOT(ISERROR(SEARCH("Atrasada",AB79)))</formula>
    </cfRule>
  </conditionalFormatting>
  <conditionalFormatting sqref="AB84">
    <cfRule type="containsText" dxfId="166" priority="70" operator="containsText" text="Não Iniciada">
      <formula>NOT(ISERROR(SEARCH("Não Iniciada",AB84)))</formula>
    </cfRule>
    <cfRule type="containsText" dxfId="165" priority="71" operator="containsText" text="Adiantada">
      <formula>NOT(ISERROR(SEARCH("Adiantada",AB84)))</formula>
    </cfRule>
    <cfRule type="containsText" dxfId="164" priority="72" operator="containsText" text="Atrasada">
      <formula>NOT(ISERROR(SEARCH("Atrasada",AB84)))</formula>
    </cfRule>
  </conditionalFormatting>
  <conditionalFormatting sqref="AB104">
    <cfRule type="containsText" dxfId="163" priority="67" operator="containsText" text="Não Iniciada">
      <formula>NOT(ISERROR(SEARCH("Não Iniciada",AB104)))</formula>
    </cfRule>
    <cfRule type="containsText" dxfId="162" priority="68" operator="containsText" text="Adiantada">
      <formula>NOT(ISERROR(SEARCH("Adiantada",AB104)))</formula>
    </cfRule>
    <cfRule type="containsText" dxfId="161" priority="69" operator="containsText" text="Atrasada">
      <formula>NOT(ISERROR(SEARCH("Atrasada",AB104)))</formula>
    </cfRule>
  </conditionalFormatting>
  <conditionalFormatting sqref="AB111">
    <cfRule type="containsText" dxfId="160" priority="64" operator="containsText" text="Não Iniciada">
      <formula>NOT(ISERROR(SEARCH("Não Iniciada",AB111)))</formula>
    </cfRule>
    <cfRule type="containsText" dxfId="159" priority="65" operator="containsText" text="Adiantada">
      <formula>NOT(ISERROR(SEARCH("Adiantada",AB111)))</formula>
    </cfRule>
    <cfRule type="containsText" dxfId="158" priority="66" operator="containsText" text="Atrasada">
      <formula>NOT(ISERROR(SEARCH("Atrasada",AB111)))</formula>
    </cfRule>
  </conditionalFormatting>
  <conditionalFormatting sqref="AB180">
    <cfRule type="containsText" dxfId="157" priority="61" operator="containsText" text="Não Iniciada">
      <formula>NOT(ISERROR(SEARCH("Não Iniciada",AB180)))</formula>
    </cfRule>
    <cfRule type="containsText" dxfId="156" priority="62" operator="containsText" text="Adiantada">
      <formula>NOT(ISERROR(SEARCH("Adiantada",AB180)))</formula>
    </cfRule>
    <cfRule type="containsText" dxfId="155" priority="63" operator="containsText" text="Atrasada">
      <formula>NOT(ISERROR(SEARCH("Atrasada",AB180)))</formula>
    </cfRule>
  </conditionalFormatting>
  <conditionalFormatting sqref="AB219">
    <cfRule type="containsText" dxfId="154" priority="58" operator="containsText" text="Não Iniciada">
      <formula>NOT(ISERROR(SEARCH("Não Iniciada",AB219)))</formula>
    </cfRule>
    <cfRule type="containsText" dxfId="153" priority="59" operator="containsText" text="Adiantada">
      <formula>NOT(ISERROR(SEARCH("Adiantada",AB219)))</formula>
    </cfRule>
    <cfRule type="containsText" dxfId="152" priority="60" operator="containsText" text="Atrasada">
      <formula>NOT(ISERROR(SEARCH("Atrasada",AB219)))</formula>
    </cfRule>
  </conditionalFormatting>
  <conditionalFormatting sqref="AB225">
    <cfRule type="containsText" dxfId="151" priority="55" operator="containsText" text="Não Iniciada">
      <formula>NOT(ISERROR(SEARCH("Não Iniciada",AB225)))</formula>
    </cfRule>
    <cfRule type="containsText" dxfId="150" priority="56" operator="containsText" text="Adiantada">
      <formula>NOT(ISERROR(SEARCH("Adiantada",AB225)))</formula>
    </cfRule>
    <cfRule type="containsText" dxfId="149" priority="57" operator="containsText" text="Atrasada">
      <formula>NOT(ISERROR(SEARCH("Atrasada",AB225)))</formula>
    </cfRule>
  </conditionalFormatting>
  <conditionalFormatting sqref="AB250">
    <cfRule type="containsText" dxfId="148" priority="52" operator="containsText" text="Não Iniciada">
      <formula>NOT(ISERROR(SEARCH("Não Iniciada",AB250)))</formula>
    </cfRule>
    <cfRule type="containsText" dxfId="147" priority="53" operator="containsText" text="Adiantada">
      <formula>NOT(ISERROR(SEARCH("Adiantada",AB250)))</formula>
    </cfRule>
    <cfRule type="containsText" dxfId="146" priority="54" operator="containsText" text="Atrasada">
      <formula>NOT(ISERROR(SEARCH("Atrasada",AB250)))</formula>
    </cfRule>
  </conditionalFormatting>
  <conditionalFormatting sqref="AB254">
    <cfRule type="containsText" dxfId="145" priority="49" operator="containsText" text="Não Iniciada">
      <formula>NOT(ISERROR(SEARCH("Não Iniciada",AB254)))</formula>
    </cfRule>
    <cfRule type="containsText" dxfId="144" priority="50" operator="containsText" text="Adiantada">
      <formula>NOT(ISERROR(SEARCH("Adiantada",AB254)))</formula>
    </cfRule>
    <cfRule type="containsText" dxfId="143" priority="51" operator="containsText" text="Atrasada">
      <formula>NOT(ISERROR(SEARCH("Atrasada",AB254)))</formula>
    </cfRule>
  </conditionalFormatting>
  <conditionalFormatting sqref="AB264">
    <cfRule type="containsText" dxfId="142" priority="46" operator="containsText" text="Não Iniciada">
      <formula>NOT(ISERROR(SEARCH("Não Iniciada",AB264)))</formula>
    </cfRule>
    <cfRule type="containsText" dxfId="141" priority="47" operator="containsText" text="Adiantada">
      <formula>NOT(ISERROR(SEARCH("Adiantada",AB264)))</formula>
    </cfRule>
    <cfRule type="containsText" dxfId="140" priority="48" operator="containsText" text="Atrasada">
      <formula>NOT(ISERROR(SEARCH("Atrasada",AB264)))</formula>
    </cfRule>
  </conditionalFormatting>
  <conditionalFormatting sqref="AB279">
    <cfRule type="containsText" dxfId="139" priority="43" operator="containsText" text="Não Iniciada">
      <formula>NOT(ISERROR(SEARCH("Não Iniciada",AB279)))</formula>
    </cfRule>
    <cfRule type="containsText" dxfId="138" priority="44" operator="containsText" text="Adiantada">
      <formula>NOT(ISERROR(SEARCH("Adiantada",AB279)))</formula>
    </cfRule>
    <cfRule type="containsText" dxfId="137" priority="45" operator="containsText" text="Atrasada">
      <formula>NOT(ISERROR(SEARCH("Atrasada",AB279)))</formula>
    </cfRule>
  </conditionalFormatting>
  <conditionalFormatting sqref="AB298">
    <cfRule type="containsText" dxfId="136" priority="40" operator="containsText" text="Não Iniciada">
      <formula>NOT(ISERROR(SEARCH("Não Iniciada",AB298)))</formula>
    </cfRule>
    <cfRule type="containsText" dxfId="135" priority="41" operator="containsText" text="Adiantada">
      <formula>NOT(ISERROR(SEARCH("Adiantada",AB298)))</formula>
    </cfRule>
    <cfRule type="containsText" dxfId="134" priority="42" operator="containsText" text="Atrasada">
      <formula>NOT(ISERROR(SEARCH("Atrasada",AB298)))</formula>
    </cfRule>
  </conditionalFormatting>
  <conditionalFormatting sqref="AB303">
    <cfRule type="containsText" dxfId="133" priority="37" operator="containsText" text="Não Iniciada">
      <formula>NOT(ISERROR(SEARCH("Não Iniciada",AB303)))</formula>
    </cfRule>
    <cfRule type="containsText" dxfId="132" priority="38" operator="containsText" text="Adiantada">
      <formula>NOT(ISERROR(SEARCH("Adiantada",AB303)))</formula>
    </cfRule>
    <cfRule type="containsText" dxfId="131" priority="39" operator="containsText" text="Atrasada">
      <formula>NOT(ISERROR(SEARCH("Atrasada",AB303)))</formula>
    </cfRule>
  </conditionalFormatting>
  <conditionalFormatting sqref="AB15:AB24 AB26:AB32 AB34:AB51 AB53:AB54 AB56:AB78 AB80:AB83 AB85:AB103 AB105:AB110 AB112:AB179 AB181:AB218 AB220:AB224 AB226:AB249 AB251:AB253 AB255:AB263 AB265:AB278 AB280:AB297 AB299:AB302 AB304:AB328 AB330:AB360 AB362:AB379">
    <cfRule type="containsText" dxfId="130" priority="88" operator="containsText" text="Não Iniciada">
      <formula>NOT(ISERROR(SEARCH("Não Iniciada",AB15)))</formula>
    </cfRule>
    <cfRule type="containsText" dxfId="129" priority="89" operator="containsText" text="Adiantada">
      <formula>NOT(ISERROR(SEARCH("Adiantada",AB15)))</formula>
    </cfRule>
    <cfRule type="containsText" dxfId="128" priority="90" operator="containsText" text="Atrasada">
      <formula>NOT(ISERROR(SEARCH("Atrasada",AB15)))</formula>
    </cfRule>
  </conditionalFormatting>
  <conditionalFormatting sqref="AB478">
    <cfRule type="containsText" dxfId="127" priority="1" operator="containsText" text="Não Iniciada">
      <formula>NOT(ISERROR(SEARCH("Não Iniciada",AB478)))</formula>
    </cfRule>
    <cfRule type="containsText" dxfId="126" priority="2" operator="containsText" text="Adiantada">
      <formula>NOT(ISERROR(SEARCH("Adiantada",AB478)))</formula>
    </cfRule>
    <cfRule type="containsText" dxfId="125" priority="3" operator="containsText" text="Atrasada">
      <formula>NOT(ISERROR(SEARCH("Atrasada",AB478)))</formula>
    </cfRule>
  </conditionalFormatting>
  <conditionalFormatting sqref="AB25">
    <cfRule type="containsText" dxfId="124" priority="85" operator="containsText" text="Não Iniciada">
      <formula>NOT(ISERROR(SEARCH("Não Iniciada",AB25)))</formula>
    </cfRule>
    <cfRule type="containsText" dxfId="123" priority="86" operator="containsText" text="Adiantada">
      <formula>NOT(ISERROR(SEARCH("Adiantada",AB25)))</formula>
    </cfRule>
    <cfRule type="containsText" dxfId="122" priority="87" operator="containsText" text="Atrasada">
      <formula>NOT(ISERROR(SEARCH("Atrasada",AB25)))</formula>
    </cfRule>
  </conditionalFormatting>
  <conditionalFormatting sqref="AB33">
    <cfRule type="containsText" dxfId="121" priority="82" operator="containsText" text="Não Iniciada">
      <formula>NOT(ISERROR(SEARCH("Não Iniciada",AB33)))</formula>
    </cfRule>
    <cfRule type="containsText" dxfId="120" priority="83" operator="containsText" text="Adiantada">
      <formula>NOT(ISERROR(SEARCH("Adiantada",AB33)))</formula>
    </cfRule>
    <cfRule type="containsText" dxfId="119" priority="84" operator="containsText" text="Atrasada">
      <formula>NOT(ISERROR(SEARCH("Atrasada",AB33)))</formula>
    </cfRule>
  </conditionalFormatting>
  <conditionalFormatting sqref="AB52">
    <cfRule type="containsText" dxfId="118" priority="79" operator="containsText" text="Não Iniciada">
      <formula>NOT(ISERROR(SEARCH("Não Iniciada",AB52)))</formula>
    </cfRule>
    <cfRule type="containsText" dxfId="117" priority="80" operator="containsText" text="Adiantada">
      <formula>NOT(ISERROR(SEARCH("Adiantada",AB52)))</formula>
    </cfRule>
    <cfRule type="containsText" dxfId="116" priority="81" operator="containsText" text="Atrasada">
      <formula>NOT(ISERROR(SEARCH("Atrasada",AB52)))</formula>
    </cfRule>
  </conditionalFormatting>
  <conditionalFormatting sqref="AB55">
    <cfRule type="containsText" dxfId="115" priority="76" operator="containsText" text="Não Iniciada">
      <formula>NOT(ISERROR(SEARCH("Não Iniciada",AB55)))</formula>
    </cfRule>
    <cfRule type="containsText" dxfId="114" priority="77" operator="containsText" text="Adiantada">
      <formula>NOT(ISERROR(SEARCH("Adiantada",AB55)))</formula>
    </cfRule>
    <cfRule type="containsText" dxfId="113" priority="78" operator="containsText" text="Atrasada">
      <formula>NOT(ISERROR(SEARCH("Atrasada",AB55)))</formula>
    </cfRule>
  </conditionalFormatting>
  <conditionalFormatting sqref="AB390">
    <cfRule type="containsText" dxfId="112" priority="13" operator="containsText" text="Não Iniciada">
      <formula>NOT(ISERROR(SEARCH("Não Iniciada",AB390)))</formula>
    </cfRule>
    <cfRule type="containsText" dxfId="111" priority="14" operator="containsText" text="Adiantada">
      <formula>NOT(ISERROR(SEARCH("Adiantada",AB390)))</formula>
    </cfRule>
    <cfRule type="containsText" dxfId="110" priority="15" operator="containsText" text="Atrasada">
      <formula>NOT(ISERROR(SEARCH("Atrasada",AB390)))</formula>
    </cfRule>
  </conditionalFormatting>
  <conditionalFormatting sqref="AB402">
    <cfRule type="containsText" dxfId="109" priority="10" operator="containsText" text="Não Iniciada">
      <formula>NOT(ISERROR(SEARCH("Não Iniciada",AB402)))</formula>
    </cfRule>
    <cfRule type="containsText" dxfId="108" priority="11" operator="containsText" text="Adiantada">
      <formula>NOT(ISERROR(SEARCH("Adiantada",AB402)))</formula>
    </cfRule>
    <cfRule type="containsText" dxfId="107" priority="12" operator="containsText" text="Atrasada">
      <formula>NOT(ISERROR(SEARCH("Atrasada",AB402)))</formula>
    </cfRule>
  </conditionalFormatting>
  <conditionalFormatting sqref="AB430">
    <cfRule type="containsText" dxfId="106" priority="7" operator="containsText" text="Não Iniciada">
      <formula>NOT(ISERROR(SEARCH("Não Iniciada",AB430)))</formula>
    </cfRule>
    <cfRule type="containsText" dxfId="105" priority="8" operator="containsText" text="Adiantada">
      <formula>NOT(ISERROR(SEARCH("Adiantada",AB430)))</formula>
    </cfRule>
    <cfRule type="containsText" dxfId="104" priority="9" operator="containsText" text="Atrasada">
      <formula>NOT(ISERROR(SEARCH("Atrasada",AB430)))</formula>
    </cfRule>
  </conditionalFormatting>
  <conditionalFormatting sqref="AB451">
    <cfRule type="containsText" dxfId="103" priority="4" operator="containsText" text="Não Iniciada">
      <formula>NOT(ISERROR(SEARCH("Não Iniciada",AB451)))</formula>
    </cfRule>
    <cfRule type="containsText" dxfId="102" priority="5" operator="containsText" text="Adiantada">
      <formula>NOT(ISERROR(SEARCH("Adiantada",AB451)))</formula>
    </cfRule>
    <cfRule type="containsText" dxfId="101" priority="6" operator="containsText" text="Atrasada">
      <formula>NOT(ISERROR(SEARCH("Atrasada",AB451)))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5"/>
  <sheetViews>
    <sheetView showGridLines="0" zoomScale="60" zoomScaleNormal="60" workbookViewId="0">
      <selection activeCell="E10" sqref="E10:E13"/>
    </sheetView>
  </sheetViews>
  <sheetFormatPr defaultColWidth="6.28515625" defaultRowHeight="12.75" x14ac:dyDescent="0.2"/>
  <cols>
    <col min="1" max="1" width="4.28515625" style="917" customWidth="1"/>
    <col min="2" max="2" width="18.7109375" style="917" customWidth="1"/>
    <col min="3" max="3" width="36.7109375" style="917" customWidth="1"/>
    <col min="4" max="5" width="40.7109375" style="917" customWidth="1"/>
    <col min="6" max="6" width="27.140625" style="917" customWidth="1"/>
    <col min="7" max="8" width="18.7109375" style="917" customWidth="1"/>
    <col min="9" max="9" width="30.85546875" style="923" customWidth="1"/>
    <col min="10" max="256" width="6.28515625" style="917"/>
    <col min="257" max="257" width="4.28515625" style="917" customWidth="1"/>
    <col min="258" max="258" width="18.7109375" style="917" customWidth="1"/>
    <col min="259" max="259" width="36.7109375" style="917" customWidth="1"/>
    <col min="260" max="261" width="40.7109375" style="917" customWidth="1"/>
    <col min="262" max="264" width="18.7109375" style="917" customWidth="1"/>
    <col min="265" max="512" width="6.28515625" style="917"/>
    <col min="513" max="513" width="4.28515625" style="917" customWidth="1"/>
    <col min="514" max="514" width="18.7109375" style="917" customWidth="1"/>
    <col min="515" max="515" width="36.7109375" style="917" customWidth="1"/>
    <col min="516" max="517" width="40.7109375" style="917" customWidth="1"/>
    <col min="518" max="520" width="18.7109375" style="917" customWidth="1"/>
    <col min="521" max="768" width="6.28515625" style="917"/>
    <col min="769" max="769" width="4.28515625" style="917" customWidth="1"/>
    <col min="770" max="770" width="18.7109375" style="917" customWidth="1"/>
    <col min="771" max="771" width="36.7109375" style="917" customWidth="1"/>
    <col min="772" max="773" width="40.7109375" style="917" customWidth="1"/>
    <col min="774" max="776" width="18.7109375" style="917" customWidth="1"/>
    <col min="777" max="1024" width="6.28515625" style="917"/>
    <col min="1025" max="1025" width="4.28515625" style="917" customWidth="1"/>
    <col min="1026" max="1026" width="18.7109375" style="917" customWidth="1"/>
    <col min="1027" max="1027" width="36.7109375" style="917" customWidth="1"/>
    <col min="1028" max="1029" width="40.7109375" style="917" customWidth="1"/>
    <col min="1030" max="1032" width="18.7109375" style="917" customWidth="1"/>
    <col min="1033" max="1280" width="6.28515625" style="917"/>
    <col min="1281" max="1281" width="4.28515625" style="917" customWidth="1"/>
    <col min="1282" max="1282" width="18.7109375" style="917" customWidth="1"/>
    <col min="1283" max="1283" width="36.7109375" style="917" customWidth="1"/>
    <col min="1284" max="1285" width="40.7109375" style="917" customWidth="1"/>
    <col min="1286" max="1288" width="18.7109375" style="917" customWidth="1"/>
    <col min="1289" max="1536" width="6.28515625" style="917"/>
    <col min="1537" max="1537" width="4.28515625" style="917" customWidth="1"/>
    <col min="1538" max="1538" width="18.7109375" style="917" customWidth="1"/>
    <col min="1539" max="1539" width="36.7109375" style="917" customWidth="1"/>
    <col min="1540" max="1541" width="40.7109375" style="917" customWidth="1"/>
    <col min="1542" max="1544" width="18.7109375" style="917" customWidth="1"/>
    <col min="1545" max="1792" width="6.28515625" style="917"/>
    <col min="1793" max="1793" width="4.28515625" style="917" customWidth="1"/>
    <col min="1794" max="1794" width="18.7109375" style="917" customWidth="1"/>
    <col min="1795" max="1795" width="36.7109375" style="917" customWidth="1"/>
    <col min="1796" max="1797" width="40.7109375" style="917" customWidth="1"/>
    <col min="1798" max="1800" width="18.7109375" style="917" customWidth="1"/>
    <col min="1801" max="2048" width="6.28515625" style="917"/>
    <col min="2049" max="2049" width="4.28515625" style="917" customWidth="1"/>
    <col min="2050" max="2050" width="18.7109375" style="917" customWidth="1"/>
    <col min="2051" max="2051" width="36.7109375" style="917" customWidth="1"/>
    <col min="2052" max="2053" width="40.7109375" style="917" customWidth="1"/>
    <col min="2054" max="2056" width="18.7109375" style="917" customWidth="1"/>
    <col min="2057" max="2304" width="6.28515625" style="917"/>
    <col min="2305" max="2305" width="4.28515625" style="917" customWidth="1"/>
    <col min="2306" max="2306" width="18.7109375" style="917" customWidth="1"/>
    <col min="2307" max="2307" width="36.7109375" style="917" customWidth="1"/>
    <col min="2308" max="2309" width="40.7109375" style="917" customWidth="1"/>
    <col min="2310" max="2312" width="18.7109375" style="917" customWidth="1"/>
    <col min="2313" max="2560" width="6.28515625" style="917"/>
    <col min="2561" max="2561" width="4.28515625" style="917" customWidth="1"/>
    <col min="2562" max="2562" width="18.7109375" style="917" customWidth="1"/>
    <col min="2563" max="2563" width="36.7109375" style="917" customWidth="1"/>
    <col min="2564" max="2565" width="40.7109375" style="917" customWidth="1"/>
    <col min="2566" max="2568" width="18.7109375" style="917" customWidth="1"/>
    <col min="2569" max="2816" width="6.28515625" style="917"/>
    <col min="2817" max="2817" width="4.28515625" style="917" customWidth="1"/>
    <col min="2818" max="2818" width="18.7109375" style="917" customWidth="1"/>
    <col min="2819" max="2819" width="36.7109375" style="917" customWidth="1"/>
    <col min="2820" max="2821" width="40.7109375" style="917" customWidth="1"/>
    <col min="2822" max="2824" width="18.7109375" style="917" customWidth="1"/>
    <col min="2825" max="3072" width="6.28515625" style="917"/>
    <col min="3073" max="3073" width="4.28515625" style="917" customWidth="1"/>
    <col min="3074" max="3074" width="18.7109375" style="917" customWidth="1"/>
    <col min="3075" max="3075" width="36.7109375" style="917" customWidth="1"/>
    <col min="3076" max="3077" width="40.7109375" style="917" customWidth="1"/>
    <col min="3078" max="3080" width="18.7109375" style="917" customWidth="1"/>
    <col min="3081" max="3328" width="6.28515625" style="917"/>
    <col min="3329" max="3329" width="4.28515625" style="917" customWidth="1"/>
    <col min="3330" max="3330" width="18.7109375" style="917" customWidth="1"/>
    <col min="3331" max="3331" width="36.7109375" style="917" customWidth="1"/>
    <col min="3332" max="3333" width="40.7109375" style="917" customWidth="1"/>
    <col min="3334" max="3336" width="18.7109375" style="917" customWidth="1"/>
    <col min="3337" max="3584" width="6.28515625" style="917"/>
    <col min="3585" max="3585" width="4.28515625" style="917" customWidth="1"/>
    <col min="3586" max="3586" width="18.7109375" style="917" customWidth="1"/>
    <col min="3587" max="3587" width="36.7109375" style="917" customWidth="1"/>
    <col min="3588" max="3589" width="40.7109375" style="917" customWidth="1"/>
    <col min="3590" max="3592" width="18.7109375" style="917" customWidth="1"/>
    <col min="3593" max="3840" width="6.28515625" style="917"/>
    <col min="3841" max="3841" width="4.28515625" style="917" customWidth="1"/>
    <col min="3842" max="3842" width="18.7109375" style="917" customWidth="1"/>
    <col min="3843" max="3843" width="36.7109375" style="917" customWidth="1"/>
    <col min="3844" max="3845" width="40.7109375" style="917" customWidth="1"/>
    <col min="3846" max="3848" width="18.7109375" style="917" customWidth="1"/>
    <col min="3849" max="4096" width="6.28515625" style="917"/>
    <col min="4097" max="4097" width="4.28515625" style="917" customWidth="1"/>
    <col min="4098" max="4098" width="18.7109375" style="917" customWidth="1"/>
    <col min="4099" max="4099" width="36.7109375" style="917" customWidth="1"/>
    <col min="4100" max="4101" width="40.7109375" style="917" customWidth="1"/>
    <col min="4102" max="4104" width="18.7109375" style="917" customWidth="1"/>
    <col min="4105" max="4352" width="6.28515625" style="917"/>
    <col min="4353" max="4353" width="4.28515625" style="917" customWidth="1"/>
    <col min="4354" max="4354" width="18.7109375" style="917" customWidth="1"/>
    <col min="4355" max="4355" width="36.7109375" style="917" customWidth="1"/>
    <col min="4356" max="4357" width="40.7109375" style="917" customWidth="1"/>
    <col min="4358" max="4360" width="18.7109375" style="917" customWidth="1"/>
    <col min="4361" max="4608" width="6.28515625" style="917"/>
    <col min="4609" max="4609" width="4.28515625" style="917" customWidth="1"/>
    <col min="4610" max="4610" width="18.7109375" style="917" customWidth="1"/>
    <col min="4611" max="4611" width="36.7109375" style="917" customWidth="1"/>
    <col min="4612" max="4613" width="40.7109375" style="917" customWidth="1"/>
    <col min="4614" max="4616" width="18.7109375" style="917" customWidth="1"/>
    <col min="4617" max="4864" width="6.28515625" style="917"/>
    <col min="4865" max="4865" width="4.28515625" style="917" customWidth="1"/>
    <col min="4866" max="4866" width="18.7109375" style="917" customWidth="1"/>
    <col min="4867" max="4867" width="36.7109375" style="917" customWidth="1"/>
    <col min="4868" max="4869" width="40.7109375" style="917" customWidth="1"/>
    <col min="4870" max="4872" width="18.7109375" style="917" customWidth="1"/>
    <col min="4873" max="5120" width="6.28515625" style="917"/>
    <col min="5121" max="5121" width="4.28515625" style="917" customWidth="1"/>
    <col min="5122" max="5122" width="18.7109375" style="917" customWidth="1"/>
    <col min="5123" max="5123" width="36.7109375" style="917" customWidth="1"/>
    <col min="5124" max="5125" width="40.7109375" style="917" customWidth="1"/>
    <col min="5126" max="5128" width="18.7109375" style="917" customWidth="1"/>
    <col min="5129" max="5376" width="6.28515625" style="917"/>
    <col min="5377" max="5377" width="4.28515625" style="917" customWidth="1"/>
    <col min="5378" max="5378" width="18.7109375" style="917" customWidth="1"/>
    <col min="5379" max="5379" width="36.7109375" style="917" customWidth="1"/>
    <col min="5380" max="5381" width="40.7109375" style="917" customWidth="1"/>
    <col min="5382" max="5384" width="18.7109375" style="917" customWidth="1"/>
    <col min="5385" max="5632" width="6.28515625" style="917"/>
    <col min="5633" max="5633" width="4.28515625" style="917" customWidth="1"/>
    <col min="5634" max="5634" width="18.7109375" style="917" customWidth="1"/>
    <col min="5635" max="5635" width="36.7109375" style="917" customWidth="1"/>
    <col min="5636" max="5637" width="40.7109375" style="917" customWidth="1"/>
    <col min="5638" max="5640" width="18.7109375" style="917" customWidth="1"/>
    <col min="5641" max="5888" width="6.28515625" style="917"/>
    <col min="5889" max="5889" width="4.28515625" style="917" customWidth="1"/>
    <col min="5890" max="5890" width="18.7109375" style="917" customWidth="1"/>
    <col min="5891" max="5891" width="36.7109375" style="917" customWidth="1"/>
    <col min="5892" max="5893" width="40.7109375" style="917" customWidth="1"/>
    <col min="5894" max="5896" width="18.7109375" style="917" customWidth="1"/>
    <col min="5897" max="6144" width="6.28515625" style="917"/>
    <col min="6145" max="6145" width="4.28515625" style="917" customWidth="1"/>
    <col min="6146" max="6146" width="18.7109375" style="917" customWidth="1"/>
    <col min="6147" max="6147" width="36.7109375" style="917" customWidth="1"/>
    <col min="6148" max="6149" width="40.7109375" style="917" customWidth="1"/>
    <col min="6150" max="6152" width="18.7109375" style="917" customWidth="1"/>
    <col min="6153" max="6400" width="6.28515625" style="917"/>
    <col min="6401" max="6401" width="4.28515625" style="917" customWidth="1"/>
    <col min="6402" max="6402" width="18.7109375" style="917" customWidth="1"/>
    <col min="6403" max="6403" width="36.7109375" style="917" customWidth="1"/>
    <col min="6404" max="6405" width="40.7109375" style="917" customWidth="1"/>
    <col min="6406" max="6408" width="18.7109375" style="917" customWidth="1"/>
    <col min="6409" max="6656" width="6.28515625" style="917"/>
    <col min="6657" max="6657" width="4.28515625" style="917" customWidth="1"/>
    <col min="6658" max="6658" width="18.7109375" style="917" customWidth="1"/>
    <col min="6659" max="6659" width="36.7109375" style="917" customWidth="1"/>
    <col min="6660" max="6661" width="40.7109375" style="917" customWidth="1"/>
    <col min="6662" max="6664" width="18.7109375" style="917" customWidth="1"/>
    <col min="6665" max="6912" width="6.28515625" style="917"/>
    <col min="6913" max="6913" width="4.28515625" style="917" customWidth="1"/>
    <col min="6914" max="6914" width="18.7109375" style="917" customWidth="1"/>
    <col min="6915" max="6915" width="36.7109375" style="917" customWidth="1"/>
    <col min="6916" max="6917" width="40.7109375" style="917" customWidth="1"/>
    <col min="6918" max="6920" width="18.7109375" style="917" customWidth="1"/>
    <col min="6921" max="7168" width="6.28515625" style="917"/>
    <col min="7169" max="7169" width="4.28515625" style="917" customWidth="1"/>
    <col min="7170" max="7170" width="18.7109375" style="917" customWidth="1"/>
    <col min="7171" max="7171" width="36.7109375" style="917" customWidth="1"/>
    <col min="7172" max="7173" width="40.7109375" style="917" customWidth="1"/>
    <col min="7174" max="7176" width="18.7109375" style="917" customWidth="1"/>
    <col min="7177" max="7424" width="6.28515625" style="917"/>
    <col min="7425" max="7425" width="4.28515625" style="917" customWidth="1"/>
    <col min="7426" max="7426" width="18.7109375" style="917" customWidth="1"/>
    <col min="7427" max="7427" width="36.7109375" style="917" customWidth="1"/>
    <col min="7428" max="7429" width="40.7109375" style="917" customWidth="1"/>
    <col min="7430" max="7432" width="18.7109375" style="917" customWidth="1"/>
    <col min="7433" max="7680" width="6.28515625" style="917"/>
    <col min="7681" max="7681" width="4.28515625" style="917" customWidth="1"/>
    <col min="7682" max="7682" width="18.7109375" style="917" customWidth="1"/>
    <col min="7683" max="7683" width="36.7109375" style="917" customWidth="1"/>
    <col min="7684" max="7685" width="40.7109375" style="917" customWidth="1"/>
    <col min="7686" max="7688" width="18.7109375" style="917" customWidth="1"/>
    <col min="7689" max="7936" width="6.28515625" style="917"/>
    <col min="7937" max="7937" width="4.28515625" style="917" customWidth="1"/>
    <col min="7938" max="7938" width="18.7109375" style="917" customWidth="1"/>
    <col min="7939" max="7939" width="36.7109375" style="917" customWidth="1"/>
    <col min="7940" max="7941" width="40.7109375" style="917" customWidth="1"/>
    <col min="7942" max="7944" width="18.7109375" style="917" customWidth="1"/>
    <col min="7945" max="8192" width="6.28515625" style="917"/>
    <col min="8193" max="8193" width="4.28515625" style="917" customWidth="1"/>
    <col min="8194" max="8194" width="18.7109375" style="917" customWidth="1"/>
    <col min="8195" max="8195" width="36.7109375" style="917" customWidth="1"/>
    <col min="8196" max="8197" width="40.7109375" style="917" customWidth="1"/>
    <col min="8198" max="8200" width="18.7109375" style="917" customWidth="1"/>
    <col min="8201" max="8448" width="6.28515625" style="917"/>
    <col min="8449" max="8449" width="4.28515625" style="917" customWidth="1"/>
    <col min="8450" max="8450" width="18.7109375" style="917" customWidth="1"/>
    <col min="8451" max="8451" width="36.7109375" style="917" customWidth="1"/>
    <col min="8452" max="8453" width="40.7109375" style="917" customWidth="1"/>
    <col min="8454" max="8456" width="18.7109375" style="917" customWidth="1"/>
    <col min="8457" max="8704" width="6.28515625" style="917"/>
    <col min="8705" max="8705" width="4.28515625" style="917" customWidth="1"/>
    <col min="8706" max="8706" width="18.7109375" style="917" customWidth="1"/>
    <col min="8707" max="8707" width="36.7109375" style="917" customWidth="1"/>
    <col min="8708" max="8709" width="40.7109375" style="917" customWidth="1"/>
    <col min="8710" max="8712" width="18.7109375" style="917" customWidth="1"/>
    <col min="8713" max="8960" width="6.28515625" style="917"/>
    <col min="8961" max="8961" width="4.28515625" style="917" customWidth="1"/>
    <col min="8962" max="8962" width="18.7109375" style="917" customWidth="1"/>
    <col min="8963" max="8963" width="36.7109375" style="917" customWidth="1"/>
    <col min="8964" max="8965" width="40.7109375" style="917" customWidth="1"/>
    <col min="8966" max="8968" width="18.7109375" style="917" customWidth="1"/>
    <col min="8969" max="9216" width="6.28515625" style="917"/>
    <col min="9217" max="9217" width="4.28515625" style="917" customWidth="1"/>
    <col min="9218" max="9218" width="18.7109375" style="917" customWidth="1"/>
    <col min="9219" max="9219" width="36.7109375" style="917" customWidth="1"/>
    <col min="9220" max="9221" width="40.7109375" style="917" customWidth="1"/>
    <col min="9222" max="9224" width="18.7109375" style="917" customWidth="1"/>
    <col min="9225" max="9472" width="6.28515625" style="917"/>
    <col min="9473" max="9473" width="4.28515625" style="917" customWidth="1"/>
    <col min="9474" max="9474" width="18.7109375" style="917" customWidth="1"/>
    <col min="9475" max="9475" width="36.7109375" style="917" customWidth="1"/>
    <col min="9476" max="9477" width="40.7109375" style="917" customWidth="1"/>
    <col min="9478" max="9480" width="18.7109375" style="917" customWidth="1"/>
    <col min="9481" max="9728" width="6.28515625" style="917"/>
    <col min="9729" max="9729" width="4.28515625" style="917" customWidth="1"/>
    <col min="9730" max="9730" width="18.7109375" style="917" customWidth="1"/>
    <col min="9731" max="9731" width="36.7109375" style="917" customWidth="1"/>
    <col min="9732" max="9733" width="40.7109375" style="917" customWidth="1"/>
    <col min="9734" max="9736" width="18.7109375" style="917" customWidth="1"/>
    <col min="9737" max="9984" width="6.28515625" style="917"/>
    <col min="9985" max="9985" width="4.28515625" style="917" customWidth="1"/>
    <col min="9986" max="9986" width="18.7109375" style="917" customWidth="1"/>
    <col min="9987" max="9987" width="36.7109375" style="917" customWidth="1"/>
    <col min="9988" max="9989" width="40.7109375" style="917" customWidth="1"/>
    <col min="9990" max="9992" width="18.7109375" style="917" customWidth="1"/>
    <col min="9993" max="10240" width="6.28515625" style="917"/>
    <col min="10241" max="10241" width="4.28515625" style="917" customWidth="1"/>
    <col min="10242" max="10242" width="18.7109375" style="917" customWidth="1"/>
    <col min="10243" max="10243" width="36.7109375" style="917" customWidth="1"/>
    <col min="10244" max="10245" width="40.7109375" style="917" customWidth="1"/>
    <col min="10246" max="10248" width="18.7109375" style="917" customWidth="1"/>
    <col min="10249" max="10496" width="6.28515625" style="917"/>
    <col min="10497" max="10497" width="4.28515625" style="917" customWidth="1"/>
    <col min="10498" max="10498" width="18.7109375" style="917" customWidth="1"/>
    <col min="10499" max="10499" width="36.7109375" style="917" customWidth="1"/>
    <col min="10500" max="10501" width="40.7109375" style="917" customWidth="1"/>
    <col min="10502" max="10504" width="18.7109375" style="917" customWidth="1"/>
    <col min="10505" max="10752" width="6.28515625" style="917"/>
    <col min="10753" max="10753" width="4.28515625" style="917" customWidth="1"/>
    <col min="10754" max="10754" width="18.7109375" style="917" customWidth="1"/>
    <col min="10755" max="10755" width="36.7109375" style="917" customWidth="1"/>
    <col min="10756" max="10757" width="40.7109375" style="917" customWidth="1"/>
    <col min="10758" max="10760" width="18.7109375" style="917" customWidth="1"/>
    <col min="10761" max="11008" width="6.28515625" style="917"/>
    <col min="11009" max="11009" width="4.28515625" style="917" customWidth="1"/>
    <col min="11010" max="11010" width="18.7109375" style="917" customWidth="1"/>
    <col min="11011" max="11011" width="36.7109375" style="917" customWidth="1"/>
    <col min="11012" max="11013" width="40.7109375" style="917" customWidth="1"/>
    <col min="11014" max="11016" width="18.7109375" style="917" customWidth="1"/>
    <col min="11017" max="11264" width="6.28515625" style="917"/>
    <col min="11265" max="11265" width="4.28515625" style="917" customWidth="1"/>
    <col min="11266" max="11266" width="18.7109375" style="917" customWidth="1"/>
    <col min="11267" max="11267" width="36.7109375" style="917" customWidth="1"/>
    <col min="11268" max="11269" width="40.7109375" style="917" customWidth="1"/>
    <col min="11270" max="11272" width="18.7109375" style="917" customWidth="1"/>
    <col min="11273" max="11520" width="6.28515625" style="917"/>
    <col min="11521" max="11521" width="4.28515625" style="917" customWidth="1"/>
    <col min="11522" max="11522" width="18.7109375" style="917" customWidth="1"/>
    <col min="11523" max="11523" width="36.7109375" style="917" customWidth="1"/>
    <col min="11524" max="11525" width="40.7109375" style="917" customWidth="1"/>
    <col min="11526" max="11528" width="18.7109375" style="917" customWidth="1"/>
    <col min="11529" max="11776" width="6.28515625" style="917"/>
    <col min="11777" max="11777" width="4.28515625" style="917" customWidth="1"/>
    <col min="11778" max="11778" width="18.7109375" style="917" customWidth="1"/>
    <col min="11779" max="11779" width="36.7109375" style="917" customWidth="1"/>
    <col min="11780" max="11781" width="40.7109375" style="917" customWidth="1"/>
    <col min="11782" max="11784" width="18.7109375" style="917" customWidth="1"/>
    <col min="11785" max="12032" width="6.28515625" style="917"/>
    <col min="12033" max="12033" width="4.28515625" style="917" customWidth="1"/>
    <col min="12034" max="12034" width="18.7109375" style="917" customWidth="1"/>
    <col min="12035" max="12035" width="36.7109375" style="917" customWidth="1"/>
    <col min="12036" max="12037" width="40.7109375" style="917" customWidth="1"/>
    <col min="12038" max="12040" width="18.7109375" style="917" customWidth="1"/>
    <col min="12041" max="12288" width="6.28515625" style="917"/>
    <col min="12289" max="12289" width="4.28515625" style="917" customWidth="1"/>
    <col min="12290" max="12290" width="18.7109375" style="917" customWidth="1"/>
    <col min="12291" max="12291" width="36.7109375" style="917" customWidth="1"/>
    <col min="12292" max="12293" width="40.7109375" style="917" customWidth="1"/>
    <col min="12294" max="12296" width="18.7109375" style="917" customWidth="1"/>
    <col min="12297" max="12544" width="6.28515625" style="917"/>
    <col min="12545" max="12545" width="4.28515625" style="917" customWidth="1"/>
    <col min="12546" max="12546" width="18.7109375" style="917" customWidth="1"/>
    <col min="12547" max="12547" width="36.7109375" style="917" customWidth="1"/>
    <col min="12548" max="12549" width="40.7109375" style="917" customWidth="1"/>
    <col min="12550" max="12552" width="18.7109375" style="917" customWidth="1"/>
    <col min="12553" max="12800" width="6.28515625" style="917"/>
    <col min="12801" max="12801" width="4.28515625" style="917" customWidth="1"/>
    <col min="12802" max="12802" width="18.7109375" style="917" customWidth="1"/>
    <col min="12803" max="12803" width="36.7109375" style="917" customWidth="1"/>
    <col min="12804" max="12805" width="40.7109375" style="917" customWidth="1"/>
    <col min="12806" max="12808" width="18.7109375" style="917" customWidth="1"/>
    <col min="12809" max="13056" width="6.28515625" style="917"/>
    <col min="13057" max="13057" width="4.28515625" style="917" customWidth="1"/>
    <col min="13058" max="13058" width="18.7109375" style="917" customWidth="1"/>
    <col min="13059" max="13059" width="36.7109375" style="917" customWidth="1"/>
    <col min="13060" max="13061" width="40.7109375" style="917" customWidth="1"/>
    <col min="13062" max="13064" width="18.7109375" style="917" customWidth="1"/>
    <col min="13065" max="13312" width="6.28515625" style="917"/>
    <col min="13313" max="13313" width="4.28515625" style="917" customWidth="1"/>
    <col min="13314" max="13314" width="18.7109375" style="917" customWidth="1"/>
    <col min="13315" max="13315" width="36.7109375" style="917" customWidth="1"/>
    <col min="13316" max="13317" width="40.7109375" style="917" customWidth="1"/>
    <col min="13318" max="13320" width="18.7109375" style="917" customWidth="1"/>
    <col min="13321" max="13568" width="6.28515625" style="917"/>
    <col min="13569" max="13569" width="4.28515625" style="917" customWidth="1"/>
    <col min="13570" max="13570" width="18.7109375" style="917" customWidth="1"/>
    <col min="13571" max="13571" width="36.7109375" style="917" customWidth="1"/>
    <col min="13572" max="13573" width="40.7109375" style="917" customWidth="1"/>
    <col min="13574" max="13576" width="18.7109375" style="917" customWidth="1"/>
    <col min="13577" max="13824" width="6.28515625" style="917"/>
    <col min="13825" max="13825" width="4.28515625" style="917" customWidth="1"/>
    <col min="13826" max="13826" width="18.7109375" style="917" customWidth="1"/>
    <col min="13827" max="13827" width="36.7109375" style="917" customWidth="1"/>
    <col min="13828" max="13829" width="40.7109375" style="917" customWidth="1"/>
    <col min="13830" max="13832" width="18.7109375" style="917" customWidth="1"/>
    <col min="13833" max="14080" width="6.28515625" style="917"/>
    <col min="14081" max="14081" width="4.28515625" style="917" customWidth="1"/>
    <col min="14082" max="14082" width="18.7109375" style="917" customWidth="1"/>
    <col min="14083" max="14083" width="36.7109375" style="917" customWidth="1"/>
    <col min="14084" max="14085" width="40.7109375" style="917" customWidth="1"/>
    <col min="14086" max="14088" width="18.7109375" style="917" customWidth="1"/>
    <col min="14089" max="14336" width="6.28515625" style="917"/>
    <col min="14337" max="14337" width="4.28515625" style="917" customWidth="1"/>
    <col min="14338" max="14338" width="18.7109375" style="917" customWidth="1"/>
    <col min="14339" max="14339" width="36.7109375" style="917" customWidth="1"/>
    <col min="14340" max="14341" width="40.7109375" style="917" customWidth="1"/>
    <col min="14342" max="14344" width="18.7109375" style="917" customWidth="1"/>
    <col min="14345" max="14592" width="6.28515625" style="917"/>
    <col min="14593" max="14593" width="4.28515625" style="917" customWidth="1"/>
    <col min="14594" max="14594" width="18.7109375" style="917" customWidth="1"/>
    <col min="14595" max="14595" width="36.7109375" style="917" customWidth="1"/>
    <col min="14596" max="14597" width="40.7109375" style="917" customWidth="1"/>
    <col min="14598" max="14600" width="18.7109375" style="917" customWidth="1"/>
    <col min="14601" max="14848" width="6.28515625" style="917"/>
    <col min="14849" max="14849" width="4.28515625" style="917" customWidth="1"/>
    <col min="14850" max="14850" width="18.7109375" style="917" customWidth="1"/>
    <col min="14851" max="14851" width="36.7109375" style="917" customWidth="1"/>
    <col min="14852" max="14853" width="40.7109375" style="917" customWidth="1"/>
    <col min="14854" max="14856" width="18.7109375" style="917" customWidth="1"/>
    <col min="14857" max="15104" width="6.28515625" style="917"/>
    <col min="15105" max="15105" width="4.28515625" style="917" customWidth="1"/>
    <col min="15106" max="15106" width="18.7109375" style="917" customWidth="1"/>
    <col min="15107" max="15107" width="36.7109375" style="917" customWidth="1"/>
    <col min="15108" max="15109" width="40.7109375" style="917" customWidth="1"/>
    <col min="15110" max="15112" width="18.7109375" style="917" customWidth="1"/>
    <col min="15113" max="15360" width="6.28515625" style="917"/>
    <col min="15361" max="15361" width="4.28515625" style="917" customWidth="1"/>
    <col min="15362" max="15362" width="18.7109375" style="917" customWidth="1"/>
    <col min="15363" max="15363" width="36.7109375" style="917" customWidth="1"/>
    <col min="15364" max="15365" width="40.7109375" style="917" customWidth="1"/>
    <col min="15366" max="15368" width="18.7109375" style="917" customWidth="1"/>
    <col min="15369" max="15616" width="6.28515625" style="917"/>
    <col min="15617" max="15617" width="4.28515625" style="917" customWidth="1"/>
    <col min="15618" max="15618" width="18.7109375" style="917" customWidth="1"/>
    <col min="15619" max="15619" width="36.7109375" style="917" customWidth="1"/>
    <col min="15620" max="15621" width="40.7109375" style="917" customWidth="1"/>
    <col min="15622" max="15624" width="18.7109375" style="917" customWidth="1"/>
    <col min="15625" max="15872" width="6.28515625" style="917"/>
    <col min="15873" max="15873" width="4.28515625" style="917" customWidth="1"/>
    <col min="15874" max="15874" width="18.7109375" style="917" customWidth="1"/>
    <col min="15875" max="15875" width="36.7109375" style="917" customWidth="1"/>
    <col min="15876" max="15877" width="40.7109375" style="917" customWidth="1"/>
    <col min="15878" max="15880" width="18.7109375" style="917" customWidth="1"/>
    <col min="15881" max="16128" width="6.28515625" style="917"/>
    <col min="16129" max="16129" width="4.28515625" style="917" customWidth="1"/>
    <col min="16130" max="16130" width="18.7109375" style="917" customWidth="1"/>
    <col min="16131" max="16131" width="36.7109375" style="917" customWidth="1"/>
    <col min="16132" max="16133" width="40.7109375" style="917" customWidth="1"/>
    <col min="16134" max="16136" width="18.7109375" style="917" customWidth="1"/>
    <col min="16137" max="16384" width="6.28515625" style="917"/>
  </cols>
  <sheetData>
    <row r="1" spans="2:9" s="911" customFormat="1" ht="13.5" thickBot="1" x14ac:dyDescent="0.25">
      <c r="B1" s="912"/>
      <c r="C1" s="912"/>
      <c r="D1" s="912"/>
      <c r="E1" s="912"/>
      <c r="F1" s="912"/>
      <c r="G1" s="912"/>
      <c r="H1" s="912"/>
      <c r="I1" s="918"/>
    </row>
    <row r="2" spans="2:9" s="911" customFormat="1" ht="26.25" customHeight="1" x14ac:dyDescent="0.2">
      <c r="B2" s="884"/>
      <c r="C2" s="1122" t="s">
        <v>1982</v>
      </c>
      <c r="D2" s="1123"/>
      <c r="E2" s="1123"/>
      <c r="F2" s="1123"/>
      <c r="G2" s="1124"/>
      <c r="H2" s="885"/>
      <c r="I2" s="918"/>
    </row>
    <row r="3" spans="2:9" s="911" customFormat="1" ht="20.100000000000001" customHeight="1" x14ac:dyDescent="0.2">
      <c r="B3" s="886"/>
      <c r="C3" s="1125" t="s">
        <v>1993</v>
      </c>
      <c r="D3" s="1126"/>
      <c r="E3" s="1126"/>
      <c r="F3" s="1126"/>
      <c r="G3" s="1127"/>
      <c r="H3" s="887"/>
      <c r="I3" s="918"/>
    </row>
    <row r="4" spans="2:9" s="911" customFormat="1" ht="20.100000000000001" customHeight="1" x14ac:dyDescent="0.2">
      <c r="B4" s="886"/>
      <c r="C4" s="1128"/>
      <c r="D4" s="1129"/>
      <c r="E4" s="1129"/>
      <c r="F4" s="1129"/>
      <c r="G4" s="1130"/>
      <c r="H4" s="888"/>
      <c r="I4" s="918"/>
    </row>
    <row r="5" spans="2:9" s="911" customFormat="1" ht="13.15" customHeight="1" x14ac:dyDescent="0.2">
      <c r="B5" s="1131" t="s">
        <v>1983</v>
      </c>
      <c r="C5" s="1133">
        <v>44105.458333333336</v>
      </c>
      <c r="D5" s="1135" t="s">
        <v>2780</v>
      </c>
      <c r="E5" s="1135"/>
      <c r="F5" s="1137" t="s">
        <v>1984</v>
      </c>
      <c r="G5" s="1139">
        <v>44105.5</v>
      </c>
      <c r="H5" s="1140">
        <v>43956</v>
      </c>
      <c r="I5" s="918"/>
    </row>
    <row r="6" spans="2:9" s="911" customFormat="1" ht="13.15" customHeight="1" thickBot="1" x14ac:dyDescent="0.25">
      <c r="B6" s="1132"/>
      <c r="C6" s="1134"/>
      <c r="D6" s="1136"/>
      <c r="E6" s="1136"/>
      <c r="F6" s="1138"/>
      <c r="G6" s="1141"/>
      <c r="H6" s="1142"/>
      <c r="I6" s="918"/>
    </row>
    <row r="7" spans="2:9" s="913" customFormat="1" ht="10.5" customHeight="1" thickBot="1" x14ac:dyDescent="0.25">
      <c r="B7" s="889"/>
      <c r="C7" s="889"/>
      <c r="D7" s="889"/>
      <c r="E7" s="889"/>
      <c r="F7" s="889"/>
      <c r="G7" s="889"/>
      <c r="H7" s="889"/>
      <c r="I7" s="919"/>
    </row>
    <row r="8" spans="2:9" s="914" customFormat="1" ht="18" x14ac:dyDescent="0.25">
      <c r="B8" s="1118" t="s">
        <v>1985</v>
      </c>
      <c r="C8" s="1120" t="s">
        <v>1986</v>
      </c>
      <c r="D8" s="1120" t="s">
        <v>1987</v>
      </c>
      <c r="E8" s="924" t="s">
        <v>1988</v>
      </c>
      <c r="F8" s="925"/>
      <c r="G8" s="925"/>
      <c r="H8" s="926"/>
      <c r="I8" s="920"/>
    </row>
    <row r="9" spans="2:9" s="914" customFormat="1" ht="16.5" thickBot="1" x14ac:dyDescent="0.3">
      <c r="B9" s="1119"/>
      <c r="C9" s="1121"/>
      <c r="D9" s="1121"/>
      <c r="E9" s="927" t="s">
        <v>1989</v>
      </c>
      <c r="F9" s="928" t="s">
        <v>1990</v>
      </c>
      <c r="G9" s="928" t="s">
        <v>1991</v>
      </c>
      <c r="H9" s="929" t="s">
        <v>212</v>
      </c>
      <c r="I9" s="920"/>
    </row>
    <row r="10" spans="2:9" s="915" customFormat="1" ht="30" customHeight="1" x14ac:dyDescent="0.25">
      <c r="B10" s="1103">
        <v>1</v>
      </c>
      <c r="C10" s="1116" t="s">
        <v>2792</v>
      </c>
      <c r="D10" s="1116" t="s">
        <v>2793</v>
      </c>
      <c r="E10" s="1115" t="s">
        <v>2794</v>
      </c>
      <c r="F10" s="1109" t="s">
        <v>2795</v>
      </c>
      <c r="G10" s="1112" t="s">
        <v>2796</v>
      </c>
      <c r="H10" s="1094" t="s">
        <v>2788</v>
      </c>
      <c r="I10" s="921"/>
    </row>
    <row r="11" spans="2:9" s="915" customFormat="1" ht="30" customHeight="1" x14ac:dyDescent="0.25">
      <c r="B11" s="1104"/>
      <c r="C11" s="1116"/>
      <c r="D11" s="1116"/>
      <c r="E11" s="1116"/>
      <c r="F11" s="1110"/>
      <c r="G11" s="1113"/>
      <c r="H11" s="1095"/>
      <c r="I11" s="921"/>
    </row>
    <row r="12" spans="2:9" s="915" customFormat="1" ht="46.5" customHeight="1" x14ac:dyDescent="0.25">
      <c r="B12" s="1104"/>
      <c r="C12" s="1116"/>
      <c r="D12" s="1116"/>
      <c r="E12" s="1116"/>
      <c r="F12" s="1110"/>
      <c r="G12" s="1113"/>
      <c r="H12" s="1095"/>
      <c r="I12" s="921"/>
    </row>
    <row r="13" spans="2:9" s="915" customFormat="1" ht="81.75" customHeight="1" x14ac:dyDescent="0.25">
      <c r="B13" s="1105"/>
      <c r="C13" s="1117"/>
      <c r="D13" s="1117"/>
      <c r="E13" s="1117"/>
      <c r="F13" s="1111"/>
      <c r="G13" s="1114"/>
      <c r="H13" s="1096"/>
      <c r="I13" s="921"/>
    </row>
    <row r="14" spans="2:9" s="916" customFormat="1" ht="30" customHeight="1" x14ac:dyDescent="0.2">
      <c r="B14" s="1103">
        <v>2</v>
      </c>
      <c r="C14" s="1106" t="s">
        <v>2792</v>
      </c>
      <c r="D14" s="1106" t="s">
        <v>2793</v>
      </c>
      <c r="E14" s="1106" t="s">
        <v>2797</v>
      </c>
      <c r="F14" s="1109" t="s">
        <v>2798</v>
      </c>
      <c r="G14" s="1112" t="s">
        <v>2796</v>
      </c>
      <c r="H14" s="1094" t="s">
        <v>2788</v>
      </c>
      <c r="I14" s="922"/>
    </row>
    <row r="15" spans="2:9" s="916" customFormat="1" ht="30" customHeight="1" x14ac:dyDescent="0.2">
      <c r="B15" s="1104"/>
      <c r="C15" s="1107"/>
      <c r="D15" s="1107"/>
      <c r="E15" s="1107"/>
      <c r="F15" s="1110"/>
      <c r="G15" s="1113"/>
      <c r="H15" s="1095"/>
      <c r="I15" s="922"/>
    </row>
    <row r="16" spans="2:9" s="916" customFormat="1" ht="65.25" customHeight="1" x14ac:dyDescent="0.2">
      <c r="B16" s="1105"/>
      <c r="C16" s="1108"/>
      <c r="D16" s="1108"/>
      <c r="E16" s="1108"/>
      <c r="F16" s="1111"/>
      <c r="G16" s="1114"/>
      <c r="H16" s="1096"/>
      <c r="I16" s="922"/>
    </row>
    <row r="17" spans="2:9" s="916" customFormat="1" ht="30" customHeight="1" x14ac:dyDescent="0.2">
      <c r="B17" s="1103"/>
      <c r="C17" s="1106"/>
      <c r="D17" s="1106"/>
      <c r="E17" s="1106"/>
      <c r="F17" s="1109"/>
      <c r="G17" s="1112"/>
      <c r="H17" s="1094"/>
      <c r="I17" s="922"/>
    </row>
    <row r="18" spans="2:9" s="916" customFormat="1" ht="30" customHeight="1" x14ac:dyDescent="0.2">
      <c r="B18" s="1104"/>
      <c r="C18" s="1107"/>
      <c r="D18" s="1107"/>
      <c r="E18" s="1107"/>
      <c r="F18" s="1110"/>
      <c r="G18" s="1113"/>
      <c r="H18" s="1095"/>
      <c r="I18" s="922"/>
    </row>
    <row r="19" spans="2:9" s="916" customFormat="1" ht="30" customHeight="1" x14ac:dyDescent="0.2">
      <c r="B19" s="1105"/>
      <c r="C19" s="1108"/>
      <c r="D19" s="1108"/>
      <c r="E19" s="1108"/>
      <c r="F19" s="1111"/>
      <c r="G19" s="1114"/>
      <c r="H19" s="1096"/>
      <c r="I19" s="922"/>
    </row>
    <row r="20" spans="2:9" s="916" customFormat="1" ht="30" customHeight="1" x14ac:dyDescent="0.2">
      <c r="B20" s="1103"/>
      <c r="C20" s="1106"/>
      <c r="D20" s="1106"/>
      <c r="E20" s="1106"/>
      <c r="F20" s="1109"/>
      <c r="G20" s="1112"/>
      <c r="H20" s="1094"/>
      <c r="I20" s="922"/>
    </row>
    <row r="21" spans="2:9" s="916" customFormat="1" ht="30" customHeight="1" x14ac:dyDescent="0.2">
      <c r="B21" s="1104"/>
      <c r="C21" s="1107"/>
      <c r="D21" s="1107"/>
      <c r="E21" s="1107"/>
      <c r="F21" s="1110"/>
      <c r="G21" s="1113"/>
      <c r="H21" s="1095"/>
      <c r="I21" s="922"/>
    </row>
    <row r="22" spans="2:9" s="916" customFormat="1" ht="30" customHeight="1" x14ac:dyDescent="0.2">
      <c r="B22" s="1105"/>
      <c r="C22" s="1108"/>
      <c r="D22" s="1108"/>
      <c r="E22" s="1108"/>
      <c r="F22" s="1111"/>
      <c r="G22" s="1114"/>
      <c r="H22" s="1096"/>
      <c r="I22" s="922"/>
    </row>
    <row r="23" spans="2:9" s="916" customFormat="1" ht="30" customHeight="1" x14ac:dyDescent="0.2">
      <c r="B23" s="1103"/>
      <c r="C23" s="1106"/>
      <c r="D23" s="1106"/>
      <c r="E23" s="1106"/>
      <c r="F23" s="1109"/>
      <c r="G23" s="1112"/>
      <c r="H23" s="1094"/>
      <c r="I23" s="922"/>
    </row>
    <row r="24" spans="2:9" s="916" customFormat="1" ht="30" customHeight="1" x14ac:dyDescent="0.2">
      <c r="B24" s="1104"/>
      <c r="C24" s="1107"/>
      <c r="D24" s="1107"/>
      <c r="E24" s="1107"/>
      <c r="F24" s="1110"/>
      <c r="G24" s="1113"/>
      <c r="H24" s="1095"/>
      <c r="I24" s="922"/>
    </row>
    <row r="25" spans="2:9" s="916" customFormat="1" ht="30" customHeight="1" x14ac:dyDescent="0.2">
      <c r="B25" s="1105"/>
      <c r="C25" s="1108"/>
      <c r="D25" s="1108"/>
      <c r="E25" s="1108"/>
      <c r="F25" s="1111"/>
      <c r="G25" s="1114"/>
      <c r="H25" s="1096"/>
      <c r="I25" s="922"/>
    </row>
    <row r="26" spans="2:9" s="916" customFormat="1" ht="30" customHeight="1" x14ac:dyDescent="0.2">
      <c r="B26" s="1103"/>
      <c r="C26" s="1106"/>
      <c r="D26" s="1106"/>
      <c r="E26" s="1106"/>
      <c r="F26" s="1109"/>
      <c r="G26" s="1112"/>
      <c r="H26" s="1094"/>
      <c r="I26" s="922"/>
    </row>
    <row r="27" spans="2:9" s="916" customFormat="1" ht="30" customHeight="1" x14ac:dyDescent="0.2">
      <c r="B27" s="1104"/>
      <c r="C27" s="1107"/>
      <c r="D27" s="1107"/>
      <c r="E27" s="1107"/>
      <c r="F27" s="1110"/>
      <c r="G27" s="1113"/>
      <c r="H27" s="1095"/>
      <c r="I27" s="922"/>
    </row>
    <row r="28" spans="2:9" s="916" customFormat="1" ht="30" customHeight="1" x14ac:dyDescent="0.2">
      <c r="B28" s="1105"/>
      <c r="C28" s="1108"/>
      <c r="D28" s="1108"/>
      <c r="E28" s="1108"/>
      <c r="F28" s="1111"/>
      <c r="G28" s="1114"/>
      <c r="H28" s="1096"/>
      <c r="I28" s="922"/>
    </row>
    <row r="29" spans="2:9" s="916" customFormat="1" ht="30" customHeight="1" x14ac:dyDescent="0.2">
      <c r="B29" s="1103"/>
      <c r="C29" s="1106"/>
      <c r="D29" s="1106"/>
      <c r="E29" s="1106"/>
      <c r="F29" s="1109"/>
      <c r="G29" s="1112"/>
      <c r="H29" s="1094"/>
      <c r="I29" s="922"/>
    </row>
    <row r="30" spans="2:9" s="916" customFormat="1" ht="30" customHeight="1" x14ac:dyDescent="0.2">
      <c r="B30" s="1104"/>
      <c r="C30" s="1107"/>
      <c r="D30" s="1107"/>
      <c r="E30" s="1107"/>
      <c r="F30" s="1110"/>
      <c r="G30" s="1113"/>
      <c r="H30" s="1095"/>
      <c r="I30" s="922"/>
    </row>
    <row r="31" spans="2:9" s="916" customFormat="1" ht="30" customHeight="1" x14ac:dyDescent="0.2">
      <c r="B31" s="1105"/>
      <c r="C31" s="1108"/>
      <c r="D31" s="1108"/>
      <c r="E31" s="1108"/>
      <c r="F31" s="1111"/>
      <c r="G31" s="1114"/>
      <c r="H31" s="1096"/>
      <c r="I31" s="922"/>
    </row>
    <row r="32" spans="2:9" s="916" customFormat="1" ht="30" customHeight="1" x14ac:dyDescent="0.2">
      <c r="B32" s="1103"/>
      <c r="C32" s="1106"/>
      <c r="D32" s="1106"/>
      <c r="E32" s="1106"/>
      <c r="F32" s="1109"/>
      <c r="G32" s="1112"/>
      <c r="H32" s="1094"/>
      <c r="I32" s="922"/>
    </row>
    <row r="33" spans="2:9" s="916" customFormat="1" ht="30" customHeight="1" x14ac:dyDescent="0.2">
      <c r="B33" s="1104"/>
      <c r="C33" s="1107"/>
      <c r="D33" s="1107"/>
      <c r="E33" s="1107"/>
      <c r="F33" s="1110"/>
      <c r="G33" s="1113"/>
      <c r="H33" s="1095"/>
      <c r="I33" s="922"/>
    </row>
    <row r="34" spans="2:9" s="916" customFormat="1" ht="30" customHeight="1" x14ac:dyDescent="0.2">
      <c r="B34" s="1105"/>
      <c r="C34" s="1108"/>
      <c r="D34" s="1108"/>
      <c r="E34" s="1108"/>
      <c r="F34" s="1111"/>
      <c r="G34" s="1114"/>
      <c r="H34" s="1096"/>
      <c r="I34" s="922"/>
    </row>
    <row r="35" spans="2:9" s="916" customFormat="1" ht="30" customHeight="1" x14ac:dyDescent="0.2">
      <c r="B35" s="1103"/>
      <c r="C35" s="1106"/>
      <c r="D35" s="1106"/>
      <c r="E35" s="1106"/>
      <c r="F35" s="1109"/>
      <c r="G35" s="1112"/>
      <c r="H35" s="1094"/>
      <c r="I35" s="922"/>
    </row>
    <row r="36" spans="2:9" s="916" customFormat="1" ht="30" customHeight="1" x14ac:dyDescent="0.2">
      <c r="B36" s="1104"/>
      <c r="C36" s="1107"/>
      <c r="D36" s="1107"/>
      <c r="E36" s="1107"/>
      <c r="F36" s="1110"/>
      <c r="G36" s="1113"/>
      <c r="H36" s="1095"/>
      <c r="I36" s="922"/>
    </row>
    <row r="37" spans="2:9" s="916" customFormat="1" ht="30" customHeight="1" x14ac:dyDescent="0.2">
      <c r="B37" s="1105"/>
      <c r="C37" s="1108"/>
      <c r="D37" s="1108"/>
      <c r="E37" s="1108"/>
      <c r="F37" s="1111"/>
      <c r="G37" s="1114"/>
      <c r="H37" s="1096"/>
      <c r="I37" s="922"/>
    </row>
    <row r="38" spans="2:9" s="916" customFormat="1" ht="30" customHeight="1" x14ac:dyDescent="0.2">
      <c r="B38" s="1103"/>
      <c r="C38" s="1106"/>
      <c r="D38" s="1106"/>
      <c r="E38" s="1106"/>
      <c r="F38" s="1109"/>
      <c r="G38" s="1112"/>
      <c r="H38" s="1094"/>
      <c r="I38" s="922"/>
    </row>
    <row r="39" spans="2:9" s="916" customFormat="1" ht="30" customHeight="1" x14ac:dyDescent="0.2">
      <c r="B39" s="1104"/>
      <c r="C39" s="1107"/>
      <c r="D39" s="1107"/>
      <c r="E39" s="1107"/>
      <c r="F39" s="1110"/>
      <c r="G39" s="1113"/>
      <c r="H39" s="1095"/>
      <c r="I39" s="922"/>
    </row>
    <row r="40" spans="2:9" s="916" customFormat="1" ht="30" customHeight="1" x14ac:dyDescent="0.2">
      <c r="B40" s="1105"/>
      <c r="C40" s="1108"/>
      <c r="D40" s="1108"/>
      <c r="E40" s="1108"/>
      <c r="F40" s="1111"/>
      <c r="G40" s="1114"/>
      <c r="H40" s="1096"/>
      <c r="I40" s="922"/>
    </row>
    <row r="41" spans="2:9" s="916" customFormat="1" ht="30" customHeight="1" x14ac:dyDescent="0.2">
      <c r="B41" s="1103"/>
      <c r="C41" s="1106"/>
      <c r="D41" s="1106"/>
      <c r="E41" s="1106"/>
      <c r="F41" s="1109"/>
      <c r="G41" s="1112"/>
      <c r="H41" s="1094"/>
      <c r="I41" s="922"/>
    </row>
    <row r="42" spans="2:9" s="916" customFormat="1" ht="30" customHeight="1" x14ac:dyDescent="0.2">
      <c r="B42" s="1104"/>
      <c r="C42" s="1107"/>
      <c r="D42" s="1107"/>
      <c r="E42" s="1107"/>
      <c r="F42" s="1110"/>
      <c r="G42" s="1113"/>
      <c r="H42" s="1095"/>
      <c r="I42" s="922"/>
    </row>
    <row r="43" spans="2:9" s="916" customFormat="1" ht="30" customHeight="1" x14ac:dyDescent="0.2">
      <c r="B43" s="1105"/>
      <c r="C43" s="1108"/>
      <c r="D43" s="1108"/>
      <c r="E43" s="1108"/>
      <c r="F43" s="1111"/>
      <c r="G43" s="1114"/>
      <c r="H43" s="1096"/>
      <c r="I43" s="922"/>
    </row>
    <row r="44" spans="2:9" s="916" customFormat="1" ht="30" customHeight="1" x14ac:dyDescent="0.2">
      <c r="B44" s="1103"/>
      <c r="C44" s="1106"/>
      <c r="D44" s="1106"/>
      <c r="E44" s="1106"/>
      <c r="F44" s="1109"/>
      <c r="G44" s="1112"/>
      <c r="H44" s="1094"/>
      <c r="I44" s="922"/>
    </row>
    <row r="45" spans="2:9" s="916" customFormat="1" ht="30" customHeight="1" x14ac:dyDescent="0.2">
      <c r="B45" s="1104"/>
      <c r="C45" s="1107"/>
      <c r="D45" s="1107"/>
      <c r="E45" s="1107"/>
      <c r="F45" s="1110"/>
      <c r="G45" s="1113"/>
      <c r="H45" s="1095"/>
      <c r="I45" s="922"/>
    </row>
    <row r="46" spans="2:9" s="916" customFormat="1" ht="30" customHeight="1" x14ac:dyDescent="0.2">
      <c r="B46" s="1105"/>
      <c r="C46" s="1108"/>
      <c r="D46" s="1108"/>
      <c r="E46" s="1108"/>
      <c r="F46" s="1111"/>
      <c r="G46" s="1114"/>
      <c r="H46" s="1096"/>
      <c r="I46" s="922"/>
    </row>
    <row r="47" spans="2:9" s="916" customFormat="1" ht="30" customHeight="1" x14ac:dyDescent="0.2">
      <c r="B47" s="1103"/>
      <c r="C47" s="1106"/>
      <c r="D47" s="1106"/>
      <c r="E47" s="1106"/>
      <c r="F47" s="1109"/>
      <c r="G47" s="1112"/>
      <c r="H47" s="1094"/>
      <c r="I47" s="922"/>
    </row>
    <row r="48" spans="2:9" s="916" customFormat="1" ht="30" customHeight="1" x14ac:dyDescent="0.2">
      <c r="B48" s="1104"/>
      <c r="C48" s="1107"/>
      <c r="D48" s="1107"/>
      <c r="E48" s="1107"/>
      <c r="F48" s="1110"/>
      <c r="G48" s="1113"/>
      <c r="H48" s="1095"/>
      <c r="I48" s="922"/>
    </row>
    <row r="49" spans="2:9" s="916" customFormat="1" ht="30" customHeight="1" x14ac:dyDescent="0.2">
      <c r="B49" s="1105"/>
      <c r="C49" s="1108"/>
      <c r="D49" s="1108"/>
      <c r="E49" s="1108"/>
      <c r="F49" s="1111"/>
      <c r="G49" s="1114"/>
      <c r="H49" s="1096"/>
      <c r="I49" s="922"/>
    </row>
    <row r="50" spans="2:9" s="916" customFormat="1" ht="30" customHeight="1" x14ac:dyDescent="0.2">
      <c r="B50" s="953"/>
      <c r="C50" s="894"/>
      <c r="D50" s="894"/>
      <c r="E50" s="890"/>
      <c r="F50" s="891"/>
      <c r="G50" s="892"/>
      <c r="H50" s="893"/>
      <c r="I50" s="922"/>
    </row>
    <row r="51" spans="2:9" s="916" customFormat="1" ht="30" customHeight="1" thickBot="1" x14ac:dyDescent="0.25">
      <c r="B51" s="895"/>
      <c r="C51" s="896"/>
      <c r="D51" s="896"/>
      <c r="E51" s="897"/>
      <c r="F51" s="898"/>
      <c r="G51" s="899"/>
      <c r="H51" s="900"/>
      <c r="I51" s="922"/>
    </row>
    <row r="52" spans="2:9" s="913" customFormat="1" ht="10.5" customHeight="1" thickBot="1" x14ac:dyDescent="0.25">
      <c r="B52" s="889"/>
      <c r="C52" s="889"/>
      <c r="D52" s="889"/>
      <c r="E52" s="889"/>
      <c r="F52" s="889"/>
      <c r="G52" s="889"/>
      <c r="H52" s="889"/>
      <c r="I52" s="919"/>
    </row>
    <row r="53" spans="2:9" s="914" customFormat="1" ht="15.75" x14ac:dyDescent="0.25">
      <c r="B53" s="1097" t="s">
        <v>1992</v>
      </c>
      <c r="C53" s="1098"/>
      <c r="D53" s="1098"/>
      <c r="E53" s="1098"/>
      <c r="F53" s="1098"/>
      <c r="G53" s="1098"/>
      <c r="H53" s="1099"/>
      <c r="I53" s="920"/>
    </row>
    <row r="54" spans="2:9" s="914" customFormat="1" ht="16.5" thickBot="1" x14ac:dyDescent="0.3">
      <c r="B54" s="1100"/>
      <c r="C54" s="1101"/>
      <c r="D54" s="1101"/>
      <c r="E54" s="1101"/>
      <c r="F54" s="1101"/>
      <c r="G54" s="1101"/>
      <c r="H54" s="1102"/>
      <c r="I54" s="920"/>
    </row>
    <row r="55" spans="2:9" ht="13.5" thickBot="1" x14ac:dyDescent="0.25">
      <c r="B55" s="901"/>
      <c r="C55" s="901"/>
      <c r="D55" s="901"/>
      <c r="E55" s="901"/>
      <c r="F55" s="901"/>
      <c r="G55" s="901"/>
      <c r="H55" s="901"/>
    </row>
    <row r="56" spans="2:9" ht="30" customHeight="1" x14ac:dyDescent="0.2">
      <c r="B56" s="902"/>
      <c r="C56" s="903"/>
      <c r="D56" s="903"/>
      <c r="E56" s="903"/>
      <c r="F56" s="903"/>
      <c r="G56" s="903"/>
      <c r="H56" s="904"/>
    </row>
    <row r="57" spans="2:9" s="923" customFormat="1" ht="30" customHeight="1" x14ac:dyDescent="0.2">
      <c r="B57" s="905"/>
      <c r="C57" s="906"/>
      <c r="D57" s="906"/>
      <c r="E57" s="906"/>
      <c r="F57" s="906"/>
      <c r="G57" s="906"/>
      <c r="H57" s="907"/>
    </row>
    <row r="58" spans="2:9" s="923" customFormat="1" ht="30" customHeight="1" x14ac:dyDescent="0.2">
      <c r="B58" s="905"/>
      <c r="C58" s="906"/>
      <c r="D58" s="906"/>
      <c r="E58" s="906"/>
      <c r="F58" s="906"/>
      <c r="G58" s="906"/>
      <c r="H58" s="907"/>
    </row>
    <row r="59" spans="2:9" s="923" customFormat="1" ht="30" customHeight="1" x14ac:dyDescent="0.2">
      <c r="B59" s="905"/>
      <c r="C59" s="906"/>
      <c r="D59" s="906"/>
      <c r="E59" s="906"/>
      <c r="F59" s="906"/>
      <c r="G59" s="906"/>
      <c r="H59" s="907"/>
    </row>
    <row r="60" spans="2:9" s="923" customFormat="1" ht="30" customHeight="1" x14ac:dyDescent="0.2">
      <c r="B60" s="905"/>
      <c r="C60" s="906"/>
      <c r="D60" s="906"/>
      <c r="E60" s="906"/>
      <c r="F60" s="906"/>
      <c r="G60" s="906"/>
      <c r="H60" s="907"/>
    </row>
    <row r="61" spans="2:9" s="923" customFormat="1" ht="30" customHeight="1" x14ac:dyDescent="0.2">
      <c r="B61" s="905"/>
      <c r="C61" s="906"/>
      <c r="D61" s="906"/>
      <c r="E61" s="906"/>
      <c r="F61" s="906"/>
      <c r="G61" s="906"/>
      <c r="H61" s="907"/>
    </row>
    <row r="62" spans="2:9" s="923" customFormat="1" ht="30" customHeight="1" x14ac:dyDescent="0.2">
      <c r="B62" s="905"/>
      <c r="C62" s="906"/>
      <c r="D62" s="906"/>
      <c r="E62" s="906"/>
      <c r="F62" s="906"/>
      <c r="G62" s="906"/>
      <c r="H62" s="907"/>
    </row>
    <row r="63" spans="2:9" s="923" customFormat="1" ht="30" customHeight="1" x14ac:dyDescent="0.2">
      <c r="B63" s="905"/>
      <c r="C63" s="906"/>
      <c r="D63" s="906"/>
      <c r="E63" s="906"/>
      <c r="F63" s="906"/>
      <c r="G63" s="906"/>
      <c r="H63" s="907"/>
    </row>
    <row r="64" spans="2:9" s="923" customFormat="1" ht="30" customHeight="1" x14ac:dyDescent="0.2">
      <c r="B64" s="905"/>
      <c r="C64" s="906"/>
      <c r="D64" s="906"/>
      <c r="E64" s="906"/>
      <c r="F64" s="906"/>
      <c r="G64" s="906"/>
      <c r="H64" s="907"/>
    </row>
    <row r="65" spans="2:8" s="923" customFormat="1" ht="30" customHeight="1" x14ac:dyDescent="0.2">
      <c r="B65" s="905"/>
      <c r="C65" s="906"/>
      <c r="D65" s="906"/>
      <c r="E65" s="906"/>
      <c r="F65" s="906"/>
      <c r="G65" s="906"/>
      <c r="H65" s="907"/>
    </row>
    <row r="66" spans="2:8" s="923" customFormat="1" ht="30" customHeight="1" x14ac:dyDescent="0.2">
      <c r="B66" s="905"/>
      <c r="C66" s="906"/>
      <c r="D66" s="906"/>
      <c r="E66" s="906"/>
      <c r="F66" s="906"/>
      <c r="G66" s="906"/>
      <c r="H66" s="907"/>
    </row>
    <row r="67" spans="2:8" s="923" customFormat="1" ht="30" customHeight="1" x14ac:dyDescent="0.2">
      <c r="B67" s="905"/>
      <c r="C67" s="906"/>
      <c r="D67" s="906"/>
      <c r="E67" s="906"/>
      <c r="F67" s="906"/>
      <c r="G67" s="906"/>
      <c r="H67" s="907"/>
    </row>
    <row r="68" spans="2:8" s="923" customFormat="1" ht="30" customHeight="1" x14ac:dyDescent="0.2">
      <c r="B68" s="905"/>
      <c r="C68" s="906"/>
      <c r="D68" s="906"/>
      <c r="E68" s="906"/>
      <c r="F68" s="906"/>
      <c r="G68" s="906"/>
      <c r="H68" s="907"/>
    </row>
    <row r="69" spans="2:8" s="923" customFormat="1" ht="30" customHeight="1" x14ac:dyDescent="0.2">
      <c r="B69" s="905"/>
      <c r="C69" s="906"/>
      <c r="D69" s="906"/>
      <c r="E69" s="906"/>
      <c r="F69" s="906"/>
      <c r="G69" s="906"/>
      <c r="H69" s="907"/>
    </row>
    <row r="70" spans="2:8" s="923" customFormat="1" ht="30" customHeight="1" x14ac:dyDescent="0.2">
      <c r="B70" s="905"/>
      <c r="C70" s="906"/>
      <c r="D70" s="906"/>
      <c r="E70" s="906"/>
      <c r="F70" s="906"/>
      <c r="G70" s="906"/>
      <c r="H70" s="907"/>
    </row>
    <row r="71" spans="2:8" s="923" customFormat="1" ht="30" customHeight="1" x14ac:dyDescent="0.2">
      <c r="B71" s="905"/>
      <c r="C71" s="906"/>
      <c r="D71" s="906"/>
      <c r="E71" s="906"/>
      <c r="F71" s="906"/>
      <c r="G71" s="906"/>
      <c r="H71" s="907"/>
    </row>
    <row r="72" spans="2:8" s="923" customFormat="1" ht="30" customHeight="1" x14ac:dyDescent="0.2">
      <c r="B72" s="905"/>
      <c r="C72" s="906"/>
      <c r="D72" s="906"/>
      <c r="E72" s="906"/>
      <c r="F72" s="906"/>
      <c r="G72" s="906"/>
      <c r="H72" s="907"/>
    </row>
    <row r="73" spans="2:8" s="923" customFormat="1" ht="30" customHeight="1" x14ac:dyDescent="0.2">
      <c r="B73" s="905"/>
      <c r="C73" s="906"/>
      <c r="D73" s="906"/>
      <c r="E73" s="906"/>
      <c r="F73" s="906"/>
      <c r="G73" s="906"/>
      <c r="H73" s="907"/>
    </row>
    <row r="74" spans="2:8" s="923" customFormat="1" ht="30" customHeight="1" x14ac:dyDescent="0.2">
      <c r="B74" s="905"/>
      <c r="C74" s="906"/>
      <c r="D74" s="906"/>
      <c r="E74" s="906"/>
      <c r="F74" s="906"/>
      <c r="G74" s="906"/>
      <c r="H74" s="907"/>
    </row>
    <row r="75" spans="2:8" s="923" customFormat="1" ht="30" customHeight="1" thickBot="1" x14ac:dyDescent="0.25">
      <c r="B75" s="908"/>
      <c r="C75" s="909"/>
      <c r="D75" s="909"/>
      <c r="E75" s="909"/>
      <c r="F75" s="909"/>
      <c r="G75" s="909"/>
      <c r="H75" s="910"/>
    </row>
  </sheetData>
  <mergeCells count="102">
    <mergeCell ref="B8:B9"/>
    <mergeCell ref="C8:C9"/>
    <mergeCell ref="D8:D9"/>
    <mergeCell ref="C10:C13"/>
    <mergeCell ref="D10:D13"/>
    <mergeCell ref="C2:G2"/>
    <mergeCell ref="C3:G4"/>
    <mergeCell ref="B5:B6"/>
    <mergeCell ref="C5:C6"/>
    <mergeCell ref="D5:E6"/>
    <mergeCell ref="F5:F6"/>
    <mergeCell ref="G5:H6"/>
    <mergeCell ref="B14:B16"/>
    <mergeCell ref="C14:C16"/>
    <mergeCell ref="D14:D16"/>
    <mergeCell ref="E14:E16"/>
    <mergeCell ref="F14:F16"/>
    <mergeCell ref="G14:G16"/>
    <mergeCell ref="H14:H16"/>
    <mergeCell ref="B10:B13"/>
    <mergeCell ref="E10:E13"/>
    <mergeCell ref="F10:F13"/>
    <mergeCell ref="G10:G13"/>
    <mergeCell ref="H10:H13"/>
    <mergeCell ref="H17:H19"/>
    <mergeCell ref="B20:B22"/>
    <mergeCell ref="C20:C22"/>
    <mergeCell ref="D20:D22"/>
    <mergeCell ref="E20:E22"/>
    <mergeCell ref="F20:F22"/>
    <mergeCell ref="G20:G22"/>
    <mergeCell ref="H20:H22"/>
    <mergeCell ref="B17:B19"/>
    <mergeCell ref="C17:C19"/>
    <mergeCell ref="D17:D19"/>
    <mergeCell ref="E17:E19"/>
    <mergeCell ref="F17:F19"/>
    <mergeCell ref="G17:G19"/>
    <mergeCell ref="H23:H25"/>
    <mergeCell ref="B26:B28"/>
    <mergeCell ref="C26:C28"/>
    <mergeCell ref="D26:D28"/>
    <mergeCell ref="E26:E28"/>
    <mergeCell ref="F26:F28"/>
    <mergeCell ref="G26:G28"/>
    <mergeCell ref="H26:H28"/>
    <mergeCell ref="B23:B25"/>
    <mergeCell ref="C23:C25"/>
    <mergeCell ref="D23:D25"/>
    <mergeCell ref="E23:E25"/>
    <mergeCell ref="F23:F25"/>
    <mergeCell ref="G23:G25"/>
    <mergeCell ref="H29:H31"/>
    <mergeCell ref="B32:B34"/>
    <mergeCell ref="C32:C34"/>
    <mergeCell ref="D32:D34"/>
    <mergeCell ref="E32:E34"/>
    <mergeCell ref="F32:F34"/>
    <mergeCell ref="G32:G34"/>
    <mergeCell ref="H32:H34"/>
    <mergeCell ref="B29:B31"/>
    <mergeCell ref="C29:C31"/>
    <mergeCell ref="D29:D31"/>
    <mergeCell ref="E29:E31"/>
    <mergeCell ref="F29:F31"/>
    <mergeCell ref="G29:G31"/>
    <mergeCell ref="H35:H37"/>
    <mergeCell ref="B38:B40"/>
    <mergeCell ref="C38:C40"/>
    <mergeCell ref="D38:D40"/>
    <mergeCell ref="E38:E40"/>
    <mergeCell ref="F38:F40"/>
    <mergeCell ref="G38:G40"/>
    <mergeCell ref="H38:H40"/>
    <mergeCell ref="B35:B37"/>
    <mergeCell ref="C35:C37"/>
    <mergeCell ref="D35:D37"/>
    <mergeCell ref="E35:E37"/>
    <mergeCell ref="F35:F37"/>
    <mergeCell ref="G35:G37"/>
    <mergeCell ref="H47:H49"/>
    <mergeCell ref="B53:H54"/>
    <mergeCell ref="B47:B49"/>
    <mergeCell ref="C47:C49"/>
    <mergeCell ref="D47:D49"/>
    <mergeCell ref="E47:E49"/>
    <mergeCell ref="F47:F49"/>
    <mergeCell ref="G47:G49"/>
    <mergeCell ref="H41:H43"/>
    <mergeCell ref="B44:B46"/>
    <mergeCell ref="C44:C46"/>
    <mergeCell ref="D44:D46"/>
    <mergeCell ref="E44:E46"/>
    <mergeCell ref="F44:F46"/>
    <mergeCell ref="G44:G46"/>
    <mergeCell ref="H44:H46"/>
    <mergeCell ref="B41:B43"/>
    <mergeCell ref="C41:C43"/>
    <mergeCell ref="D41:D43"/>
    <mergeCell ref="E41:E43"/>
    <mergeCell ref="F41:F43"/>
    <mergeCell ref="G41:G4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5"/>
  <sheetViews>
    <sheetView showGridLines="0" zoomScale="60" zoomScaleNormal="60" workbookViewId="0">
      <selection activeCell="E14" sqref="E14:E16"/>
    </sheetView>
  </sheetViews>
  <sheetFormatPr defaultColWidth="6.28515625" defaultRowHeight="12.75" x14ac:dyDescent="0.2"/>
  <cols>
    <col min="1" max="1" width="4.28515625" style="917" customWidth="1"/>
    <col min="2" max="2" width="18.7109375" style="917" customWidth="1"/>
    <col min="3" max="3" width="36.7109375" style="917" customWidth="1"/>
    <col min="4" max="5" width="40.7109375" style="917" customWidth="1"/>
    <col min="6" max="6" width="27.140625" style="917" customWidth="1"/>
    <col min="7" max="8" width="18.7109375" style="917" customWidth="1"/>
    <col min="9" max="9" width="30.85546875" style="923" customWidth="1"/>
    <col min="10" max="256" width="6.28515625" style="917"/>
    <col min="257" max="257" width="4.28515625" style="917" customWidth="1"/>
    <col min="258" max="258" width="18.7109375" style="917" customWidth="1"/>
    <col min="259" max="259" width="36.7109375" style="917" customWidth="1"/>
    <col min="260" max="261" width="40.7109375" style="917" customWidth="1"/>
    <col min="262" max="264" width="18.7109375" style="917" customWidth="1"/>
    <col min="265" max="512" width="6.28515625" style="917"/>
    <col min="513" max="513" width="4.28515625" style="917" customWidth="1"/>
    <col min="514" max="514" width="18.7109375" style="917" customWidth="1"/>
    <col min="515" max="515" width="36.7109375" style="917" customWidth="1"/>
    <col min="516" max="517" width="40.7109375" style="917" customWidth="1"/>
    <col min="518" max="520" width="18.7109375" style="917" customWidth="1"/>
    <col min="521" max="768" width="6.28515625" style="917"/>
    <col min="769" max="769" width="4.28515625" style="917" customWidth="1"/>
    <col min="770" max="770" width="18.7109375" style="917" customWidth="1"/>
    <col min="771" max="771" width="36.7109375" style="917" customWidth="1"/>
    <col min="772" max="773" width="40.7109375" style="917" customWidth="1"/>
    <col min="774" max="776" width="18.7109375" style="917" customWidth="1"/>
    <col min="777" max="1024" width="6.28515625" style="917"/>
    <col min="1025" max="1025" width="4.28515625" style="917" customWidth="1"/>
    <col min="1026" max="1026" width="18.7109375" style="917" customWidth="1"/>
    <col min="1027" max="1027" width="36.7109375" style="917" customWidth="1"/>
    <col min="1028" max="1029" width="40.7109375" style="917" customWidth="1"/>
    <col min="1030" max="1032" width="18.7109375" style="917" customWidth="1"/>
    <col min="1033" max="1280" width="6.28515625" style="917"/>
    <col min="1281" max="1281" width="4.28515625" style="917" customWidth="1"/>
    <col min="1282" max="1282" width="18.7109375" style="917" customWidth="1"/>
    <col min="1283" max="1283" width="36.7109375" style="917" customWidth="1"/>
    <col min="1284" max="1285" width="40.7109375" style="917" customWidth="1"/>
    <col min="1286" max="1288" width="18.7109375" style="917" customWidth="1"/>
    <col min="1289" max="1536" width="6.28515625" style="917"/>
    <col min="1537" max="1537" width="4.28515625" style="917" customWidth="1"/>
    <col min="1538" max="1538" width="18.7109375" style="917" customWidth="1"/>
    <col min="1539" max="1539" width="36.7109375" style="917" customWidth="1"/>
    <col min="1540" max="1541" width="40.7109375" style="917" customWidth="1"/>
    <col min="1542" max="1544" width="18.7109375" style="917" customWidth="1"/>
    <col min="1545" max="1792" width="6.28515625" style="917"/>
    <col min="1793" max="1793" width="4.28515625" style="917" customWidth="1"/>
    <col min="1794" max="1794" width="18.7109375" style="917" customWidth="1"/>
    <col min="1795" max="1795" width="36.7109375" style="917" customWidth="1"/>
    <col min="1796" max="1797" width="40.7109375" style="917" customWidth="1"/>
    <col min="1798" max="1800" width="18.7109375" style="917" customWidth="1"/>
    <col min="1801" max="2048" width="6.28515625" style="917"/>
    <col min="2049" max="2049" width="4.28515625" style="917" customWidth="1"/>
    <col min="2050" max="2050" width="18.7109375" style="917" customWidth="1"/>
    <col min="2051" max="2051" width="36.7109375" style="917" customWidth="1"/>
    <col min="2052" max="2053" width="40.7109375" style="917" customWidth="1"/>
    <col min="2054" max="2056" width="18.7109375" style="917" customWidth="1"/>
    <col min="2057" max="2304" width="6.28515625" style="917"/>
    <col min="2305" max="2305" width="4.28515625" style="917" customWidth="1"/>
    <col min="2306" max="2306" width="18.7109375" style="917" customWidth="1"/>
    <col min="2307" max="2307" width="36.7109375" style="917" customWidth="1"/>
    <col min="2308" max="2309" width="40.7109375" style="917" customWidth="1"/>
    <col min="2310" max="2312" width="18.7109375" style="917" customWidth="1"/>
    <col min="2313" max="2560" width="6.28515625" style="917"/>
    <col min="2561" max="2561" width="4.28515625" style="917" customWidth="1"/>
    <col min="2562" max="2562" width="18.7109375" style="917" customWidth="1"/>
    <col min="2563" max="2563" width="36.7109375" style="917" customWidth="1"/>
    <col min="2564" max="2565" width="40.7109375" style="917" customWidth="1"/>
    <col min="2566" max="2568" width="18.7109375" style="917" customWidth="1"/>
    <col min="2569" max="2816" width="6.28515625" style="917"/>
    <col min="2817" max="2817" width="4.28515625" style="917" customWidth="1"/>
    <col min="2818" max="2818" width="18.7109375" style="917" customWidth="1"/>
    <col min="2819" max="2819" width="36.7109375" style="917" customWidth="1"/>
    <col min="2820" max="2821" width="40.7109375" style="917" customWidth="1"/>
    <col min="2822" max="2824" width="18.7109375" style="917" customWidth="1"/>
    <col min="2825" max="3072" width="6.28515625" style="917"/>
    <col min="3073" max="3073" width="4.28515625" style="917" customWidth="1"/>
    <col min="3074" max="3074" width="18.7109375" style="917" customWidth="1"/>
    <col min="3075" max="3075" width="36.7109375" style="917" customWidth="1"/>
    <col min="3076" max="3077" width="40.7109375" style="917" customWidth="1"/>
    <col min="3078" max="3080" width="18.7109375" style="917" customWidth="1"/>
    <col min="3081" max="3328" width="6.28515625" style="917"/>
    <col min="3329" max="3329" width="4.28515625" style="917" customWidth="1"/>
    <col min="3330" max="3330" width="18.7109375" style="917" customWidth="1"/>
    <col min="3331" max="3331" width="36.7109375" style="917" customWidth="1"/>
    <col min="3332" max="3333" width="40.7109375" style="917" customWidth="1"/>
    <col min="3334" max="3336" width="18.7109375" style="917" customWidth="1"/>
    <col min="3337" max="3584" width="6.28515625" style="917"/>
    <col min="3585" max="3585" width="4.28515625" style="917" customWidth="1"/>
    <col min="3586" max="3586" width="18.7109375" style="917" customWidth="1"/>
    <col min="3587" max="3587" width="36.7109375" style="917" customWidth="1"/>
    <col min="3588" max="3589" width="40.7109375" style="917" customWidth="1"/>
    <col min="3590" max="3592" width="18.7109375" style="917" customWidth="1"/>
    <col min="3593" max="3840" width="6.28515625" style="917"/>
    <col min="3841" max="3841" width="4.28515625" style="917" customWidth="1"/>
    <col min="3842" max="3842" width="18.7109375" style="917" customWidth="1"/>
    <col min="3843" max="3843" width="36.7109375" style="917" customWidth="1"/>
    <col min="3844" max="3845" width="40.7109375" style="917" customWidth="1"/>
    <col min="3846" max="3848" width="18.7109375" style="917" customWidth="1"/>
    <col min="3849" max="4096" width="6.28515625" style="917"/>
    <col min="4097" max="4097" width="4.28515625" style="917" customWidth="1"/>
    <col min="4098" max="4098" width="18.7109375" style="917" customWidth="1"/>
    <col min="4099" max="4099" width="36.7109375" style="917" customWidth="1"/>
    <col min="4100" max="4101" width="40.7109375" style="917" customWidth="1"/>
    <col min="4102" max="4104" width="18.7109375" style="917" customWidth="1"/>
    <col min="4105" max="4352" width="6.28515625" style="917"/>
    <col min="4353" max="4353" width="4.28515625" style="917" customWidth="1"/>
    <col min="4354" max="4354" width="18.7109375" style="917" customWidth="1"/>
    <col min="4355" max="4355" width="36.7109375" style="917" customWidth="1"/>
    <col min="4356" max="4357" width="40.7109375" style="917" customWidth="1"/>
    <col min="4358" max="4360" width="18.7109375" style="917" customWidth="1"/>
    <col min="4361" max="4608" width="6.28515625" style="917"/>
    <col min="4609" max="4609" width="4.28515625" style="917" customWidth="1"/>
    <col min="4610" max="4610" width="18.7109375" style="917" customWidth="1"/>
    <col min="4611" max="4611" width="36.7109375" style="917" customWidth="1"/>
    <col min="4612" max="4613" width="40.7109375" style="917" customWidth="1"/>
    <col min="4614" max="4616" width="18.7109375" style="917" customWidth="1"/>
    <col min="4617" max="4864" width="6.28515625" style="917"/>
    <col min="4865" max="4865" width="4.28515625" style="917" customWidth="1"/>
    <col min="4866" max="4866" width="18.7109375" style="917" customWidth="1"/>
    <col min="4867" max="4867" width="36.7109375" style="917" customWidth="1"/>
    <col min="4868" max="4869" width="40.7109375" style="917" customWidth="1"/>
    <col min="4870" max="4872" width="18.7109375" style="917" customWidth="1"/>
    <col min="4873" max="5120" width="6.28515625" style="917"/>
    <col min="5121" max="5121" width="4.28515625" style="917" customWidth="1"/>
    <col min="5122" max="5122" width="18.7109375" style="917" customWidth="1"/>
    <col min="5123" max="5123" width="36.7109375" style="917" customWidth="1"/>
    <col min="5124" max="5125" width="40.7109375" style="917" customWidth="1"/>
    <col min="5126" max="5128" width="18.7109375" style="917" customWidth="1"/>
    <col min="5129" max="5376" width="6.28515625" style="917"/>
    <col min="5377" max="5377" width="4.28515625" style="917" customWidth="1"/>
    <col min="5378" max="5378" width="18.7109375" style="917" customWidth="1"/>
    <col min="5379" max="5379" width="36.7109375" style="917" customWidth="1"/>
    <col min="5380" max="5381" width="40.7109375" style="917" customWidth="1"/>
    <col min="5382" max="5384" width="18.7109375" style="917" customWidth="1"/>
    <col min="5385" max="5632" width="6.28515625" style="917"/>
    <col min="5633" max="5633" width="4.28515625" style="917" customWidth="1"/>
    <col min="5634" max="5634" width="18.7109375" style="917" customWidth="1"/>
    <col min="5635" max="5635" width="36.7109375" style="917" customWidth="1"/>
    <col min="5636" max="5637" width="40.7109375" style="917" customWidth="1"/>
    <col min="5638" max="5640" width="18.7109375" style="917" customWidth="1"/>
    <col min="5641" max="5888" width="6.28515625" style="917"/>
    <col min="5889" max="5889" width="4.28515625" style="917" customWidth="1"/>
    <col min="5890" max="5890" width="18.7109375" style="917" customWidth="1"/>
    <col min="5891" max="5891" width="36.7109375" style="917" customWidth="1"/>
    <col min="5892" max="5893" width="40.7109375" style="917" customWidth="1"/>
    <col min="5894" max="5896" width="18.7109375" style="917" customWidth="1"/>
    <col min="5897" max="6144" width="6.28515625" style="917"/>
    <col min="6145" max="6145" width="4.28515625" style="917" customWidth="1"/>
    <col min="6146" max="6146" width="18.7109375" style="917" customWidth="1"/>
    <col min="6147" max="6147" width="36.7109375" style="917" customWidth="1"/>
    <col min="6148" max="6149" width="40.7109375" style="917" customWidth="1"/>
    <col min="6150" max="6152" width="18.7109375" style="917" customWidth="1"/>
    <col min="6153" max="6400" width="6.28515625" style="917"/>
    <col min="6401" max="6401" width="4.28515625" style="917" customWidth="1"/>
    <col min="6402" max="6402" width="18.7109375" style="917" customWidth="1"/>
    <col min="6403" max="6403" width="36.7109375" style="917" customWidth="1"/>
    <col min="6404" max="6405" width="40.7109375" style="917" customWidth="1"/>
    <col min="6406" max="6408" width="18.7109375" style="917" customWidth="1"/>
    <col min="6409" max="6656" width="6.28515625" style="917"/>
    <col min="6657" max="6657" width="4.28515625" style="917" customWidth="1"/>
    <col min="6658" max="6658" width="18.7109375" style="917" customWidth="1"/>
    <col min="6659" max="6659" width="36.7109375" style="917" customWidth="1"/>
    <col min="6660" max="6661" width="40.7109375" style="917" customWidth="1"/>
    <col min="6662" max="6664" width="18.7109375" style="917" customWidth="1"/>
    <col min="6665" max="6912" width="6.28515625" style="917"/>
    <col min="6913" max="6913" width="4.28515625" style="917" customWidth="1"/>
    <col min="6914" max="6914" width="18.7109375" style="917" customWidth="1"/>
    <col min="6915" max="6915" width="36.7109375" style="917" customWidth="1"/>
    <col min="6916" max="6917" width="40.7109375" style="917" customWidth="1"/>
    <col min="6918" max="6920" width="18.7109375" style="917" customWidth="1"/>
    <col min="6921" max="7168" width="6.28515625" style="917"/>
    <col min="7169" max="7169" width="4.28515625" style="917" customWidth="1"/>
    <col min="7170" max="7170" width="18.7109375" style="917" customWidth="1"/>
    <col min="7171" max="7171" width="36.7109375" style="917" customWidth="1"/>
    <col min="7172" max="7173" width="40.7109375" style="917" customWidth="1"/>
    <col min="7174" max="7176" width="18.7109375" style="917" customWidth="1"/>
    <col min="7177" max="7424" width="6.28515625" style="917"/>
    <col min="7425" max="7425" width="4.28515625" style="917" customWidth="1"/>
    <col min="7426" max="7426" width="18.7109375" style="917" customWidth="1"/>
    <col min="7427" max="7427" width="36.7109375" style="917" customWidth="1"/>
    <col min="7428" max="7429" width="40.7109375" style="917" customWidth="1"/>
    <col min="7430" max="7432" width="18.7109375" style="917" customWidth="1"/>
    <col min="7433" max="7680" width="6.28515625" style="917"/>
    <col min="7681" max="7681" width="4.28515625" style="917" customWidth="1"/>
    <col min="7682" max="7682" width="18.7109375" style="917" customWidth="1"/>
    <col min="7683" max="7683" width="36.7109375" style="917" customWidth="1"/>
    <col min="7684" max="7685" width="40.7109375" style="917" customWidth="1"/>
    <col min="7686" max="7688" width="18.7109375" style="917" customWidth="1"/>
    <col min="7689" max="7936" width="6.28515625" style="917"/>
    <col min="7937" max="7937" width="4.28515625" style="917" customWidth="1"/>
    <col min="7938" max="7938" width="18.7109375" style="917" customWidth="1"/>
    <col min="7939" max="7939" width="36.7109375" style="917" customWidth="1"/>
    <col min="7940" max="7941" width="40.7109375" style="917" customWidth="1"/>
    <col min="7942" max="7944" width="18.7109375" style="917" customWidth="1"/>
    <col min="7945" max="8192" width="6.28515625" style="917"/>
    <col min="8193" max="8193" width="4.28515625" style="917" customWidth="1"/>
    <col min="8194" max="8194" width="18.7109375" style="917" customWidth="1"/>
    <col min="8195" max="8195" width="36.7109375" style="917" customWidth="1"/>
    <col min="8196" max="8197" width="40.7109375" style="917" customWidth="1"/>
    <col min="8198" max="8200" width="18.7109375" style="917" customWidth="1"/>
    <col min="8201" max="8448" width="6.28515625" style="917"/>
    <col min="8449" max="8449" width="4.28515625" style="917" customWidth="1"/>
    <col min="8450" max="8450" width="18.7109375" style="917" customWidth="1"/>
    <col min="8451" max="8451" width="36.7109375" style="917" customWidth="1"/>
    <col min="8452" max="8453" width="40.7109375" style="917" customWidth="1"/>
    <col min="8454" max="8456" width="18.7109375" style="917" customWidth="1"/>
    <col min="8457" max="8704" width="6.28515625" style="917"/>
    <col min="8705" max="8705" width="4.28515625" style="917" customWidth="1"/>
    <col min="8706" max="8706" width="18.7109375" style="917" customWidth="1"/>
    <col min="8707" max="8707" width="36.7109375" style="917" customWidth="1"/>
    <col min="8708" max="8709" width="40.7109375" style="917" customWidth="1"/>
    <col min="8710" max="8712" width="18.7109375" style="917" customWidth="1"/>
    <col min="8713" max="8960" width="6.28515625" style="917"/>
    <col min="8961" max="8961" width="4.28515625" style="917" customWidth="1"/>
    <col min="8962" max="8962" width="18.7109375" style="917" customWidth="1"/>
    <col min="8963" max="8963" width="36.7109375" style="917" customWidth="1"/>
    <col min="8964" max="8965" width="40.7109375" style="917" customWidth="1"/>
    <col min="8966" max="8968" width="18.7109375" style="917" customWidth="1"/>
    <col min="8969" max="9216" width="6.28515625" style="917"/>
    <col min="9217" max="9217" width="4.28515625" style="917" customWidth="1"/>
    <col min="9218" max="9218" width="18.7109375" style="917" customWidth="1"/>
    <col min="9219" max="9219" width="36.7109375" style="917" customWidth="1"/>
    <col min="9220" max="9221" width="40.7109375" style="917" customWidth="1"/>
    <col min="9222" max="9224" width="18.7109375" style="917" customWidth="1"/>
    <col min="9225" max="9472" width="6.28515625" style="917"/>
    <col min="9473" max="9473" width="4.28515625" style="917" customWidth="1"/>
    <col min="9474" max="9474" width="18.7109375" style="917" customWidth="1"/>
    <col min="9475" max="9475" width="36.7109375" style="917" customWidth="1"/>
    <col min="9476" max="9477" width="40.7109375" style="917" customWidth="1"/>
    <col min="9478" max="9480" width="18.7109375" style="917" customWidth="1"/>
    <col min="9481" max="9728" width="6.28515625" style="917"/>
    <col min="9729" max="9729" width="4.28515625" style="917" customWidth="1"/>
    <col min="9730" max="9730" width="18.7109375" style="917" customWidth="1"/>
    <col min="9731" max="9731" width="36.7109375" style="917" customWidth="1"/>
    <col min="9732" max="9733" width="40.7109375" style="917" customWidth="1"/>
    <col min="9734" max="9736" width="18.7109375" style="917" customWidth="1"/>
    <col min="9737" max="9984" width="6.28515625" style="917"/>
    <col min="9985" max="9985" width="4.28515625" style="917" customWidth="1"/>
    <col min="9986" max="9986" width="18.7109375" style="917" customWidth="1"/>
    <col min="9987" max="9987" width="36.7109375" style="917" customWidth="1"/>
    <col min="9988" max="9989" width="40.7109375" style="917" customWidth="1"/>
    <col min="9990" max="9992" width="18.7109375" style="917" customWidth="1"/>
    <col min="9993" max="10240" width="6.28515625" style="917"/>
    <col min="10241" max="10241" width="4.28515625" style="917" customWidth="1"/>
    <col min="10242" max="10242" width="18.7109375" style="917" customWidth="1"/>
    <col min="10243" max="10243" width="36.7109375" style="917" customWidth="1"/>
    <col min="10244" max="10245" width="40.7109375" style="917" customWidth="1"/>
    <col min="10246" max="10248" width="18.7109375" style="917" customWidth="1"/>
    <col min="10249" max="10496" width="6.28515625" style="917"/>
    <col min="10497" max="10497" width="4.28515625" style="917" customWidth="1"/>
    <col min="10498" max="10498" width="18.7109375" style="917" customWidth="1"/>
    <col min="10499" max="10499" width="36.7109375" style="917" customWidth="1"/>
    <col min="10500" max="10501" width="40.7109375" style="917" customWidth="1"/>
    <col min="10502" max="10504" width="18.7109375" style="917" customWidth="1"/>
    <col min="10505" max="10752" width="6.28515625" style="917"/>
    <col min="10753" max="10753" width="4.28515625" style="917" customWidth="1"/>
    <col min="10754" max="10754" width="18.7109375" style="917" customWidth="1"/>
    <col min="10755" max="10755" width="36.7109375" style="917" customWidth="1"/>
    <col min="10756" max="10757" width="40.7109375" style="917" customWidth="1"/>
    <col min="10758" max="10760" width="18.7109375" style="917" customWidth="1"/>
    <col min="10761" max="11008" width="6.28515625" style="917"/>
    <col min="11009" max="11009" width="4.28515625" style="917" customWidth="1"/>
    <col min="11010" max="11010" width="18.7109375" style="917" customWidth="1"/>
    <col min="11011" max="11011" width="36.7109375" style="917" customWidth="1"/>
    <col min="11012" max="11013" width="40.7109375" style="917" customWidth="1"/>
    <col min="11014" max="11016" width="18.7109375" style="917" customWidth="1"/>
    <col min="11017" max="11264" width="6.28515625" style="917"/>
    <col min="11265" max="11265" width="4.28515625" style="917" customWidth="1"/>
    <col min="11266" max="11266" width="18.7109375" style="917" customWidth="1"/>
    <col min="11267" max="11267" width="36.7109375" style="917" customWidth="1"/>
    <col min="11268" max="11269" width="40.7109375" style="917" customWidth="1"/>
    <col min="11270" max="11272" width="18.7109375" style="917" customWidth="1"/>
    <col min="11273" max="11520" width="6.28515625" style="917"/>
    <col min="11521" max="11521" width="4.28515625" style="917" customWidth="1"/>
    <col min="11522" max="11522" width="18.7109375" style="917" customWidth="1"/>
    <col min="11523" max="11523" width="36.7109375" style="917" customWidth="1"/>
    <col min="11524" max="11525" width="40.7109375" style="917" customWidth="1"/>
    <col min="11526" max="11528" width="18.7109375" style="917" customWidth="1"/>
    <col min="11529" max="11776" width="6.28515625" style="917"/>
    <col min="11777" max="11777" width="4.28515625" style="917" customWidth="1"/>
    <col min="11778" max="11778" width="18.7109375" style="917" customWidth="1"/>
    <col min="11779" max="11779" width="36.7109375" style="917" customWidth="1"/>
    <col min="11780" max="11781" width="40.7109375" style="917" customWidth="1"/>
    <col min="11782" max="11784" width="18.7109375" style="917" customWidth="1"/>
    <col min="11785" max="12032" width="6.28515625" style="917"/>
    <col min="12033" max="12033" width="4.28515625" style="917" customWidth="1"/>
    <col min="12034" max="12034" width="18.7109375" style="917" customWidth="1"/>
    <col min="12035" max="12035" width="36.7109375" style="917" customWidth="1"/>
    <col min="12036" max="12037" width="40.7109375" style="917" customWidth="1"/>
    <col min="12038" max="12040" width="18.7109375" style="917" customWidth="1"/>
    <col min="12041" max="12288" width="6.28515625" style="917"/>
    <col min="12289" max="12289" width="4.28515625" style="917" customWidth="1"/>
    <col min="12290" max="12290" width="18.7109375" style="917" customWidth="1"/>
    <col min="12291" max="12291" width="36.7109375" style="917" customWidth="1"/>
    <col min="12292" max="12293" width="40.7109375" style="917" customWidth="1"/>
    <col min="12294" max="12296" width="18.7109375" style="917" customWidth="1"/>
    <col min="12297" max="12544" width="6.28515625" style="917"/>
    <col min="12545" max="12545" width="4.28515625" style="917" customWidth="1"/>
    <col min="12546" max="12546" width="18.7109375" style="917" customWidth="1"/>
    <col min="12547" max="12547" width="36.7109375" style="917" customWidth="1"/>
    <col min="12548" max="12549" width="40.7109375" style="917" customWidth="1"/>
    <col min="12550" max="12552" width="18.7109375" style="917" customWidth="1"/>
    <col min="12553" max="12800" width="6.28515625" style="917"/>
    <col min="12801" max="12801" width="4.28515625" style="917" customWidth="1"/>
    <col min="12802" max="12802" width="18.7109375" style="917" customWidth="1"/>
    <col min="12803" max="12803" width="36.7109375" style="917" customWidth="1"/>
    <col min="12804" max="12805" width="40.7109375" style="917" customWidth="1"/>
    <col min="12806" max="12808" width="18.7109375" style="917" customWidth="1"/>
    <col min="12809" max="13056" width="6.28515625" style="917"/>
    <col min="13057" max="13057" width="4.28515625" style="917" customWidth="1"/>
    <col min="13058" max="13058" width="18.7109375" style="917" customWidth="1"/>
    <col min="13059" max="13059" width="36.7109375" style="917" customWidth="1"/>
    <col min="13060" max="13061" width="40.7109375" style="917" customWidth="1"/>
    <col min="13062" max="13064" width="18.7109375" style="917" customWidth="1"/>
    <col min="13065" max="13312" width="6.28515625" style="917"/>
    <col min="13313" max="13313" width="4.28515625" style="917" customWidth="1"/>
    <col min="13314" max="13314" width="18.7109375" style="917" customWidth="1"/>
    <col min="13315" max="13315" width="36.7109375" style="917" customWidth="1"/>
    <col min="13316" max="13317" width="40.7109375" style="917" customWidth="1"/>
    <col min="13318" max="13320" width="18.7109375" style="917" customWidth="1"/>
    <col min="13321" max="13568" width="6.28515625" style="917"/>
    <col min="13569" max="13569" width="4.28515625" style="917" customWidth="1"/>
    <col min="13570" max="13570" width="18.7109375" style="917" customWidth="1"/>
    <col min="13571" max="13571" width="36.7109375" style="917" customWidth="1"/>
    <col min="13572" max="13573" width="40.7109375" style="917" customWidth="1"/>
    <col min="13574" max="13576" width="18.7109375" style="917" customWidth="1"/>
    <col min="13577" max="13824" width="6.28515625" style="917"/>
    <col min="13825" max="13825" width="4.28515625" style="917" customWidth="1"/>
    <col min="13826" max="13826" width="18.7109375" style="917" customWidth="1"/>
    <col min="13827" max="13827" width="36.7109375" style="917" customWidth="1"/>
    <col min="13828" max="13829" width="40.7109375" style="917" customWidth="1"/>
    <col min="13830" max="13832" width="18.7109375" style="917" customWidth="1"/>
    <col min="13833" max="14080" width="6.28515625" style="917"/>
    <col min="14081" max="14081" width="4.28515625" style="917" customWidth="1"/>
    <col min="14082" max="14082" width="18.7109375" style="917" customWidth="1"/>
    <col min="14083" max="14083" width="36.7109375" style="917" customWidth="1"/>
    <col min="14084" max="14085" width="40.7109375" style="917" customWidth="1"/>
    <col min="14086" max="14088" width="18.7109375" style="917" customWidth="1"/>
    <col min="14089" max="14336" width="6.28515625" style="917"/>
    <col min="14337" max="14337" width="4.28515625" style="917" customWidth="1"/>
    <col min="14338" max="14338" width="18.7109375" style="917" customWidth="1"/>
    <col min="14339" max="14339" width="36.7109375" style="917" customWidth="1"/>
    <col min="14340" max="14341" width="40.7109375" style="917" customWidth="1"/>
    <col min="14342" max="14344" width="18.7109375" style="917" customWidth="1"/>
    <col min="14345" max="14592" width="6.28515625" style="917"/>
    <col min="14593" max="14593" width="4.28515625" style="917" customWidth="1"/>
    <col min="14594" max="14594" width="18.7109375" style="917" customWidth="1"/>
    <col min="14595" max="14595" width="36.7109375" style="917" customWidth="1"/>
    <col min="14596" max="14597" width="40.7109375" style="917" customWidth="1"/>
    <col min="14598" max="14600" width="18.7109375" style="917" customWidth="1"/>
    <col min="14601" max="14848" width="6.28515625" style="917"/>
    <col min="14849" max="14849" width="4.28515625" style="917" customWidth="1"/>
    <col min="14850" max="14850" width="18.7109375" style="917" customWidth="1"/>
    <col min="14851" max="14851" width="36.7109375" style="917" customWidth="1"/>
    <col min="14852" max="14853" width="40.7109375" style="917" customWidth="1"/>
    <col min="14854" max="14856" width="18.7109375" style="917" customWidth="1"/>
    <col min="14857" max="15104" width="6.28515625" style="917"/>
    <col min="15105" max="15105" width="4.28515625" style="917" customWidth="1"/>
    <col min="15106" max="15106" width="18.7109375" style="917" customWidth="1"/>
    <col min="15107" max="15107" width="36.7109375" style="917" customWidth="1"/>
    <col min="15108" max="15109" width="40.7109375" style="917" customWidth="1"/>
    <col min="15110" max="15112" width="18.7109375" style="917" customWidth="1"/>
    <col min="15113" max="15360" width="6.28515625" style="917"/>
    <col min="15361" max="15361" width="4.28515625" style="917" customWidth="1"/>
    <col min="15362" max="15362" width="18.7109375" style="917" customWidth="1"/>
    <col min="15363" max="15363" width="36.7109375" style="917" customWidth="1"/>
    <col min="15364" max="15365" width="40.7109375" style="917" customWidth="1"/>
    <col min="15366" max="15368" width="18.7109375" style="917" customWidth="1"/>
    <col min="15369" max="15616" width="6.28515625" style="917"/>
    <col min="15617" max="15617" width="4.28515625" style="917" customWidth="1"/>
    <col min="15618" max="15618" width="18.7109375" style="917" customWidth="1"/>
    <col min="15619" max="15619" width="36.7109375" style="917" customWidth="1"/>
    <col min="15620" max="15621" width="40.7109375" style="917" customWidth="1"/>
    <col min="15622" max="15624" width="18.7109375" style="917" customWidth="1"/>
    <col min="15625" max="15872" width="6.28515625" style="917"/>
    <col min="15873" max="15873" width="4.28515625" style="917" customWidth="1"/>
    <col min="15874" max="15874" width="18.7109375" style="917" customWidth="1"/>
    <col min="15875" max="15875" width="36.7109375" style="917" customWidth="1"/>
    <col min="15876" max="15877" width="40.7109375" style="917" customWidth="1"/>
    <col min="15878" max="15880" width="18.7109375" style="917" customWidth="1"/>
    <col min="15881" max="16128" width="6.28515625" style="917"/>
    <col min="16129" max="16129" width="4.28515625" style="917" customWidth="1"/>
    <col min="16130" max="16130" width="18.7109375" style="917" customWidth="1"/>
    <col min="16131" max="16131" width="36.7109375" style="917" customWidth="1"/>
    <col min="16132" max="16133" width="40.7109375" style="917" customWidth="1"/>
    <col min="16134" max="16136" width="18.7109375" style="917" customWidth="1"/>
    <col min="16137" max="16384" width="6.28515625" style="917"/>
  </cols>
  <sheetData>
    <row r="1" spans="2:9" s="911" customFormat="1" ht="13.5" thickBot="1" x14ac:dyDescent="0.25">
      <c r="B1" s="912"/>
      <c r="C1" s="912"/>
      <c r="D1" s="912"/>
      <c r="E1" s="912"/>
      <c r="F1" s="912"/>
      <c r="G1" s="912"/>
      <c r="H1" s="912"/>
      <c r="I1" s="918"/>
    </row>
    <row r="2" spans="2:9" s="911" customFormat="1" ht="26.25" customHeight="1" x14ac:dyDescent="0.2">
      <c r="B2" s="884"/>
      <c r="C2" s="1122" t="s">
        <v>1982</v>
      </c>
      <c r="D2" s="1123"/>
      <c r="E2" s="1123"/>
      <c r="F2" s="1123"/>
      <c r="G2" s="1124"/>
      <c r="H2" s="885"/>
      <c r="I2" s="918"/>
    </row>
    <row r="3" spans="2:9" s="911" customFormat="1" ht="20.100000000000001" customHeight="1" x14ac:dyDescent="0.2">
      <c r="B3" s="886"/>
      <c r="C3" s="1125" t="s">
        <v>1993</v>
      </c>
      <c r="D3" s="1126"/>
      <c r="E3" s="1126"/>
      <c r="F3" s="1126"/>
      <c r="G3" s="1127"/>
      <c r="H3" s="887"/>
      <c r="I3" s="918"/>
    </row>
    <row r="4" spans="2:9" s="911" customFormat="1" ht="20.100000000000001" customHeight="1" x14ac:dyDescent="0.2">
      <c r="B4" s="886"/>
      <c r="C4" s="1128"/>
      <c r="D4" s="1129"/>
      <c r="E4" s="1129"/>
      <c r="F4" s="1129"/>
      <c r="G4" s="1130"/>
      <c r="H4" s="888"/>
      <c r="I4" s="918"/>
    </row>
    <row r="5" spans="2:9" s="911" customFormat="1" ht="13.15" customHeight="1" x14ac:dyDescent="0.2">
      <c r="B5" s="1131" t="s">
        <v>1983</v>
      </c>
      <c r="C5" s="1133">
        <v>44105.458333333336</v>
      </c>
      <c r="D5" s="1135" t="s">
        <v>2780</v>
      </c>
      <c r="E5" s="1135"/>
      <c r="F5" s="1137" t="s">
        <v>1984</v>
      </c>
      <c r="G5" s="1139">
        <v>44105.5</v>
      </c>
      <c r="H5" s="1140">
        <v>43956</v>
      </c>
      <c r="I5" s="918"/>
    </row>
    <row r="6" spans="2:9" s="911" customFormat="1" ht="13.15" customHeight="1" thickBot="1" x14ac:dyDescent="0.25">
      <c r="B6" s="1132"/>
      <c r="C6" s="1134"/>
      <c r="D6" s="1136"/>
      <c r="E6" s="1136"/>
      <c r="F6" s="1138"/>
      <c r="G6" s="1141"/>
      <c r="H6" s="1142"/>
      <c r="I6" s="918"/>
    </row>
    <row r="7" spans="2:9" s="913" customFormat="1" ht="10.5" customHeight="1" thickBot="1" x14ac:dyDescent="0.25">
      <c r="B7" s="889"/>
      <c r="C7" s="889"/>
      <c r="D7" s="889"/>
      <c r="E7" s="889"/>
      <c r="F7" s="889"/>
      <c r="G7" s="889"/>
      <c r="H7" s="889"/>
      <c r="I7" s="919"/>
    </row>
    <row r="8" spans="2:9" s="914" customFormat="1" ht="18" x14ac:dyDescent="0.25">
      <c r="B8" s="1118" t="s">
        <v>1985</v>
      </c>
      <c r="C8" s="1120" t="s">
        <v>1986</v>
      </c>
      <c r="D8" s="1120" t="s">
        <v>1987</v>
      </c>
      <c r="E8" s="924" t="s">
        <v>1988</v>
      </c>
      <c r="F8" s="925"/>
      <c r="G8" s="925"/>
      <c r="H8" s="926"/>
      <c r="I8" s="920"/>
    </row>
    <row r="9" spans="2:9" s="914" customFormat="1" ht="16.5" thickBot="1" x14ac:dyDescent="0.3">
      <c r="B9" s="1119"/>
      <c r="C9" s="1121"/>
      <c r="D9" s="1121"/>
      <c r="E9" s="927" t="s">
        <v>1989</v>
      </c>
      <c r="F9" s="928" t="s">
        <v>1990</v>
      </c>
      <c r="G9" s="928" t="s">
        <v>1991</v>
      </c>
      <c r="H9" s="929" t="s">
        <v>212</v>
      </c>
      <c r="I9" s="920"/>
    </row>
    <row r="10" spans="2:9" s="915" customFormat="1" ht="30" customHeight="1" x14ac:dyDescent="0.25">
      <c r="B10" s="1103">
        <v>1</v>
      </c>
      <c r="C10" s="1116" t="s">
        <v>2781</v>
      </c>
      <c r="D10" s="1116" t="s">
        <v>2782</v>
      </c>
      <c r="E10" s="1115" t="s">
        <v>2784</v>
      </c>
      <c r="F10" s="1109" t="s">
        <v>2785</v>
      </c>
      <c r="G10" s="1112">
        <v>44135</v>
      </c>
      <c r="H10" s="1094" t="s">
        <v>2786</v>
      </c>
      <c r="I10" s="921"/>
    </row>
    <row r="11" spans="2:9" s="915" customFormat="1" ht="30" customHeight="1" x14ac:dyDescent="0.25">
      <c r="B11" s="1104"/>
      <c r="C11" s="1116"/>
      <c r="D11" s="1116"/>
      <c r="E11" s="1116"/>
      <c r="F11" s="1110"/>
      <c r="G11" s="1113"/>
      <c r="H11" s="1095"/>
      <c r="I11" s="921"/>
    </row>
    <row r="12" spans="2:9" s="915" customFormat="1" ht="30" customHeight="1" x14ac:dyDescent="0.25">
      <c r="B12" s="1104"/>
      <c r="C12" s="1116"/>
      <c r="D12" s="1116"/>
      <c r="E12" s="1116"/>
      <c r="F12" s="1110"/>
      <c r="G12" s="1113"/>
      <c r="H12" s="1095"/>
      <c r="I12" s="921"/>
    </row>
    <row r="13" spans="2:9" s="915" customFormat="1" ht="46.5" customHeight="1" x14ac:dyDescent="0.25">
      <c r="B13" s="1105"/>
      <c r="C13" s="1117"/>
      <c r="D13" s="1117"/>
      <c r="E13" s="1117"/>
      <c r="F13" s="1111"/>
      <c r="G13" s="1114"/>
      <c r="H13" s="1096"/>
      <c r="I13" s="921"/>
    </row>
    <row r="14" spans="2:9" s="916" customFormat="1" ht="30" customHeight="1" x14ac:dyDescent="0.2">
      <c r="B14" s="1103">
        <v>2</v>
      </c>
      <c r="C14" s="1106" t="s">
        <v>2783</v>
      </c>
      <c r="D14" s="1106"/>
      <c r="E14" s="1106" t="s">
        <v>2787</v>
      </c>
      <c r="F14" s="1109" t="s">
        <v>2785</v>
      </c>
      <c r="G14" s="1112">
        <v>44165</v>
      </c>
      <c r="H14" s="1094" t="s">
        <v>2788</v>
      </c>
      <c r="I14" s="922"/>
    </row>
    <row r="15" spans="2:9" s="916" customFormat="1" ht="30" customHeight="1" x14ac:dyDescent="0.2">
      <c r="B15" s="1104"/>
      <c r="C15" s="1107"/>
      <c r="D15" s="1107"/>
      <c r="E15" s="1107"/>
      <c r="F15" s="1110"/>
      <c r="G15" s="1113"/>
      <c r="H15" s="1095"/>
      <c r="I15" s="922"/>
    </row>
    <row r="16" spans="2:9" s="916" customFormat="1" ht="65.25" customHeight="1" x14ac:dyDescent="0.2">
      <c r="B16" s="1105"/>
      <c r="C16" s="1108"/>
      <c r="D16" s="1108"/>
      <c r="E16" s="1108"/>
      <c r="F16" s="1111"/>
      <c r="G16" s="1114"/>
      <c r="H16" s="1096"/>
      <c r="I16" s="922"/>
    </row>
    <row r="17" spans="2:9" s="916" customFormat="1" ht="30" customHeight="1" x14ac:dyDescent="0.2">
      <c r="B17" s="1103"/>
      <c r="C17" s="1106"/>
      <c r="D17" s="1106"/>
      <c r="E17" s="1106"/>
      <c r="F17" s="1109"/>
      <c r="G17" s="1112"/>
      <c r="H17" s="1094"/>
      <c r="I17" s="922"/>
    </row>
    <row r="18" spans="2:9" s="916" customFormat="1" ht="30" customHeight="1" x14ac:dyDescent="0.2">
      <c r="B18" s="1104"/>
      <c r="C18" s="1107"/>
      <c r="D18" s="1107"/>
      <c r="E18" s="1107"/>
      <c r="F18" s="1110"/>
      <c r="G18" s="1113"/>
      <c r="H18" s="1095"/>
      <c r="I18" s="922"/>
    </row>
    <row r="19" spans="2:9" s="916" customFormat="1" ht="30" customHeight="1" x14ac:dyDescent="0.2">
      <c r="B19" s="1105"/>
      <c r="C19" s="1108"/>
      <c r="D19" s="1108"/>
      <c r="E19" s="1108"/>
      <c r="F19" s="1111"/>
      <c r="G19" s="1114"/>
      <c r="H19" s="1096"/>
      <c r="I19" s="922"/>
    </row>
    <row r="20" spans="2:9" s="916" customFormat="1" ht="30" customHeight="1" x14ac:dyDescent="0.2">
      <c r="B20" s="1103"/>
      <c r="C20" s="1106"/>
      <c r="D20" s="1106"/>
      <c r="E20" s="1106"/>
      <c r="F20" s="1109"/>
      <c r="G20" s="1112"/>
      <c r="H20" s="1094"/>
      <c r="I20" s="922"/>
    </row>
    <row r="21" spans="2:9" s="916" customFormat="1" ht="30" customHeight="1" x14ac:dyDescent="0.2">
      <c r="B21" s="1104"/>
      <c r="C21" s="1107"/>
      <c r="D21" s="1107"/>
      <c r="E21" s="1107"/>
      <c r="F21" s="1110"/>
      <c r="G21" s="1113"/>
      <c r="H21" s="1095"/>
      <c r="I21" s="922"/>
    </row>
    <row r="22" spans="2:9" s="916" customFormat="1" ht="30" customHeight="1" x14ac:dyDescent="0.2">
      <c r="B22" s="1105"/>
      <c r="C22" s="1108"/>
      <c r="D22" s="1108"/>
      <c r="E22" s="1108"/>
      <c r="F22" s="1111"/>
      <c r="G22" s="1114"/>
      <c r="H22" s="1096"/>
      <c r="I22" s="922"/>
    </row>
    <row r="23" spans="2:9" s="916" customFormat="1" ht="30" customHeight="1" x14ac:dyDescent="0.2">
      <c r="B23" s="1103"/>
      <c r="C23" s="1106"/>
      <c r="D23" s="1106"/>
      <c r="E23" s="1106"/>
      <c r="F23" s="1109"/>
      <c r="G23" s="1112"/>
      <c r="H23" s="1094"/>
      <c r="I23" s="922"/>
    </row>
    <row r="24" spans="2:9" s="916" customFormat="1" ht="30" customHeight="1" x14ac:dyDescent="0.2">
      <c r="B24" s="1104"/>
      <c r="C24" s="1107"/>
      <c r="D24" s="1107"/>
      <c r="E24" s="1107"/>
      <c r="F24" s="1110"/>
      <c r="G24" s="1113"/>
      <c r="H24" s="1095"/>
      <c r="I24" s="922"/>
    </row>
    <row r="25" spans="2:9" s="916" customFormat="1" ht="30" customHeight="1" x14ac:dyDescent="0.2">
      <c r="B25" s="1105"/>
      <c r="C25" s="1108"/>
      <c r="D25" s="1108"/>
      <c r="E25" s="1108"/>
      <c r="F25" s="1111"/>
      <c r="G25" s="1114"/>
      <c r="H25" s="1096"/>
      <c r="I25" s="922"/>
    </row>
    <row r="26" spans="2:9" s="916" customFormat="1" ht="30" customHeight="1" x14ac:dyDescent="0.2">
      <c r="B26" s="1103"/>
      <c r="C26" s="1106"/>
      <c r="D26" s="1106"/>
      <c r="E26" s="1106"/>
      <c r="F26" s="1109"/>
      <c r="G26" s="1112"/>
      <c r="H26" s="1094"/>
      <c r="I26" s="922"/>
    </row>
    <row r="27" spans="2:9" s="916" customFormat="1" ht="30" customHeight="1" x14ac:dyDescent="0.2">
      <c r="B27" s="1104"/>
      <c r="C27" s="1107"/>
      <c r="D27" s="1107"/>
      <c r="E27" s="1107"/>
      <c r="F27" s="1110"/>
      <c r="G27" s="1113"/>
      <c r="H27" s="1095"/>
      <c r="I27" s="922"/>
    </row>
    <row r="28" spans="2:9" s="916" customFormat="1" ht="30" customHeight="1" x14ac:dyDescent="0.2">
      <c r="B28" s="1105"/>
      <c r="C28" s="1108"/>
      <c r="D28" s="1108"/>
      <c r="E28" s="1108"/>
      <c r="F28" s="1111"/>
      <c r="G28" s="1114"/>
      <c r="H28" s="1096"/>
      <c r="I28" s="922"/>
    </row>
    <row r="29" spans="2:9" s="916" customFormat="1" ht="30" customHeight="1" x14ac:dyDescent="0.2">
      <c r="B29" s="1103"/>
      <c r="C29" s="1106"/>
      <c r="D29" s="1106"/>
      <c r="E29" s="1106"/>
      <c r="F29" s="1109"/>
      <c r="G29" s="1112"/>
      <c r="H29" s="1094"/>
      <c r="I29" s="922"/>
    </row>
    <row r="30" spans="2:9" s="916" customFormat="1" ht="30" customHeight="1" x14ac:dyDescent="0.2">
      <c r="B30" s="1104"/>
      <c r="C30" s="1107"/>
      <c r="D30" s="1107"/>
      <c r="E30" s="1107"/>
      <c r="F30" s="1110"/>
      <c r="G30" s="1113"/>
      <c r="H30" s="1095"/>
      <c r="I30" s="922"/>
    </row>
    <row r="31" spans="2:9" s="916" customFormat="1" ht="30" customHeight="1" x14ac:dyDescent="0.2">
      <c r="B31" s="1105"/>
      <c r="C31" s="1108"/>
      <c r="D31" s="1108"/>
      <c r="E31" s="1108"/>
      <c r="F31" s="1111"/>
      <c r="G31" s="1114"/>
      <c r="H31" s="1096"/>
      <c r="I31" s="922"/>
    </row>
    <row r="32" spans="2:9" s="916" customFormat="1" ht="30" customHeight="1" x14ac:dyDescent="0.2">
      <c r="B32" s="1103"/>
      <c r="C32" s="1106"/>
      <c r="D32" s="1106"/>
      <c r="E32" s="1106"/>
      <c r="F32" s="1109"/>
      <c r="G32" s="1112"/>
      <c r="H32" s="1094"/>
      <c r="I32" s="922"/>
    </row>
    <row r="33" spans="2:9" s="916" customFormat="1" ht="30" customHeight="1" x14ac:dyDescent="0.2">
      <c r="B33" s="1104"/>
      <c r="C33" s="1107"/>
      <c r="D33" s="1107"/>
      <c r="E33" s="1107"/>
      <c r="F33" s="1110"/>
      <c r="G33" s="1113"/>
      <c r="H33" s="1095"/>
      <c r="I33" s="922"/>
    </row>
    <row r="34" spans="2:9" s="916" customFormat="1" ht="30" customHeight="1" x14ac:dyDescent="0.2">
      <c r="B34" s="1105"/>
      <c r="C34" s="1108"/>
      <c r="D34" s="1108"/>
      <c r="E34" s="1108"/>
      <c r="F34" s="1111"/>
      <c r="G34" s="1114"/>
      <c r="H34" s="1096"/>
      <c r="I34" s="922"/>
    </row>
    <row r="35" spans="2:9" s="916" customFormat="1" ht="30" customHeight="1" x14ac:dyDescent="0.2">
      <c r="B35" s="1103"/>
      <c r="C35" s="1106"/>
      <c r="D35" s="1106"/>
      <c r="E35" s="1106"/>
      <c r="F35" s="1109"/>
      <c r="G35" s="1112"/>
      <c r="H35" s="1094"/>
      <c r="I35" s="922"/>
    </row>
    <row r="36" spans="2:9" s="916" customFormat="1" ht="30" customHeight="1" x14ac:dyDescent="0.2">
      <c r="B36" s="1104"/>
      <c r="C36" s="1107"/>
      <c r="D36" s="1107"/>
      <c r="E36" s="1107"/>
      <c r="F36" s="1110"/>
      <c r="G36" s="1113"/>
      <c r="H36" s="1095"/>
      <c r="I36" s="922"/>
    </row>
    <row r="37" spans="2:9" s="916" customFormat="1" ht="30" customHeight="1" x14ac:dyDescent="0.2">
      <c r="B37" s="1105"/>
      <c r="C37" s="1108"/>
      <c r="D37" s="1108"/>
      <c r="E37" s="1108"/>
      <c r="F37" s="1111"/>
      <c r="G37" s="1114"/>
      <c r="H37" s="1096"/>
      <c r="I37" s="922"/>
    </row>
    <row r="38" spans="2:9" s="916" customFormat="1" ht="30" customHeight="1" x14ac:dyDescent="0.2">
      <c r="B38" s="1103"/>
      <c r="C38" s="1106"/>
      <c r="D38" s="1106"/>
      <c r="E38" s="1106"/>
      <c r="F38" s="1109"/>
      <c r="G38" s="1112"/>
      <c r="H38" s="1094"/>
      <c r="I38" s="922"/>
    </row>
    <row r="39" spans="2:9" s="916" customFormat="1" ht="30" customHeight="1" x14ac:dyDescent="0.2">
      <c r="B39" s="1104"/>
      <c r="C39" s="1107"/>
      <c r="D39" s="1107"/>
      <c r="E39" s="1107"/>
      <c r="F39" s="1110"/>
      <c r="G39" s="1113"/>
      <c r="H39" s="1095"/>
      <c r="I39" s="922"/>
    </row>
    <row r="40" spans="2:9" s="916" customFormat="1" ht="30" customHeight="1" x14ac:dyDescent="0.2">
      <c r="B40" s="1105"/>
      <c r="C40" s="1108"/>
      <c r="D40" s="1108"/>
      <c r="E40" s="1108"/>
      <c r="F40" s="1111"/>
      <c r="G40" s="1114"/>
      <c r="H40" s="1096"/>
      <c r="I40" s="922"/>
    </row>
    <row r="41" spans="2:9" s="916" customFormat="1" ht="30" customHeight="1" x14ac:dyDescent="0.2">
      <c r="B41" s="1103"/>
      <c r="C41" s="1106"/>
      <c r="D41" s="1106"/>
      <c r="E41" s="1106"/>
      <c r="F41" s="1109"/>
      <c r="G41" s="1112"/>
      <c r="H41" s="1094"/>
      <c r="I41" s="922"/>
    </row>
    <row r="42" spans="2:9" s="916" customFormat="1" ht="30" customHeight="1" x14ac:dyDescent="0.2">
      <c r="B42" s="1104"/>
      <c r="C42" s="1107"/>
      <c r="D42" s="1107"/>
      <c r="E42" s="1107"/>
      <c r="F42" s="1110"/>
      <c r="G42" s="1113"/>
      <c r="H42" s="1095"/>
      <c r="I42" s="922"/>
    </row>
    <row r="43" spans="2:9" s="916" customFormat="1" ht="30" customHeight="1" x14ac:dyDescent="0.2">
      <c r="B43" s="1105"/>
      <c r="C43" s="1108"/>
      <c r="D43" s="1108"/>
      <c r="E43" s="1108"/>
      <c r="F43" s="1111"/>
      <c r="G43" s="1114"/>
      <c r="H43" s="1096"/>
      <c r="I43" s="922"/>
    </row>
    <row r="44" spans="2:9" s="916" customFormat="1" ht="30" customHeight="1" x14ac:dyDescent="0.2">
      <c r="B44" s="1103"/>
      <c r="C44" s="1106"/>
      <c r="D44" s="1106"/>
      <c r="E44" s="1106"/>
      <c r="F44" s="1109"/>
      <c r="G44" s="1112"/>
      <c r="H44" s="1094"/>
      <c r="I44" s="922"/>
    </row>
    <row r="45" spans="2:9" s="916" customFormat="1" ht="30" customHeight="1" x14ac:dyDescent="0.2">
      <c r="B45" s="1104"/>
      <c r="C45" s="1107"/>
      <c r="D45" s="1107"/>
      <c r="E45" s="1107"/>
      <c r="F45" s="1110"/>
      <c r="G45" s="1113"/>
      <c r="H45" s="1095"/>
      <c r="I45" s="922"/>
    </row>
    <row r="46" spans="2:9" s="916" customFormat="1" ht="30" customHeight="1" x14ac:dyDescent="0.2">
      <c r="B46" s="1105"/>
      <c r="C46" s="1108"/>
      <c r="D46" s="1108"/>
      <c r="E46" s="1108"/>
      <c r="F46" s="1111"/>
      <c r="G46" s="1114"/>
      <c r="H46" s="1096"/>
      <c r="I46" s="922"/>
    </row>
    <row r="47" spans="2:9" s="916" customFormat="1" ht="30" customHeight="1" x14ac:dyDescent="0.2">
      <c r="B47" s="1103"/>
      <c r="C47" s="1106"/>
      <c r="D47" s="1106"/>
      <c r="E47" s="1106"/>
      <c r="F47" s="1109"/>
      <c r="G47" s="1112"/>
      <c r="H47" s="1094"/>
      <c r="I47" s="922"/>
    </row>
    <row r="48" spans="2:9" s="916" customFormat="1" ht="30" customHeight="1" x14ac:dyDescent="0.2">
      <c r="B48" s="1104"/>
      <c r="C48" s="1107"/>
      <c r="D48" s="1107"/>
      <c r="E48" s="1107"/>
      <c r="F48" s="1110"/>
      <c r="G48" s="1113"/>
      <c r="H48" s="1095"/>
      <c r="I48" s="922"/>
    </row>
    <row r="49" spans="2:9" s="916" customFormat="1" ht="30" customHeight="1" x14ac:dyDescent="0.2">
      <c r="B49" s="1105"/>
      <c r="C49" s="1108"/>
      <c r="D49" s="1108"/>
      <c r="E49" s="1108"/>
      <c r="F49" s="1111"/>
      <c r="G49" s="1114"/>
      <c r="H49" s="1096"/>
      <c r="I49" s="922"/>
    </row>
    <row r="50" spans="2:9" s="916" customFormat="1" ht="30" customHeight="1" x14ac:dyDescent="0.2">
      <c r="B50" s="1002"/>
      <c r="C50" s="894"/>
      <c r="D50" s="894"/>
      <c r="E50" s="890"/>
      <c r="F50" s="891"/>
      <c r="G50" s="892"/>
      <c r="H50" s="893"/>
      <c r="I50" s="922"/>
    </row>
    <row r="51" spans="2:9" s="916" customFormat="1" ht="30" customHeight="1" thickBot="1" x14ac:dyDescent="0.25">
      <c r="B51" s="895"/>
      <c r="C51" s="896"/>
      <c r="D51" s="896"/>
      <c r="E51" s="897"/>
      <c r="F51" s="898"/>
      <c r="G51" s="899"/>
      <c r="H51" s="900"/>
      <c r="I51" s="922"/>
    </row>
    <row r="52" spans="2:9" s="913" customFormat="1" ht="10.5" customHeight="1" thickBot="1" x14ac:dyDescent="0.25">
      <c r="B52" s="889"/>
      <c r="C52" s="889"/>
      <c r="D52" s="889"/>
      <c r="E52" s="889"/>
      <c r="F52" s="889"/>
      <c r="G52" s="889"/>
      <c r="H52" s="889"/>
      <c r="I52" s="919"/>
    </row>
    <row r="53" spans="2:9" s="914" customFormat="1" ht="15.75" x14ac:dyDescent="0.25">
      <c r="B53" s="1097" t="s">
        <v>1992</v>
      </c>
      <c r="C53" s="1098"/>
      <c r="D53" s="1098"/>
      <c r="E53" s="1098"/>
      <c r="F53" s="1098"/>
      <c r="G53" s="1098"/>
      <c r="H53" s="1099"/>
      <c r="I53" s="920"/>
    </row>
    <row r="54" spans="2:9" s="914" customFormat="1" ht="16.5" thickBot="1" x14ac:dyDescent="0.3">
      <c r="B54" s="1100"/>
      <c r="C54" s="1101"/>
      <c r="D54" s="1101"/>
      <c r="E54" s="1101"/>
      <c r="F54" s="1101"/>
      <c r="G54" s="1101"/>
      <c r="H54" s="1102"/>
      <c r="I54" s="920"/>
    </row>
    <row r="55" spans="2:9" ht="13.5" thickBot="1" x14ac:dyDescent="0.25">
      <c r="B55" s="901"/>
      <c r="C55" s="901"/>
      <c r="D55" s="901"/>
      <c r="E55" s="901"/>
      <c r="F55" s="901"/>
      <c r="G55" s="901"/>
      <c r="H55" s="901"/>
    </row>
    <row r="56" spans="2:9" ht="30" customHeight="1" x14ac:dyDescent="0.2">
      <c r="B56" s="902"/>
      <c r="C56" s="903"/>
      <c r="D56" s="903"/>
      <c r="E56" s="903"/>
      <c r="F56" s="903"/>
      <c r="G56" s="903"/>
      <c r="H56" s="904"/>
    </row>
    <row r="57" spans="2:9" s="923" customFormat="1" ht="30" customHeight="1" x14ac:dyDescent="0.2">
      <c r="B57" s="905"/>
      <c r="C57" s="906"/>
      <c r="D57" s="906"/>
      <c r="E57" s="906"/>
      <c r="F57" s="906"/>
      <c r="G57" s="906"/>
      <c r="H57" s="907"/>
    </row>
    <row r="58" spans="2:9" s="923" customFormat="1" ht="30" customHeight="1" x14ac:dyDescent="0.2">
      <c r="B58" s="905"/>
      <c r="C58" s="906"/>
      <c r="D58" s="906"/>
      <c r="E58" s="906"/>
      <c r="F58" s="906"/>
      <c r="G58" s="906"/>
      <c r="H58" s="907"/>
    </row>
    <row r="59" spans="2:9" s="923" customFormat="1" ht="30" customHeight="1" x14ac:dyDescent="0.2">
      <c r="B59" s="905"/>
      <c r="C59" s="906"/>
      <c r="D59" s="906"/>
      <c r="E59" s="906"/>
      <c r="F59" s="906"/>
      <c r="G59" s="906"/>
      <c r="H59" s="907"/>
    </row>
    <row r="60" spans="2:9" s="923" customFormat="1" ht="30" customHeight="1" x14ac:dyDescent="0.2">
      <c r="B60" s="905"/>
      <c r="C60" s="906"/>
      <c r="D60" s="906"/>
      <c r="E60" s="906"/>
      <c r="F60" s="906"/>
      <c r="G60" s="906"/>
      <c r="H60" s="907"/>
    </row>
    <row r="61" spans="2:9" s="923" customFormat="1" ht="30" customHeight="1" x14ac:dyDescent="0.2">
      <c r="B61" s="905"/>
      <c r="C61" s="906"/>
      <c r="D61" s="906"/>
      <c r="E61" s="906"/>
      <c r="F61" s="906"/>
      <c r="G61" s="906"/>
      <c r="H61" s="907"/>
    </row>
    <row r="62" spans="2:9" s="923" customFormat="1" ht="30" customHeight="1" x14ac:dyDescent="0.2">
      <c r="B62" s="905"/>
      <c r="C62" s="906"/>
      <c r="D62" s="906"/>
      <c r="E62" s="906"/>
      <c r="F62" s="906"/>
      <c r="G62" s="906"/>
      <c r="H62" s="907"/>
    </row>
    <row r="63" spans="2:9" s="923" customFormat="1" ht="30" customHeight="1" x14ac:dyDescent="0.2">
      <c r="B63" s="905"/>
      <c r="C63" s="906"/>
      <c r="D63" s="906"/>
      <c r="E63" s="906"/>
      <c r="F63" s="906"/>
      <c r="G63" s="906"/>
      <c r="H63" s="907"/>
    </row>
    <row r="64" spans="2:9" s="923" customFormat="1" ht="30" customHeight="1" x14ac:dyDescent="0.2">
      <c r="B64" s="905"/>
      <c r="C64" s="906"/>
      <c r="D64" s="906"/>
      <c r="E64" s="906"/>
      <c r="F64" s="906"/>
      <c r="G64" s="906"/>
      <c r="H64" s="907"/>
    </row>
    <row r="65" spans="2:8" s="923" customFormat="1" ht="30" customHeight="1" x14ac:dyDescent="0.2">
      <c r="B65" s="905"/>
      <c r="C65" s="906"/>
      <c r="D65" s="906"/>
      <c r="E65" s="906"/>
      <c r="F65" s="906"/>
      <c r="G65" s="906"/>
      <c r="H65" s="907"/>
    </row>
    <row r="66" spans="2:8" s="923" customFormat="1" ht="30" customHeight="1" x14ac:dyDescent="0.2">
      <c r="B66" s="905"/>
      <c r="C66" s="906"/>
      <c r="D66" s="906"/>
      <c r="E66" s="906"/>
      <c r="F66" s="906"/>
      <c r="G66" s="906"/>
      <c r="H66" s="907"/>
    </row>
    <row r="67" spans="2:8" s="923" customFormat="1" ht="30" customHeight="1" x14ac:dyDescent="0.2">
      <c r="B67" s="905"/>
      <c r="C67" s="906"/>
      <c r="D67" s="906"/>
      <c r="E67" s="906"/>
      <c r="F67" s="906"/>
      <c r="G67" s="906"/>
      <c r="H67" s="907"/>
    </row>
    <row r="68" spans="2:8" s="923" customFormat="1" ht="30" customHeight="1" x14ac:dyDescent="0.2">
      <c r="B68" s="905"/>
      <c r="C68" s="906"/>
      <c r="D68" s="906"/>
      <c r="E68" s="906"/>
      <c r="F68" s="906"/>
      <c r="G68" s="906"/>
      <c r="H68" s="907"/>
    </row>
    <row r="69" spans="2:8" s="923" customFormat="1" ht="30" customHeight="1" x14ac:dyDescent="0.2">
      <c r="B69" s="905"/>
      <c r="C69" s="906"/>
      <c r="D69" s="906"/>
      <c r="E69" s="906"/>
      <c r="F69" s="906"/>
      <c r="G69" s="906"/>
      <c r="H69" s="907"/>
    </row>
    <row r="70" spans="2:8" s="923" customFormat="1" ht="30" customHeight="1" x14ac:dyDescent="0.2">
      <c r="B70" s="905"/>
      <c r="C70" s="906"/>
      <c r="D70" s="906"/>
      <c r="E70" s="906"/>
      <c r="F70" s="906"/>
      <c r="G70" s="906"/>
      <c r="H70" s="907"/>
    </row>
    <row r="71" spans="2:8" s="923" customFormat="1" ht="30" customHeight="1" x14ac:dyDescent="0.2">
      <c r="B71" s="905"/>
      <c r="C71" s="906"/>
      <c r="D71" s="906"/>
      <c r="E71" s="906"/>
      <c r="F71" s="906"/>
      <c r="G71" s="906"/>
      <c r="H71" s="907"/>
    </row>
    <row r="72" spans="2:8" s="923" customFormat="1" ht="30" customHeight="1" x14ac:dyDescent="0.2">
      <c r="B72" s="905"/>
      <c r="C72" s="906"/>
      <c r="D72" s="906"/>
      <c r="E72" s="906"/>
      <c r="F72" s="906"/>
      <c r="G72" s="906"/>
      <c r="H72" s="907"/>
    </row>
    <row r="73" spans="2:8" s="923" customFormat="1" ht="30" customHeight="1" x14ac:dyDescent="0.2">
      <c r="B73" s="905"/>
      <c r="C73" s="906"/>
      <c r="D73" s="906"/>
      <c r="E73" s="906"/>
      <c r="F73" s="906"/>
      <c r="G73" s="906"/>
      <c r="H73" s="907"/>
    </row>
    <row r="74" spans="2:8" s="923" customFormat="1" ht="30" customHeight="1" x14ac:dyDescent="0.2">
      <c r="B74" s="905"/>
      <c r="C74" s="906"/>
      <c r="D74" s="906"/>
      <c r="E74" s="906"/>
      <c r="F74" s="906"/>
      <c r="G74" s="906"/>
      <c r="H74" s="907"/>
    </row>
    <row r="75" spans="2:8" s="923" customFormat="1" ht="30" customHeight="1" thickBot="1" x14ac:dyDescent="0.25">
      <c r="B75" s="908"/>
      <c r="C75" s="909"/>
      <c r="D75" s="909"/>
      <c r="E75" s="909"/>
      <c r="F75" s="909"/>
      <c r="G75" s="909"/>
      <c r="H75" s="910"/>
    </row>
  </sheetData>
  <mergeCells count="102">
    <mergeCell ref="B8:B9"/>
    <mergeCell ref="C8:C9"/>
    <mergeCell ref="D8:D9"/>
    <mergeCell ref="B10:B13"/>
    <mergeCell ref="C10:C13"/>
    <mergeCell ref="D10:D13"/>
    <mergeCell ref="C2:G2"/>
    <mergeCell ref="C3:G4"/>
    <mergeCell ref="B5:B6"/>
    <mergeCell ref="C5:C6"/>
    <mergeCell ref="D5:E6"/>
    <mergeCell ref="F5:F6"/>
    <mergeCell ref="G5:H6"/>
    <mergeCell ref="H14:H16"/>
    <mergeCell ref="B17:B19"/>
    <mergeCell ref="C17:C19"/>
    <mergeCell ref="D17:D19"/>
    <mergeCell ref="E17:E19"/>
    <mergeCell ref="F17:F19"/>
    <mergeCell ref="G17:G19"/>
    <mergeCell ref="H17:H19"/>
    <mergeCell ref="E10:E13"/>
    <mergeCell ref="F10:F13"/>
    <mergeCell ref="G10:G13"/>
    <mergeCell ref="H10:H13"/>
    <mergeCell ref="B14:B16"/>
    <mergeCell ref="C14:C16"/>
    <mergeCell ref="D14:D16"/>
    <mergeCell ref="E14:E16"/>
    <mergeCell ref="F14:F16"/>
    <mergeCell ref="G14:G16"/>
    <mergeCell ref="H20:H22"/>
    <mergeCell ref="B23:B25"/>
    <mergeCell ref="C23:C25"/>
    <mergeCell ref="D23:D25"/>
    <mergeCell ref="E23:E25"/>
    <mergeCell ref="F23:F25"/>
    <mergeCell ref="G23:G25"/>
    <mergeCell ref="H23:H25"/>
    <mergeCell ref="B20:B22"/>
    <mergeCell ref="C20:C22"/>
    <mergeCell ref="D20:D22"/>
    <mergeCell ref="E20:E22"/>
    <mergeCell ref="F20:F22"/>
    <mergeCell ref="G20:G22"/>
    <mergeCell ref="H26:H28"/>
    <mergeCell ref="B29:B31"/>
    <mergeCell ref="C29:C31"/>
    <mergeCell ref="D29:D31"/>
    <mergeCell ref="E29:E31"/>
    <mergeCell ref="F29:F31"/>
    <mergeCell ref="G29:G31"/>
    <mergeCell ref="H29:H31"/>
    <mergeCell ref="B26:B28"/>
    <mergeCell ref="C26:C28"/>
    <mergeCell ref="D26:D28"/>
    <mergeCell ref="E26:E28"/>
    <mergeCell ref="F26:F28"/>
    <mergeCell ref="G26:G28"/>
    <mergeCell ref="H32:H34"/>
    <mergeCell ref="B35:B37"/>
    <mergeCell ref="C35:C37"/>
    <mergeCell ref="D35:D37"/>
    <mergeCell ref="E35:E37"/>
    <mergeCell ref="F35:F37"/>
    <mergeCell ref="G35:G37"/>
    <mergeCell ref="H35:H37"/>
    <mergeCell ref="B32:B34"/>
    <mergeCell ref="C32:C34"/>
    <mergeCell ref="D32:D34"/>
    <mergeCell ref="E32:E34"/>
    <mergeCell ref="F32:F34"/>
    <mergeCell ref="G32:G34"/>
    <mergeCell ref="H38:H40"/>
    <mergeCell ref="B41:B43"/>
    <mergeCell ref="C41:C43"/>
    <mergeCell ref="D41:D43"/>
    <mergeCell ref="E41:E43"/>
    <mergeCell ref="F41:F43"/>
    <mergeCell ref="G41:G43"/>
    <mergeCell ref="H41:H43"/>
    <mergeCell ref="B38:B40"/>
    <mergeCell ref="C38:C40"/>
    <mergeCell ref="D38:D40"/>
    <mergeCell ref="E38:E40"/>
    <mergeCell ref="F38:F40"/>
    <mergeCell ref="G38:G40"/>
    <mergeCell ref="B53:H54"/>
    <mergeCell ref="H44:H46"/>
    <mergeCell ref="B47:B49"/>
    <mergeCell ref="C47:C49"/>
    <mergeCell ref="D47:D49"/>
    <mergeCell ref="E47:E49"/>
    <mergeCell ref="F47:F49"/>
    <mergeCell ref="G47:G49"/>
    <mergeCell ref="H47:H49"/>
    <mergeCell ref="B44:B46"/>
    <mergeCell ref="C44:C46"/>
    <mergeCell ref="D44:D46"/>
    <mergeCell ref="E44:E46"/>
    <mergeCell ref="F44:F46"/>
    <mergeCell ref="G44:G46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"/>
  <sheetViews>
    <sheetView showGridLines="0" showZeros="0" zoomScale="60" zoomScaleNormal="60" workbookViewId="0">
      <selection activeCell="I11" sqref="I11"/>
    </sheetView>
  </sheetViews>
  <sheetFormatPr defaultColWidth="11.42578125" defaultRowHeight="12.75" x14ac:dyDescent="0.2"/>
  <cols>
    <col min="1" max="1" width="15" style="239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x14ac:dyDescent="0.2">
      <c r="O1" s="221"/>
      <c r="P1" s="221"/>
      <c r="Q1" s="221"/>
      <c r="R1" s="221"/>
      <c r="S1" s="221"/>
      <c r="T1" s="221"/>
      <c r="U1" s="221"/>
    </row>
    <row r="2" spans="1:22" ht="30" customHeight="1" x14ac:dyDescent="0.2">
      <c r="B2" s="233"/>
      <c r="C2" s="234"/>
      <c r="D2" s="1180" t="s">
        <v>295</v>
      </c>
      <c r="E2" s="1181"/>
      <c r="F2" s="1181"/>
      <c r="G2" s="1181"/>
      <c r="H2" s="1181"/>
      <c r="I2" s="1181"/>
      <c r="J2" s="1181"/>
      <c r="K2" s="1181"/>
      <c r="L2" s="1181"/>
      <c r="M2" s="1181"/>
      <c r="N2" s="1181"/>
      <c r="O2" s="1181"/>
      <c r="P2" s="1181"/>
      <c r="Q2" s="1181"/>
      <c r="R2" s="1181"/>
      <c r="S2" s="427"/>
      <c r="T2" s="221"/>
      <c r="U2" s="221"/>
    </row>
    <row r="3" spans="1:22" ht="30" customHeight="1" x14ac:dyDescent="0.2">
      <c r="B3" s="233"/>
      <c r="C3" s="233"/>
      <c r="D3" s="1180" t="s">
        <v>286</v>
      </c>
      <c r="E3" s="1181"/>
      <c r="F3" s="1181"/>
      <c r="G3" s="1181"/>
      <c r="H3" s="1181"/>
      <c r="I3" s="1181"/>
      <c r="J3" s="1181"/>
      <c r="K3" s="1181"/>
      <c r="L3" s="1181"/>
      <c r="M3" s="1181"/>
      <c r="N3" s="1181"/>
      <c r="O3" s="1181"/>
      <c r="P3" s="1181"/>
      <c r="Q3" s="1181"/>
      <c r="R3" s="1181"/>
      <c r="S3" s="427"/>
      <c r="T3" s="221"/>
      <c r="U3" s="221"/>
    </row>
    <row r="4" spans="1:22" s="224" customFormat="1" ht="9.9499999999999993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customHeight="1" x14ac:dyDescent="0.2">
      <c r="A5" s="241"/>
      <c r="B5" s="1185" t="str">
        <f>'Análise Física Macro'!$B$2</f>
        <v>ED. TREE</v>
      </c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1185"/>
      <c r="N5" s="1185"/>
      <c r="O5" s="1185"/>
      <c r="P5" s="1185"/>
      <c r="Q5" s="1185"/>
      <c r="R5" s="1185"/>
      <c r="S5" s="1185"/>
      <c r="T5" s="1185"/>
      <c r="U5" s="1185"/>
      <c r="V5" s="1185"/>
    </row>
    <row r="6" spans="1:22" s="226" customFormat="1" ht="16.5" customHeight="1" x14ac:dyDescent="0.2">
      <c r="A6" s="242"/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5"/>
      <c r="N6" s="1185"/>
      <c r="O6" s="1185"/>
      <c r="P6" s="1185"/>
      <c r="Q6" s="1185"/>
      <c r="R6" s="1185"/>
      <c r="S6" s="1185"/>
      <c r="T6" s="1185"/>
      <c r="U6" s="1185"/>
      <c r="V6" s="1185"/>
    </row>
    <row r="7" spans="1:22" s="224" customFormat="1" ht="9.9499999999999993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287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176" t="s">
        <v>727</v>
      </c>
      <c r="C9" s="1177" t="s">
        <v>2</v>
      </c>
      <c r="D9" s="1178"/>
      <c r="E9" s="1178"/>
      <c r="F9" s="1178"/>
      <c r="G9" s="1178"/>
      <c r="H9" s="1179"/>
      <c r="I9" s="1164" t="s">
        <v>25</v>
      </c>
      <c r="J9" s="1165"/>
      <c r="K9" s="1164" t="s">
        <v>288</v>
      </c>
      <c r="L9" s="1184"/>
      <c r="M9" s="1182">
        <f>'Análise Física Macro'!$O$4+28</f>
        <v>44163</v>
      </c>
      <c r="N9" s="1187"/>
      <c r="O9" s="1160" t="s">
        <v>726</v>
      </c>
      <c r="P9" s="1161"/>
      <c r="Q9" s="1161"/>
      <c r="R9" s="1161"/>
      <c r="S9" s="1161"/>
      <c r="T9" s="1161"/>
      <c r="U9" s="1161"/>
      <c r="V9" s="1161"/>
    </row>
    <row r="10" spans="1:22" s="231" customFormat="1" ht="30" customHeight="1" x14ac:dyDescent="0.2">
      <c r="A10" s="244"/>
      <c r="B10" s="1151"/>
      <c r="C10" s="1155"/>
      <c r="D10" s="1156"/>
      <c r="E10" s="1156"/>
      <c r="F10" s="1156"/>
      <c r="G10" s="1156"/>
      <c r="H10" s="1157"/>
      <c r="I10" s="418" t="s">
        <v>292</v>
      </c>
      <c r="J10" s="418" t="s">
        <v>290</v>
      </c>
      <c r="K10" s="419" t="s">
        <v>292</v>
      </c>
      <c r="L10" s="420" t="s">
        <v>290</v>
      </c>
      <c r="M10" s="419" t="s">
        <v>291</v>
      </c>
      <c r="N10" s="420" t="s">
        <v>293</v>
      </c>
      <c r="O10" s="1160"/>
      <c r="P10" s="1161"/>
      <c r="Q10" s="1161"/>
      <c r="R10" s="1161"/>
      <c r="S10" s="1161"/>
      <c r="T10" s="1161"/>
      <c r="U10" s="1161"/>
      <c r="V10" s="1161"/>
    </row>
    <row r="11" spans="1:22" s="231" customFormat="1" ht="47.25" customHeight="1" x14ac:dyDescent="0.2">
      <c r="A11" s="245">
        <v>1</v>
      </c>
      <c r="B11" s="421" t="str">
        <f>IF($A11&gt;MAX('Análise Física Detalhada'!$B$13:$B$380),"",VLOOKUP($A11,'Análise Física Detalhada'!$B$13:$E$380,4,0))</f>
        <v xml:space="preserve">05.002.000.003 </v>
      </c>
      <c r="C11" s="1166" t="str">
        <f>IF(B11="","",VLOOKUP($B11,'Análise Física Detalhada'!$E$13:$AB$380,2,0))</f>
        <v>Concreto usinado Fck = 20 Mpa Bombeado - Tubulão</v>
      </c>
      <c r="D11" s="1167"/>
      <c r="E11" s="1167"/>
      <c r="F11" s="1167"/>
      <c r="G11" s="1167"/>
      <c r="H11" s="1168"/>
      <c r="I11" s="422">
        <f>IF(B11="","",VLOOKUP($B11,'Análise Física Detalhada'!$E$13:$AB$380,8,0))</f>
        <v>0.81810000000000005</v>
      </c>
      <c r="J11" s="423">
        <f>IF(B11="","",VLOOKUP($B11,'Análise Física Detalhada'!$E$13:$AB$380,9,0))</f>
        <v>479.63566800000001</v>
      </c>
      <c r="K11" s="424">
        <f>IF(B11="","",VLOOKUP($B11,'Análise Física Detalhada'!$E$13:$AB$380,12,0))</f>
        <v>0.71</v>
      </c>
      <c r="L11" s="425">
        <f>IF(B11="","",VLOOKUP($B11,'Análise Física Detalhada'!$E$13:$AB$380,13,0))</f>
        <v>416.25879999999995</v>
      </c>
      <c r="M11" s="426">
        <f>IF($B11="","",VLOOKUP($B11,Plan3!$A$16:$CT$384,HLOOKUP('Análise Física Macro'!$O$4,Plan3!$A$10:$CH$12,3)+3,0)/100)</f>
        <v>0.18190000000000001</v>
      </c>
      <c r="N11" s="428">
        <f>IF($B11="","",VLOOKUP($B11,Plan3!$A$16:$CT$384,HLOOKUP('Análise Física Macro'!$O$4,Plan3!$A$10:$CH$12,3)+4,0)/100)</f>
        <v>1</v>
      </c>
      <c r="O11" s="1162"/>
      <c r="P11" s="1162"/>
      <c r="Q11" s="1162"/>
      <c r="R11" s="1162"/>
      <c r="S11" s="1162"/>
      <c r="T11" s="1162"/>
      <c r="U11" s="1162"/>
      <c r="V11" s="1162"/>
    </row>
    <row r="12" spans="1:22" s="231" customFormat="1" ht="30" customHeight="1" x14ac:dyDescent="0.2">
      <c r="A12" s="245">
        <v>2</v>
      </c>
      <c r="B12" s="421" t="str">
        <f>IF($A12&gt;MAX('Análise Física Detalhada'!$B$13:$B$380),"",VLOOKUP($A12,'Análise Física Detalhada'!$B$13:$E$380,4,0))</f>
        <v xml:space="preserve">05.001.000.005 </v>
      </c>
      <c r="C12" s="1166" t="str">
        <f>IF(B12="","",VLOOKUP($B12,'Análise Física Detalhada'!$E$13:$AB$380,2,0))</f>
        <v>Armação aço CA-50/60 - Blocos e cintas</v>
      </c>
      <c r="D12" s="1167"/>
      <c r="E12" s="1167"/>
      <c r="F12" s="1167"/>
      <c r="G12" s="1167"/>
      <c r="H12" s="1168"/>
      <c r="I12" s="422">
        <f>IF(B12="","",VLOOKUP($B12,'Análise Física Detalhada'!$E$13:$AB$380,8,0))</f>
        <v>0.38780000000000003</v>
      </c>
      <c r="J12" s="423">
        <f>IF(B12="","",VLOOKUP($B12,'Análise Física Detalhada'!$E$13:$AB$380,9,0))</f>
        <v>2688.6523020000004</v>
      </c>
      <c r="K12" s="424">
        <f>IF(B12="","",VLOOKUP($B12,'Análise Física Detalhada'!$E$13:$AB$380,12,0))</f>
        <v>0</v>
      </c>
      <c r="L12" s="425">
        <f>IF(B12="","",VLOOKUP($B12,'Análise Física Detalhada'!$E$13:$AB$380,13,0))</f>
        <v>0</v>
      </c>
      <c r="M12" s="426">
        <f>IF($B12="","",VLOOKUP($B12,Plan3!$A$16:$CT$384,HLOOKUP('Análise Física Macro'!$O$4,Plan3!$A$10:$CH$12,3)+3,0)/100)</f>
        <v>0.40810000000000002</v>
      </c>
      <c r="N12" s="428">
        <f>IF($B12="","",VLOOKUP($B12,Plan3!$A$16:$CT$384,HLOOKUP('Análise Física Macro'!$O$4,Plan3!$A$10:$CH$12,3)+4,0)/100)</f>
        <v>0.79590000000000005</v>
      </c>
      <c r="O12" s="1163"/>
      <c r="P12" s="1163"/>
      <c r="Q12" s="1163"/>
      <c r="R12" s="1163"/>
      <c r="S12" s="1163"/>
      <c r="T12" s="1163"/>
      <c r="U12" s="1163"/>
      <c r="V12" s="1163"/>
    </row>
    <row r="13" spans="1:22" s="231" customFormat="1" ht="30" customHeight="1" x14ac:dyDescent="0.2">
      <c r="A13" s="245">
        <v>3</v>
      </c>
      <c r="B13" s="421" t="str">
        <f>IF($A13&gt;MAX('Análise Física Detalhada'!$B$13:$B$380),"",VLOOKUP($A13,'Análise Física Detalhada'!$B$13:$E$380,4,0))</f>
        <v xml:space="preserve">05.001.000.006 </v>
      </c>
      <c r="C13" s="1166" t="str">
        <f>IF(B13="","",VLOOKUP($B13,'Análise Física Detalhada'!$E$13:$AB$380,2,0))</f>
        <v>Concreto usinado Fck = 30 Mpa Bombeado - Blocos e cintas</v>
      </c>
      <c r="D13" s="1167"/>
      <c r="E13" s="1167"/>
      <c r="F13" s="1167"/>
      <c r="G13" s="1167"/>
      <c r="H13" s="1168"/>
      <c r="I13" s="422">
        <f>IF(B13="","",VLOOKUP($B13,'Análise Física Detalhada'!$E$13:$AB$380,8,0))</f>
        <v>0.38780000000000003</v>
      </c>
      <c r="J13" s="423">
        <f>IF(B13="","",VLOOKUP($B13,'Análise Física Detalhada'!$E$13:$AB$380,9,0))</f>
        <v>35.169582000000005</v>
      </c>
      <c r="K13" s="424">
        <f>IF(B13="","",VLOOKUP($B13,'Análise Física Detalhada'!$E$13:$AB$380,12,0))</f>
        <v>0</v>
      </c>
      <c r="L13" s="425">
        <f>IF(B13="","",VLOOKUP($B13,'Análise Física Detalhada'!$E$13:$AB$380,13,0))</f>
        <v>0</v>
      </c>
      <c r="M13" s="426">
        <f>IF($B13="","",VLOOKUP($B13,Plan3!$A$16:$CT$384,HLOOKUP('Análise Física Macro'!$O$4,Plan3!$A$10:$CH$12,3)+3,0)/100)</f>
        <v>0.40810000000000002</v>
      </c>
      <c r="N13" s="428">
        <f>IF($B13="","",VLOOKUP($B13,Plan3!$A$16:$CT$384,HLOOKUP('Análise Física Macro'!$O$4,Plan3!$A$10:$CH$12,3)+4,0)/100)</f>
        <v>0.79590000000000005</v>
      </c>
      <c r="O13" s="1162"/>
      <c r="P13" s="1162"/>
      <c r="Q13" s="1162"/>
      <c r="R13" s="1162"/>
      <c r="S13" s="1162"/>
      <c r="T13" s="1162"/>
      <c r="U13" s="1162"/>
      <c r="V13" s="1162"/>
    </row>
    <row r="14" spans="1:22" s="231" customFormat="1" ht="30" customHeight="1" x14ac:dyDescent="0.2">
      <c r="A14" s="245">
        <v>4</v>
      </c>
      <c r="B14" s="421" t="str">
        <f>IF($A14&gt;MAX('Análise Física Detalhada'!$B$13:$B$380),"",VLOOKUP($A14,'Análise Física Detalhada'!$B$13:$E$380,4,0))</f>
        <v xml:space="preserve">05.001.000.004 </v>
      </c>
      <c r="C14" s="1166" t="str">
        <f>IF(B14="","",VLOOKUP($B14,'Análise Física Detalhada'!$E$13:$AB$380,2,0))</f>
        <v>Forma para fundação em tabua - Blocos e cintas</v>
      </c>
      <c r="D14" s="1167"/>
      <c r="E14" s="1167"/>
      <c r="F14" s="1167"/>
      <c r="G14" s="1167"/>
      <c r="H14" s="1168"/>
      <c r="I14" s="422">
        <f>IF(B14="","",VLOOKUP($B14,'Análise Física Detalhada'!$E$13:$AB$380,8,0))</f>
        <v>0.38780000000000003</v>
      </c>
      <c r="J14" s="423">
        <f>IF(B14="","",VLOOKUP($B14,'Análise Física Detalhada'!$E$13:$AB$380,9,0))</f>
        <v>168.06088600000001</v>
      </c>
      <c r="K14" s="424">
        <f>IF(B14="","",VLOOKUP($B14,'Análise Física Detalhada'!$E$13:$AB$380,12,0))</f>
        <v>0</v>
      </c>
      <c r="L14" s="425">
        <f>IF(B14="","",VLOOKUP($B14,'Análise Física Detalhada'!$E$13:$AB$380,13,0))</f>
        <v>0</v>
      </c>
      <c r="M14" s="426">
        <f>IF($B14="","",VLOOKUP($B14,Plan3!$A$16:$CT$384,HLOOKUP('Análise Física Macro'!$O$4,Plan3!$A$10:$CH$12,3)+3,0)/100)</f>
        <v>0.40810000000000002</v>
      </c>
      <c r="N14" s="428">
        <f>IF($B14="","",VLOOKUP($B14,Plan3!$A$16:$CT$384,HLOOKUP('Análise Física Macro'!$O$4,Plan3!$A$10:$CH$12,3)+4,0)/100)</f>
        <v>0.79590000000000005</v>
      </c>
      <c r="O14" s="1163"/>
      <c r="P14" s="1163"/>
      <c r="Q14" s="1163"/>
      <c r="R14" s="1163"/>
      <c r="S14" s="1163"/>
      <c r="T14" s="1163"/>
      <c r="U14" s="1163"/>
      <c r="V14" s="1163"/>
    </row>
    <row r="15" spans="1:22" s="231" customFormat="1" ht="30" customHeight="1" x14ac:dyDescent="0.2">
      <c r="A15" s="245">
        <v>5</v>
      </c>
      <c r="B15" s="421" t="str">
        <f>IF($A15&gt;MAX('Análise Física Detalhada'!$B$13:$B$380),"",VLOOKUP($A15,'Análise Física Detalhada'!$B$13:$E$380,4,0))</f>
        <v xml:space="preserve">05.001.000.001 </v>
      </c>
      <c r="C15" s="1166" t="str">
        <f>IF(B15="","",VLOOKUP($B15,'Análise Física Detalhada'!$E$13:$AB$380,2,0))</f>
        <v>Escavação manual de valas até 2,00 m - Blocos e cintas</v>
      </c>
      <c r="D15" s="1167"/>
      <c r="E15" s="1167"/>
      <c r="F15" s="1167"/>
      <c r="G15" s="1167"/>
      <c r="H15" s="1168"/>
      <c r="I15" s="422">
        <f>IF(B15="","",VLOOKUP($B15,'Análise Física Detalhada'!$E$13:$AB$380,8,0))</f>
        <v>0.38780000000000003</v>
      </c>
      <c r="J15" s="423">
        <f>IF(B15="","",VLOOKUP($B15,'Análise Física Detalhada'!$E$13:$AB$380,9,0))</f>
        <v>62.490091999999997</v>
      </c>
      <c r="K15" s="424">
        <f>IF(B15="","",VLOOKUP($B15,'Análise Física Detalhada'!$E$13:$AB$380,12,0))</f>
        <v>0</v>
      </c>
      <c r="L15" s="425">
        <f>IF(B15="","",VLOOKUP($B15,'Análise Física Detalhada'!$E$13:$AB$380,13,0))</f>
        <v>0</v>
      </c>
      <c r="M15" s="426">
        <f>IF($B15="","",VLOOKUP($B15,Plan3!$A$16:$CT$384,HLOOKUP('Análise Física Macro'!$O$4,Plan3!$A$10:$CH$12,3)+3,0)/100)</f>
        <v>0.40810000000000002</v>
      </c>
      <c r="N15" s="428">
        <f>IF($B15="","",VLOOKUP($B15,Plan3!$A$16:$CT$384,HLOOKUP('Análise Física Macro'!$O$4,Plan3!$A$10:$CH$12,3)+4,0)/100)</f>
        <v>0.79590000000000005</v>
      </c>
      <c r="O15" s="1163"/>
      <c r="P15" s="1163"/>
      <c r="Q15" s="1163"/>
      <c r="R15" s="1163"/>
      <c r="S15" s="1163"/>
      <c r="T15" s="1163"/>
      <c r="U15" s="1163"/>
      <c r="V15" s="1163"/>
    </row>
    <row r="16" spans="1:22" s="231" customFormat="1" ht="30" customHeight="1" x14ac:dyDescent="0.2">
      <c r="A16" s="245">
        <v>6</v>
      </c>
      <c r="B16" s="421" t="str">
        <f>IF($A16&gt;MAX('Análise Física Detalhada'!$B$13:$B$380),"",VLOOKUP($A16,'Análise Física Detalhada'!$B$13:$E$380,4,0))</f>
        <v xml:space="preserve">05.001.000.008 </v>
      </c>
      <c r="C16" s="1166" t="str">
        <f>IF(B16="","",VLOOKUP($B16,'Análise Física Detalhada'!$E$13:$AB$380,2,0))</f>
        <v>Carga e transporte de material excedente - Blocos e cintas</v>
      </c>
      <c r="D16" s="1167"/>
      <c r="E16" s="1167"/>
      <c r="F16" s="1167"/>
      <c r="G16" s="1167"/>
      <c r="H16" s="1168"/>
      <c r="I16" s="422">
        <f>IF(B16="","",VLOOKUP($B16,'Análise Física Detalhada'!$E$13:$AB$380,8,0))</f>
        <v>0.38780000000000003</v>
      </c>
      <c r="J16" s="423">
        <f>IF(B16="","",VLOOKUP($B16,'Análise Física Detalhada'!$E$13:$AB$380,9,0))</f>
        <v>47.912690000000005</v>
      </c>
      <c r="K16" s="424">
        <f>IF(B16="","",VLOOKUP($B16,'Análise Física Detalhada'!$E$13:$AB$380,12,0))</f>
        <v>0</v>
      </c>
      <c r="L16" s="425">
        <f>IF(B16="","",VLOOKUP($B16,'Análise Física Detalhada'!$E$13:$AB$380,13,0))</f>
        <v>0</v>
      </c>
      <c r="M16" s="426">
        <f>IF($B16="","",VLOOKUP($B16,Plan3!$A$16:$CT$384,HLOOKUP('Análise Física Macro'!$O$4,Plan3!$A$10:$CH$12,3)+3,0)/100)</f>
        <v>0.40810000000000002</v>
      </c>
      <c r="N16" s="428">
        <f>IF($B16="","",VLOOKUP($B16,Plan3!$A$16:$CT$384,HLOOKUP('Análise Física Macro'!$O$4,Plan3!$A$10:$CH$12,3)+4,0)/100)</f>
        <v>0.79590000000000005</v>
      </c>
      <c r="O16" s="1163"/>
      <c r="P16" s="1163"/>
      <c r="Q16" s="1163"/>
      <c r="R16" s="1163"/>
      <c r="S16" s="1163"/>
      <c r="T16" s="1163"/>
      <c r="U16" s="1163"/>
      <c r="V16" s="1163"/>
    </row>
    <row r="17" spans="1:22" s="231" customFormat="1" ht="30" customHeight="1" x14ac:dyDescent="0.2">
      <c r="A17" s="245">
        <v>7</v>
      </c>
      <c r="B17" s="421" t="str">
        <f>IF($A17&gt;MAX('Análise Física Detalhada'!$B$13:$B$380),"",VLOOKUP($A17,'Análise Física Detalhada'!$B$13:$E$380,4,0))</f>
        <v xml:space="preserve">05.002.000.002 </v>
      </c>
      <c r="C17" s="1166" t="str">
        <f>IF(B17="","",VLOOKUP($B17,'Análise Física Detalhada'!$E$13:$AB$380,2,0))</f>
        <v>Alargamento manual de bases em material de 1ª categoria</v>
      </c>
      <c r="D17" s="1167"/>
      <c r="E17" s="1167"/>
      <c r="F17" s="1167"/>
      <c r="G17" s="1167"/>
      <c r="H17" s="1168"/>
      <c r="I17" s="422">
        <f>IF(B17="","",VLOOKUP($B17,'Análise Física Detalhada'!$E$13:$AB$380,8,0))</f>
        <v>0.81810000000000005</v>
      </c>
      <c r="J17" s="423">
        <f>IF(B17="","",VLOOKUP($B17,'Análise Física Detalhada'!$E$13:$AB$380,9,0))</f>
        <v>273.55627800000002</v>
      </c>
      <c r="K17" s="424">
        <f>IF(B17="","",VLOOKUP($B17,'Análise Física Detalhada'!$E$13:$AB$380,12,0))</f>
        <v>0.78</v>
      </c>
      <c r="L17" s="425">
        <f>IF(B17="","",VLOOKUP($B17,'Análise Física Detalhada'!$E$13:$AB$380,13,0))</f>
        <v>260.81639999999999</v>
      </c>
      <c r="M17" s="426">
        <f>IF($B17="","",VLOOKUP($B17,Plan3!$A$16:$CT$384,HLOOKUP('Análise Física Macro'!$O$4,Plan3!$A$10:$CH$12,3)+3,0)/100)</f>
        <v>0.18190000000000001</v>
      </c>
      <c r="N17" s="428">
        <f>IF($B17="","",VLOOKUP($B17,Plan3!$A$16:$CT$384,HLOOKUP('Análise Física Macro'!$O$4,Plan3!$A$10:$CH$12,3)+4,0)/100)</f>
        <v>1</v>
      </c>
      <c r="O17" s="1163"/>
      <c r="P17" s="1163"/>
      <c r="Q17" s="1163"/>
      <c r="R17" s="1163"/>
      <c r="S17" s="1163"/>
      <c r="T17" s="1163"/>
      <c r="U17" s="1163"/>
      <c r="V17" s="1163"/>
    </row>
    <row r="18" spans="1:22" s="231" customFormat="1" ht="30" customHeight="1" x14ac:dyDescent="0.2">
      <c r="A18" s="245">
        <v>8</v>
      </c>
      <c r="B18" s="421" t="str">
        <f>IF($A18&gt;MAX('Análise Física Detalhada'!$B$13:$B$380),"",VLOOKUP($A18,'Análise Física Detalhada'!$B$13:$E$380,4,0))</f>
        <v xml:space="preserve">05.002.000.004 </v>
      </c>
      <c r="C18" s="1166" t="str">
        <f>IF(B18="","",VLOOKUP($B18,'Análise Física Detalhada'!$E$13:$AB$380,2,0))</f>
        <v>Armação aço CA-50/60 - Tubulão</v>
      </c>
      <c r="D18" s="1167"/>
      <c r="E18" s="1167"/>
      <c r="F18" s="1167"/>
      <c r="G18" s="1167"/>
      <c r="H18" s="1168"/>
      <c r="I18" s="422">
        <f>IF(B18="","",VLOOKUP($B18,'Análise Física Detalhada'!$E$13:$AB$380,8,0))</f>
        <v>0.81810000000000005</v>
      </c>
      <c r="J18" s="423">
        <f>IF(B18="","",VLOOKUP($B18,'Análise Física Detalhada'!$E$13:$AB$380,9,0))</f>
        <v>8643.2674050000005</v>
      </c>
      <c r="K18" s="424">
        <f>IF(B18="","",VLOOKUP($B18,'Análise Física Detalhada'!$E$13:$AB$380,12,0))</f>
        <v>0.78</v>
      </c>
      <c r="L18" s="425">
        <f>IF(B18="","",VLOOKUP($B18,'Análise Física Detalhada'!$E$13:$AB$380,13,0))</f>
        <v>8240.7389999999996</v>
      </c>
      <c r="M18" s="426">
        <f>IF($B18="","",VLOOKUP($B18,Plan3!$A$16:$CT$384,HLOOKUP('Análise Física Macro'!$O$4,Plan3!$A$10:$CH$12,3)+3,0)/100)</f>
        <v>0.18190000000000001</v>
      </c>
      <c r="N18" s="428">
        <f>IF($B18="","",VLOOKUP($B18,Plan3!$A$16:$CT$384,HLOOKUP('Análise Física Macro'!$O$4,Plan3!$A$10:$CH$12,3)+4,0)/100)</f>
        <v>1</v>
      </c>
      <c r="O18" s="1163"/>
      <c r="P18" s="1163"/>
      <c r="Q18" s="1163"/>
      <c r="R18" s="1163"/>
      <c r="S18" s="1163"/>
      <c r="T18" s="1163"/>
      <c r="U18" s="1163"/>
      <c r="V18" s="1163"/>
    </row>
    <row r="19" spans="1:22" s="231" customFormat="1" ht="30" customHeight="1" x14ac:dyDescent="0.2">
      <c r="A19" s="245">
        <v>9</v>
      </c>
      <c r="B19" s="421" t="str">
        <f>IF($A19&gt;MAX('Análise Física Detalhada'!$B$13:$B$380),"",VLOOKUP($A19,'Análise Física Detalhada'!$B$13:$E$380,4,0))</f>
        <v xml:space="preserve">05.002.000.006 </v>
      </c>
      <c r="C19" s="1166" t="str">
        <f>IF(B19="","",VLOOKUP($B19,'Análise Física Detalhada'!$E$13:$AB$380,2,0))</f>
        <v>Carga e transporte de material excedente - Tubulão</v>
      </c>
      <c r="D19" s="1167"/>
      <c r="E19" s="1167"/>
      <c r="F19" s="1167"/>
      <c r="G19" s="1167"/>
      <c r="H19" s="1168"/>
      <c r="I19" s="422">
        <f>IF(B19="","",VLOOKUP($B19,'Análise Física Detalhada'!$E$13:$AB$380,8,0))</f>
        <v>0.81810000000000005</v>
      </c>
      <c r="J19" s="423">
        <f>IF(B19="","",VLOOKUP($B19,'Análise Física Detalhada'!$E$13:$AB$380,9,0))</f>
        <v>671.48829899999998</v>
      </c>
      <c r="K19" s="424">
        <f>IF(B19="","",VLOOKUP($B19,'Análise Física Detalhada'!$E$13:$AB$380,12,0))</f>
        <v>0.78</v>
      </c>
      <c r="L19" s="425">
        <f>IF(B19="","",VLOOKUP($B19,'Análise Física Detalhada'!$E$13:$AB$380,13,0))</f>
        <v>640.21619999999996</v>
      </c>
      <c r="M19" s="426">
        <f>IF($B19="","",VLOOKUP($B19,Plan3!$A$16:$CT$384,HLOOKUP('Análise Física Macro'!$O$4,Plan3!$A$10:$CH$12,3)+3,0)/100)</f>
        <v>0.18190000000000001</v>
      </c>
      <c r="N19" s="428">
        <f>IF($B19="","",VLOOKUP($B19,Plan3!$A$16:$CT$384,HLOOKUP('Análise Física Macro'!$O$4,Plan3!$A$10:$CH$12,3)+4,0)/100)</f>
        <v>1</v>
      </c>
      <c r="O19" s="1162"/>
      <c r="P19" s="1162"/>
      <c r="Q19" s="1162"/>
      <c r="R19" s="1162"/>
      <c r="S19" s="1162"/>
      <c r="T19" s="1162"/>
      <c r="U19" s="1162"/>
      <c r="V19" s="1162"/>
    </row>
    <row r="20" spans="1:22" s="231" customFormat="1" ht="30" customHeight="1" x14ac:dyDescent="0.2">
      <c r="A20" s="245">
        <v>10</v>
      </c>
      <c r="B20" s="421" t="str">
        <f>IF($A20&gt;MAX('Análise Física Detalhada'!$B$13:$B$380),"",VLOOKUP($A20,'Análise Física Detalhada'!$B$13:$E$380,4,0))</f>
        <v xml:space="preserve">05.002.000.001 </v>
      </c>
      <c r="C20" s="1166" t="str">
        <f>IF(B20="","",VLOOKUP($B20,'Análise Física Detalhada'!$E$13:$AB$380,2,0))</f>
        <v>Escavação manual de fustes em material de 1ª categoria</v>
      </c>
      <c r="D20" s="1167"/>
      <c r="E20" s="1167"/>
      <c r="F20" s="1167"/>
      <c r="G20" s="1167"/>
      <c r="H20" s="1168"/>
      <c r="I20" s="422">
        <f>IF(B20="","",VLOOKUP($B20,'Análise Física Detalhada'!$E$13:$AB$380,8,0))</f>
        <v>0.81810000000000005</v>
      </c>
      <c r="J20" s="423">
        <f>IF(B20="","",VLOOKUP($B20,'Análise Física Detalhada'!$E$13:$AB$380,9,0))</f>
        <v>206.07939000000002</v>
      </c>
      <c r="K20" s="424">
        <f>IF(B20="","",VLOOKUP($B20,'Análise Física Detalhada'!$E$13:$AB$380,12,0))</f>
        <v>0.78</v>
      </c>
      <c r="L20" s="425">
        <f>IF(B20="","",VLOOKUP($B20,'Análise Física Detalhada'!$E$13:$AB$380,13,0))</f>
        <v>196.482</v>
      </c>
      <c r="M20" s="426">
        <f>IF($B20="","",VLOOKUP($B20,Plan3!$A$16:$CT$384,HLOOKUP('Análise Física Macro'!$O$4,Plan3!$A$10:$CH$12,3)+3,0)/100)</f>
        <v>0.18190000000000001</v>
      </c>
      <c r="N20" s="428">
        <f>IF($B20="","",VLOOKUP($B20,Plan3!$A$16:$CT$384,HLOOKUP('Análise Física Macro'!$O$4,Plan3!$A$10:$CH$12,3)+4,0)/100)</f>
        <v>1</v>
      </c>
      <c r="O20" s="1163"/>
      <c r="P20" s="1163"/>
      <c r="Q20" s="1163"/>
      <c r="R20" s="1163"/>
      <c r="S20" s="1163"/>
      <c r="T20" s="1163"/>
      <c r="U20" s="1163"/>
      <c r="V20" s="1163"/>
    </row>
    <row r="21" spans="1:22" s="231" customFormat="1" ht="46.5" customHeight="1" x14ac:dyDescent="0.2">
      <c r="A21" s="245">
        <v>11</v>
      </c>
      <c r="B21" s="421" t="str">
        <f>IF($A21&gt;MAX('Análise Física Detalhada'!$B$13:$B$380),"",VLOOKUP($A21,'Análise Física Detalhada'!$B$13:$E$380,4,0))</f>
        <v xml:space="preserve">05.001.000.003 </v>
      </c>
      <c r="C21" s="1166" t="str">
        <f>IF(B21="","",VLOOKUP($B21,'Análise Física Detalhada'!$E$13:$AB$380,2,0))</f>
        <v>Lastro de concreto magro Fck = 9 MPa - Blocos e cintas</v>
      </c>
      <c r="D21" s="1167"/>
      <c r="E21" s="1167"/>
      <c r="F21" s="1167"/>
      <c r="G21" s="1167"/>
      <c r="H21" s="1168"/>
      <c r="I21" s="422">
        <f>IF(B21="","",VLOOKUP($B21,'Análise Física Detalhada'!$E$13:$AB$380,8,0))</f>
        <v>0.38780000000000003</v>
      </c>
      <c r="J21" s="423">
        <f>IF(B21="","",VLOOKUP($B21,'Análise Física Detalhada'!$E$13:$AB$380,9,0))</f>
        <v>2.7921600000000004</v>
      </c>
      <c r="K21" s="424">
        <f>IF(B21="","",VLOOKUP($B21,'Análise Física Detalhada'!$E$13:$AB$380,12,0))</f>
        <v>0</v>
      </c>
      <c r="L21" s="425">
        <f>IF(B21="","",VLOOKUP($B21,'Análise Física Detalhada'!$E$13:$AB$380,13,0))</f>
        <v>0</v>
      </c>
      <c r="M21" s="426">
        <f>IF($B21="","",VLOOKUP($B21,Plan3!$A$16:$CT$384,HLOOKUP('Análise Física Macro'!$O$4,Plan3!$A$10:$CH$12,3)+3,0)/100)</f>
        <v>0.40810000000000002</v>
      </c>
      <c r="N21" s="428">
        <f>IF($B21="","",VLOOKUP($B21,Plan3!$A$16:$CT$384,HLOOKUP('Análise Física Macro'!$O$4,Plan3!$A$10:$CH$12,3)+4,0)/100)</f>
        <v>0.79590000000000005</v>
      </c>
      <c r="O21" s="1162"/>
      <c r="P21" s="1162"/>
      <c r="Q21" s="1162"/>
      <c r="R21" s="1162"/>
      <c r="S21" s="1162"/>
      <c r="T21" s="1162"/>
      <c r="U21" s="1162"/>
      <c r="V21" s="1162"/>
    </row>
    <row r="22" spans="1:22" s="231" customFormat="1" ht="30" customHeight="1" x14ac:dyDescent="0.2">
      <c r="A22" s="245">
        <v>12</v>
      </c>
      <c r="B22" s="421" t="str">
        <f>IF($A22&gt;MAX('Análise Física Detalhada'!$B$13:$B$380),"",VLOOKUP($A22,'Análise Física Detalhada'!$B$13:$E$380,4,0))</f>
        <v xml:space="preserve">05.001.000.002 </v>
      </c>
      <c r="C22" s="1166" t="str">
        <f>IF(B22="","",VLOOKUP($B22,'Análise Física Detalhada'!$E$13:$AB$380,2,0))</f>
        <v>Apiloamento - Blocos e cintas</v>
      </c>
      <c r="D22" s="1167"/>
      <c r="E22" s="1167"/>
      <c r="F22" s="1167"/>
      <c r="G22" s="1167"/>
      <c r="H22" s="1168"/>
      <c r="I22" s="422">
        <f>IF(B22="","",VLOOKUP($B22,'Análise Física Detalhada'!$E$13:$AB$380,8,0))</f>
        <v>0.38780000000000003</v>
      </c>
      <c r="J22" s="423">
        <f>IF(B22="","",VLOOKUP($B22,'Análise Física Detalhada'!$E$13:$AB$380,9,0))</f>
        <v>40.094642</v>
      </c>
      <c r="K22" s="424">
        <f>IF(B22="","",VLOOKUP($B22,'Análise Física Detalhada'!$E$13:$AB$380,12,0))</f>
        <v>0</v>
      </c>
      <c r="L22" s="425">
        <f>IF(B22="","",VLOOKUP($B22,'Análise Física Detalhada'!$E$13:$AB$380,13,0))</f>
        <v>0</v>
      </c>
      <c r="M22" s="426">
        <f>IF($B22="","",VLOOKUP($B22,Plan3!$A$16:$CT$384,HLOOKUP('Análise Física Macro'!$O$4,Plan3!$A$10:$CH$12,3)+3,0)/100)</f>
        <v>0.40810000000000002</v>
      </c>
      <c r="N22" s="428">
        <f>IF($B22="","",VLOOKUP($B22,Plan3!$A$16:$CT$384,HLOOKUP('Análise Física Macro'!$O$4,Plan3!$A$10:$CH$12,3)+4,0)/100)</f>
        <v>0.79590000000000005</v>
      </c>
      <c r="O22" s="1163"/>
      <c r="P22" s="1163"/>
      <c r="Q22" s="1163"/>
      <c r="R22" s="1163"/>
      <c r="S22" s="1163"/>
      <c r="T22" s="1163"/>
      <c r="U22" s="1163"/>
      <c r="V22" s="1163"/>
    </row>
    <row r="23" spans="1:22" s="231" customFormat="1" ht="30" customHeight="1" x14ac:dyDescent="0.2">
      <c r="A23" s="245">
        <v>13</v>
      </c>
      <c r="B23" s="421" t="str">
        <f>IF($A23&gt;MAX('Análise Física Detalhada'!$B$13:$B$380),"",VLOOKUP($A23,'Análise Física Detalhada'!$B$13:$E$380,4,0))</f>
        <v xml:space="preserve">05.001.000.007 </v>
      </c>
      <c r="C23" s="1166" t="str">
        <f>IF(B23="","",VLOOKUP($B23,'Análise Física Detalhada'!$E$13:$AB$380,2,0))</f>
        <v>Reaterro compactado mecanizado - Blocos e cintas</v>
      </c>
      <c r="D23" s="1167"/>
      <c r="E23" s="1167"/>
      <c r="F23" s="1167"/>
      <c r="G23" s="1167"/>
      <c r="H23" s="1168"/>
      <c r="I23" s="422">
        <f>IF(B23="","",VLOOKUP($B23,'Análise Física Detalhada'!$E$13:$AB$380,8,0))</f>
        <v>0.38780000000000003</v>
      </c>
      <c r="J23" s="423">
        <f>IF(B23="","",VLOOKUP($B23,'Análise Física Detalhada'!$E$13:$AB$380,9,0))</f>
        <v>33.346921999999999</v>
      </c>
      <c r="K23" s="424">
        <f>IF(B23="","",VLOOKUP($B23,'Análise Física Detalhada'!$E$13:$AB$380,12,0))</f>
        <v>0</v>
      </c>
      <c r="L23" s="425">
        <f>IF(B23="","",VLOOKUP($B23,'Análise Física Detalhada'!$E$13:$AB$380,13,0))</f>
        <v>0</v>
      </c>
      <c r="M23" s="426">
        <f>IF($B23="","",VLOOKUP($B23,Plan3!$A$16:$CT$384,HLOOKUP('Análise Física Macro'!$O$4,Plan3!$A$10:$CH$12,3)+3,0)/100)</f>
        <v>0.40810000000000002</v>
      </c>
      <c r="N23" s="428">
        <f>IF($B23="","",VLOOKUP($B23,Plan3!$A$16:$CT$384,HLOOKUP('Análise Física Macro'!$O$4,Plan3!$A$10:$CH$12,3)+4,0)/100)</f>
        <v>0.79590000000000005</v>
      </c>
      <c r="O23" s="1163"/>
      <c r="P23" s="1163"/>
      <c r="Q23" s="1163"/>
      <c r="R23" s="1163"/>
      <c r="S23" s="1163"/>
      <c r="T23" s="1163"/>
      <c r="U23" s="1163"/>
      <c r="V23" s="1163"/>
    </row>
    <row r="24" spans="1:22" s="231" customFormat="1" ht="30" customHeight="1" x14ac:dyDescent="0.2">
      <c r="A24" s="245">
        <v>14</v>
      </c>
      <c r="B24" s="421" t="str">
        <f>IF($A24&gt;MAX('Análise Física Detalhada'!$B$13:$B$380),"",VLOOKUP($A24,'Análise Física Detalhada'!$B$13:$E$380,4,0))</f>
        <v xml:space="preserve">05.002.000.005 </v>
      </c>
      <c r="C24" s="954" t="str">
        <f>IF(B24="","",VLOOKUP($B24,'Análise Física Detalhada'!$E$13:$AB$380,2,0))</f>
        <v>Arrasamento de cabeça de tubulão</v>
      </c>
      <c r="D24" s="955"/>
      <c r="E24" s="955"/>
      <c r="F24" s="955"/>
      <c r="G24" s="955"/>
      <c r="H24" s="956"/>
      <c r="I24" s="422">
        <f>IF(B24="","",VLOOKUP($B24,'Análise Física Detalhada'!$E$13:$AB$380,8,0))</f>
        <v>0.81810000000000005</v>
      </c>
      <c r="J24" s="423">
        <f>IF(B24="","",VLOOKUP($B24,'Análise Física Detalhada'!$E$13:$AB$380,9,0))</f>
        <v>58.085100000000004</v>
      </c>
      <c r="K24" s="424">
        <f>IF(B24="","",VLOOKUP($B24,'Análise Física Detalhada'!$E$13:$AB$380,12,0))</f>
        <v>0.71</v>
      </c>
      <c r="L24" s="425">
        <f>IF(B24="","",VLOOKUP($B24,'Análise Física Detalhada'!$E$13:$AB$380,13,0))</f>
        <v>50.41</v>
      </c>
      <c r="M24" s="426">
        <f>IF($B24="","",VLOOKUP($B24,Plan3!$A$16:$CT$384,HLOOKUP('Análise Física Macro'!$O$4,Plan3!$A$10:$CH$12,3)+3,0)/100)</f>
        <v>0.18190000000000001</v>
      </c>
      <c r="N24" s="428">
        <f>IF($B24="","",VLOOKUP($B24,Plan3!$A$16:$CT$384,HLOOKUP('Análise Física Macro'!$O$4,Plan3!$A$10:$CH$12,3)+4,0)/100)</f>
        <v>1</v>
      </c>
      <c r="O24" s="1163"/>
      <c r="P24" s="1163"/>
      <c r="Q24" s="1163"/>
      <c r="R24" s="1163"/>
      <c r="S24" s="1163"/>
      <c r="T24" s="1163"/>
      <c r="U24" s="1163"/>
      <c r="V24" s="1163"/>
    </row>
    <row r="25" spans="1:22" s="231" customFormat="1" ht="30" customHeight="1" x14ac:dyDescent="0.2">
      <c r="A25" s="245">
        <v>15</v>
      </c>
      <c r="B25" s="421" t="str">
        <f>IF($A25&gt;MAX('Análise Física Detalhada'!$B$13:$B$380),"",VLOOKUP($A25,'Análise Física Detalhada'!$B$13:$E$380,4,0))</f>
        <v xml:space="preserve">02.000.000.004 </v>
      </c>
      <c r="C25" s="954" t="str">
        <f>IF(B25="","",VLOOKUP($B25,'Análise Física Detalhada'!$E$13:$AB$380,2,0))</f>
        <v>Controle Tecnológico - 3 CP por caminhão</v>
      </c>
      <c r="D25" s="955"/>
      <c r="E25" s="955"/>
      <c r="F25" s="955"/>
      <c r="G25" s="955"/>
      <c r="H25" s="956"/>
      <c r="I25" s="422">
        <f>IF(B25="","",VLOOKUP($B25,'Análise Física Detalhada'!$E$13:$AB$380,8,0))</f>
        <v>0.18539999999999998</v>
      </c>
      <c r="J25" s="423">
        <f>IF(B25="","",VLOOKUP($B25,'Análise Física Detalhada'!$E$13:$AB$380,9,0))</f>
        <v>0.18539999999999998</v>
      </c>
      <c r="K25" s="424">
        <f>IF(B25="","",VLOOKUP($B25,'Análise Física Detalhada'!$E$13:$AB$380,12,0))</f>
        <v>0.18329999999999999</v>
      </c>
      <c r="L25" s="425">
        <f>IF(B25="","",VLOOKUP($B25,'Análise Física Detalhada'!$E$13:$AB$380,13,0))</f>
        <v>0.18329999999999999</v>
      </c>
      <c r="M25" s="426">
        <f>IF($B25="","",VLOOKUP($B25,Plan3!$A$16:$CT$384,HLOOKUP('Análise Física Macro'!$O$4,Plan3!$A$10:$CH$12,3)+3,0)/100)</f>
        <v>0.16260000000000002</v>
      </c>
      <c r="N25" s="428">
        <f>IF($B25="","",VLOOKUP($B25,Plan3!$A$16:$CT$384,HLOOKUP('Análise Física Macro'!$O$4,Plan3!$A$10:$CH$12,3)+4,0)/100)</f>
        <v>0.34799999999999998</v>
      </c>
      <c r="O25" s="1163"/>
      <c r="P25" s="1163"/>
      <c r="Q25" s="1163"/>
      <c r="R25" s="1163"/>
      <c r="S25" s="1163"/>
      <c r="T25" s="1163"/>
      <c r="U25" s="1163"/>
      <c r="V25" s="1163"/>
    </row>
    <row r="26" spans="1:22" s="231" customFormat="1" ht="30" customHeight="1" x14ac:dyDescent="0.2">
      <c r="A26" s="245">
        <v>16</v>
      </c>
      <c r="B26" s="421" t="str">
        <f>IF($A26&gt;MAX('Análise Física Detalhada'!$B$13:$B$380),"",VLOOKUP($A26,'Análise Física Detalhada'!$B$13:$E$380,4,0))</f>
        <v/>
      </c>
      <c r="C26" s="954" t="str">
        <f>IF(B26="","",VLOOKUP($B26,'Análise Física Detalhada'!$E$13:$AB$380,2,0))</f>
        <v/>
      </c>
      <c r="D26" s="955"/>
      <c r="E26" s="955"/>
      <c r="F26" s="955"/>
      <c r="G26" s="955"/>
      <c r="H26" s="956"/>
      <c r="I26" s="422" t="str">
        <f>IF(B26="","",VLOOKUP($B26,'Análise Física Detalhada'!$E$13:$AB$380,8,0))</f>
        <v/>
      </c>
      <c r="J26" s="423" t="str">
        <f>IF(B26="","",VLOOKUP($B26,'Análise Física Detalhada'!$E$13:$AB$380,9,0))</f>
        <v/>
      </c>
      <c r="K26" s="424" t="str">
        <f>IF(B26="","",VLOOKUP($B26,'Análise Física Detalhada'!$E$13:$AB$380,12,0))</f>
        <v/>
      </c>
      <c r="L26" s="425" t="str">
        <f>IF(B26="","",VLOOKUP($B26,'Análise Física Detalhada'!$E$13:$AB$380,13,0))</f>
        <v/>
      </c>
      <c r="M26" s="426" t="str">
        <f>IF($B26="","",VLOOKUP($B26,Plan3!$A$16:$CT$384,HLOOKUP('Análise Física Macro'!$O$4,Plan3!$A$10:$CH$12,3)+3,0)/100)</f>
        <v/>
      </c>
      <c r="N26" s="428" t="str">
        <f>IF($B26="","",VLOOKUP($B26,Plan3!$A$16:$CT$384,HLOOKUP('Análise Física Macro'!$O$4,Plan3!$A$10:$CH$12,3)+4,0)/100)</f>
        <v/>
      </c>
      <c r="O26" s="1163"/>
      <c r="P26" s="1163"/>
      <c r="Q26" s="1163"/>
      <c r="R26" s="1163"/>
      <c r="S26" s="1163"/>
      <c r="T26" s="1163"/>
      <c r="U26" s="1163"/>
      <c r="V26" s="1163"/>
    </row>
    <row r="27" spans="1:22" s="231" customFormat="1" ht="30" customHeight="1" x14ac:dyDescent="0.2">
      <c r="A27" s="245">
        <v>17</v>
      </c>
      <c r="B27" s="421" t="str">
        <f>IF($A27&gt;MAX('Análise Física Detalhada'!$B$13:$B$380),"",VLOOKUP($A27,'Análise Física Detalhada'!$B$13:$E$380,4,0))</f>
        <v/>
      </c>
      <c r="C27" s="954" t="str">
        <f>IF(B27="","",VLOOKUP($B27,'Análise Física Detalhada'!$E$13:$AB$380,2,0))</f>
        <v/>
      </c>
      <c r="D27" s="955"/>
      <c r="E27" s="955"/>
      <c r="F27" s="955"/>
      <c r="G27" s="955"/>
      <c r="H27" s="956"/>
      <c r="I27" s="422" t="str">
        <f>IF(B27="","",VLOOKUP($B27,'Análise Física Detalhada'!$E$13:$AB$380,8,0))</f>
        <v/>
      </c>
      <c r="J27" s="423" t="str">
        <f>IF(B27="","",VLOOKUP($B27,'Análise Física Detalhada'!$E$13:$AB$380,9,0))</f>
        <v/>
      </c>
      <c r="K27" s="424" t="str">
        <f>IF(B27="","",VLOOKUP($B27,'Análise Física Detalhada'!$E$13:$AB$380,12,0))</f>
        <v/>
      </c>
      <c r="L27" s="425" t="str">
        <f>IF(B27="","",VLOOKUP($B27,'Análise Física Detalhada'!$E$13:$AB$380,13,0))</f>
        <v/>
      </c>
      <c r="M27" s="426" t="str">
        <f>IF($B27="","",VLOOKUP($B27,Plan3!$A$16:$CT$384,HLOOKUP('Análise Física Macro'!$O$4,Plan3!$A$10:$CH$12,3)+3,0)/100)</f>
        <v/>
      </c>
      <c r="N27" s="428" t="str">
        <f>IF($B27="","",VLOOKUP($B27,Plan3!$A$16:$CT$384,HLOOKUP('Análise Física Macro'!$O$4,Plan3!$A$10:$CH$12,3)+4,0)/100)</f>
        <v/>
      </c>
      <c r="O27" s="1163"/>
      <c r="P27" s="1163"/>
      <c r="Q27" s="1163"/>
      <c r="R27" s="1163"/>
      <c r="S27" s="1163"/>
      <c r="T27" s="1163"/>
      <c r="U27" s="1163"/>
      <c r="V27" s="1163"/>
    </row>
    <row r="28" spans="1:22" s="231" customFormat="1" ht="30" customHeight="1" x14ac:dyDescent="0.2">
      <c r="A28" s="245">
        <v>18</v>
      </c>
      <c r="B28" s="421" t="str">
        <f>IF($A28&gt;MAX('Análise Física Detalhada'!$B$13:$B$380),"",VLOOKUP($A28,'Análise Física Detalhada'!$B$13:$E$380,4,0))</f>
        <v/>
      </c>
      <c r="C28" s="954" t="str">
        <f>IF(B28="","",VLOOKUP($B28,'Análise Física Detalhada'!$E$13:$AB$380,2,0))</f>
        <v/>
      </c>
      <c r="D28" s="955"/>
      <c r="E28" s="955"/>
      <c r="F28" s="955"/>
      <c r="G28" s="955"/>
      <c r="H28" s="956"/>
      <c r="I28" s="422" t="str">
        <f>IF(B28="","",VLOOKUP($B28,'Análise Física Detalhada'!$E$13:$AB$380,8,0))</f>
        <v/>
      </c>
      <c r="J28" s="423" t="str">
        <f>IF(B28="","",VLOOKUP($B28,'Análise Física Detalhada'!$E$13:$AB$380,9,0))</f>
        <v/>
      </c>
      <c r="K28" s="424" t="str">
        <f>IF(B28="","",VLOOKUP($B28,'Análise Física Detalhada'!$E$13:$AB$380,12,0))</f>
        <v/>
      </c>
      <c r="L28" s="425" t="str">
        <f>IF(B28="","",VLOOKUP($B28,'Análise Física Detalhada'!$E$13:$AB$380,13,0))</f>
        <v/>
      </c>
      <c r="M28" s="426" t="str">
        <f>IF($B28="","",VLOOKUP($B28,Plan3!$A$16:$CT$384,HLOOKUP('Análise Física Macro'!$O$4,Plan3!$A$10:$CH$12,3)+3,0)/100)</f>
        <v/>
      </c>
      <c r="N28" s="428" t="str">
        <f>IF($B28="","",VLOOKUP($B28,Plan3!$A$16:$CT$384,HLOOKUP('Análise Física Macro'!$O$4,Plan3!$A$10:$CH$12,3)+4,0)/100)</f>
        <v/>
      </c>
      <c r="O28" s="1163"/>
      <c r="P28" s="1163"/>
      <c r="Q28" s="1163"/>
      <c r="R28" s="1163"/>
      <c r="S28" s="1163"/>
      <c r="T28" s="1163"/>
      <c r="U28" s="1163"/>
      <c r="V28" s="1163"/>
    </row>
    <row r="29" spans="1:22" s="231" customFormat="1" ht="30" customHeight="1" x14ac:dyDescent="0.2">
      <c r="A29" s="245">
        <v>19</v>
      </c>
      <c r="B29" s="421" t="str">
        <f>IF($A29&gt;MAX('Análise Física Detalhada'!$B$13:$B$380),"",VLOOKUP($A29,'Análise Física Detalhada'!$B$13:$E$380,4,0))</f>
        <v/>
      </c>
      <c r="C29" s="954" t="str">
        <f>IF(B29="","",VLOOKUP($B29,'Análise Física Detalhada'!$E$13:$AB$380,2,0))</f>
        <v/>
      </c>
      <c r="D29" s="955"/>
      <c r="E29" s="955"/>
      <c r="F29" s="955"/>
      <c r="G29" s="955"/>
      <c r="H29" s="956"/>
      <c r="I29" s="422" t="str">
        <f>IF(B29="","",VLOOKUP($B29,'Análise Física Detalhada'!$E$13:$AB$380,8,0))</f>
        <v/>
      </c>
      <c r="J29" s="423" t="str">
        <f>IF(B29="","",VLOOKUP($B29,'Análise Física Detalhada'!$E$13:$AB$380,9,0))</f>
        <v/>
      </c>
      <c r="K29" s="424" t="str">
        <f>IF(B29="","",VLOOKUP($B29,'Análise Física Detalhada'!$E$13:$AB$380,12,0))</f>
        <v/>
      </c>
      <c r="L29" s="425" t="str">
        <f>IF(B29="","",VLOOKUP($B29,'Análise Física Detalhada'!$E$13:$AB$380,13,0))</f>
        <v/>
      </c>
      <c r="M29" s="426" t="str">
        <f>IF($B29="","",VLOOKUP($B29,Plan3!$A$16:$CT$384,HLOOKUP('Análise Física Macro'!$O$4,Plan3!$A$10:$CH$12,3)+3,0)/100)</f>
        <v/>
      </c>
      <c r="N29" s="428" t="str">
        <f>IF($B29="","",VLOOKUP($B29,Plan3!$A$16:$CT$384,HLOOKUP('Análise Física Macro'!$O$4,Plan3!$A$10:$CH$12,3)+4,0)/100)</f>
        <v/>
      </c>
      <c r="O29" s="1163"/>
      <c r="P29" s="1163"/>
      <c r="Q29" s="1163"/>
      <c r="R29" s="1163"/>
      <c r="S29" s="1163"/>
      <c r="T29" s="1163"/>
      <c r="U29" s="1163"/>
      <c r="V29" s="1163"/>
    </row>
    <row r="30" spans="1:22" s="231" customFormat="1" ht="30" customHeight="1" x14ac:dyDescent="0.2">
      <c r="A30" s="245">
        <v>20</v>
      </c>
      <c r="B30" s="421" t="str">
        <f>IF($A30&gt;MAX('Análise Física Detalhada'!$B$13:$B$380),"",VLOOKUP($A30,'Análise Física Detalhada'!$B$13:$E$380,4,0))</f>
        <v/>
      </c>
      <c r="C30" s="954" t="str">
        <f>IF(B30="","",VLOOKUP($B30,'Análise Física Detalhada'!$E$13:$AB$380,2,0))</f>
        <v/>
      </c>
      <c r="D30" s="955"/>
      <c r="E30" s="955"/>
      <c r="F30" s="955"/>
      <c r="G30" s="955"/>
      <c r="H30" s="956"/>
      <c r="I30" s="422" t="str">
        <f>IF(B30="","",VLOOKUP($B30,'Análise Física Detalhada'!$E$13:$AB$380,8,0))</f>
        <v/>
      </c>
      <c r="J30" s="423" t="str">
        <f>IF(B30="","",VLOOKUP($B30,'Análise Física Detalhada'!$E$13:$AB$380,9,0))</f>
        <v/>
      </c>
      <c r="K30" s="424" t="str">
        <f>IF(B30="","",VLOOKUP($B30,'Análise Física Detalhada'!$E$13:$AB$380,12,0))</f>
        <v/>
      </c>
      <c r="L30" s="425" t="str">
        <f>IF(B30="","",VLOOKUP($B30,'Análise Física Detalhada'!$E$13:$AB$380,13,0))</f>
        <v/>
      </c>
      <c r="M30" s="426" t="str">
        <f>IF($B30="","",VLOOKUP($B30,Plan3!$A$16:$CT$384,HLOOKUP('Análise Física Macro'!$O$4,Plan3!$A$10:$CH$12,3)+3,0)/100)</f>
        <v/>
      </c>
      <c r="N30" s="428" t="str">
        <f>IF($B30="","",VLOOKUP($B30,Plan3!$A$16:$CT$384,HLOOKUP('Análise Física Macro'!$O$4,Plan3!$A$10:$CH$12,3)+4,0)/100)</f>
        <v/>
      </c>
      <c r="O30" s="1163"/>
      <c r="P30" s="1163"/>
      <c r="Q30" s="1163"/>
      <c r="R30" s="1163"/>
      <c r="S30" s="1163"/>
      <c r="T30" s="1163"/>
      <c r="U30" s="1163"/>
      <c r="V30" s="1163"/>
    </row>
    <row r="31" spans="1:22" s="231" customFormat="1" ht="30" customHeight="1" x14ac:dyDescent="0.2">
      <c r="A31" s="245">
        <v>21</v>
      </c>
      <c r="B31" s="421" t="str">
        <f>IF($A31&gt;MAX('Análise Física Detalhada'!$B$13:$B$380),"",VLOOKUP($A31,'Análise Física Detalhada'!$B$13:$E$380,4,0))</f>
        <v/>
      </c>
      <c r="C31" s="954" t="str">
        <f>IF(B31="","",VLOOKUP($B31,'Análise Física Detalhada'!$E$13:$AB$380,2,0))</f>
        <v/>
      </c>
      <c r="D31" s="955"/>
      <c r="E31" s="955"/>
      <c r="F31" s="955"/>
      <c r="G31" s="955"/>
      <c r="H31" s="956"/>
      <c r="I31" s="422" t="str">
        <f>IF(B31="","",VLOOKUP($B31,'Análise Física Detalhada'!$E$13:$AB$380,8,0))</f>
        <v/>
      </c>
      <c r="J31" s="423" t="str">
        <f>IF(B31="","",VLOOKUP($B31,'Análise Física Detalhada'!$E$13:$AB$380,9,0))</f>
        <v/>
      </c>
      <c r="K31" s="424" t="str">
        <f>IF(B31="","",VLOOKUP($B31,'Análise Física Detalhada'!$E$13:$AB$380,12,0))</f>
        <v/>
      </c>
      <c r="L31" s="425" t="str">
        <f>IF(B31="","",VLOOKUP($B31,'Análise Física Detalhada'!$E$13:$AB$380,13,0))</f>
        <v/>
      </c>
      <c r="M31" s="426" t="str">
        <f>IF($B31="","",VLOOKUP($B31,Plan3!$A$16:$CT$384,HLOOKUP('Análise Física Macro'!$O$4,Plan3!$A$10:$CH$12,3)+3,0)/100)</f>
        <v/>
      </c>
      <c r="N31" s="428" t="str">
        <f>IF($B31="","",VLOOKUP($B31,Plan3!$A$16:$CT$384,HLOOKUP('Análise Física Macro'!$O$4,Plan3!$A$10:$CH$12,3)+4,0)/100)</f>
        <v/>
      </c>
      <c r="O31" s="1163"/>
      <c r="P31" s="1163"/>
      <c r="Q31" s="1163"/>
      <c r="R31" s="1163"/>
      <c r="S31" s="1163"/>
      <c r="T31" s="1163"/>
      <c r="U31" s="1163"/>
      <c r="V31" s="1163"/>
    </row>
    <row r="32" spans="1:22" s="231" customFormat="1" ht="30" customHeight="1" x14ac:dyDescent="0.2">
      <c r="A32" s="245">
        <v>22</v>
      </c>
      <c r="B32" s="421" t="str">
        <f>IF($A32&gt;MAX('Análise Física Detalhada'!$B$13:$B$380),"",VLOOKUP($A32,'Análise Física Detalhada'!$B$13:$E$380,4,0))</f>
        <v/>
      </c>
      <c r="C32" s="954" t="str">
        <f>IF(B32="","",VLOOKUP($B32,'Análise Física Detalhada'!$E$13:$AB$380,2,0))</f>
        <v/>
      </c>
      <c r="D32" s="955"/>
      <c r="E32" s="955"/>
      <c r="F32" s="955"/>
      <c r="G32" s="955"/>
      <c r="H32" s="956"/>
      <c r="I32" s="422" t="str">
        <f>IF(B32="","",VLOOKUP($B32,'Análise Física Detalhada'!$E$13:$AB$380,8,0))</f>
        <v/>
      </c>
      <c r="J32" s="423" t="str">
        <f>IF(B32="","",VLOOKUP($B32,'Análise Física Detalhada'!$E$13:$AB$380,9,0))</f>
        <v/>
      </c>
      <c r="K32" s="424" t="str">
        <f>IF(B32="","",VLOOKUP($B32,'Análise Física Detalhada'!$E$13:$AB$380,12,0))</f>
        <v/>
      </c>
      <c r="L32" s="425" t="str">
        <f>IF(B32="","",VLOOKUP($B32,'Análise Física Detalhada'!$E$13:$AB$380,13,0))</f>
        <v/>
      </c>
      <c r="M32" s="426" t="str">
        <f>IF($B32="","",VLOOKUP($B32,Plan3!$A$16:$CT$384,HLOOKUP('Análise Física Macro'!$O$4,Plan3!$A$10:$CH$12,3)+3,0)/100)</f>
        <v/>
      </c>
      <c r="N32" s="428" t="str">
        <f>IF($B32="","",VLOOKUP($B32,Plan3!$A$16:$CT$384,HLOOKUP('Análise Física Macro'!$O$4,Plan3!$A$10:$CH$12,3)+4,0)/100)</f>
        <v/>
      </c>
      <c r="O32" s="1163"/>
      <c r="P32" s="1163"/>
      <c r="Q32" s="1163"/>
      <c r="R32" s="1163"/>
      <c r="S32" s="1163"/>
      <c r="T32" s="1163"/>
      <c r="U32" s="1163"/>
      <c r="V32" s="1163"/>
    </row>
    <row r="33" spans="1:22" s="231" customFormat="1" ht="30" customHeight="1" x14ac:dyDescent="0.2">
      <c r="A33" s="245">
        <v>23</v>
      </c>
      <c r="B33" s="421" t="str">
        <f>IF($A33&gt;MAX('Análise Física Detalhada'!$B$13:$B$380),"",VLOOKUP($A33,'Análise Física Detalhada'!$B$13:$E$380,4,0))</f>
        <v/>
      </c>
      <c r="C33" s="954" t="str">
        <f>IF(B33="","",VLOOKUP($B33,'Análise Física Detalhada'!$E$13:$AB$380,2,0))</f>
        <v/>
      </c>
      <c r="D33" s="955"/>
      <c r="E33" s="955"/>
      <c r="F33" s="955"/>
      <c r="G33" s="955"/>
      <c r="H33" s="956"/>
      <c r="I33" s="422" t="str">
        <f>IF(B33="","",VLOOKUP($B33,'Análise Física Detalhada'!$E$13:$AB$380,8,0))</f>
        <v/>
      </c>
      <c r="J33" s="423" t="str">
        <f>IF(B33="","",VLOOKUP($B33,'Análise Física Detalhada'!$E$13:$AB$380,9,0))</f>
        <v/>
      </c>
      <c r="K33" s="424" t="str">
        <f>IF(B33="","",VLOOKUP($B33,'Análise Física Detalhada'!$E$13:$AB$380,12,0))</f>
        <v/>
      </c>
      <c r="L33" s="425" t="str">
        <f>IF(B33="","",VLOOKUP($B33,'Análise Física Detalhada'!$E$13:$AB$380,13,0))</f>
        <v/>
      </c>
      <c r="M33" s="426" t="str">
        <f>IF($B33="","",VLOOKUP($B33,Plan3!$A$16:$CT$384,HLOOKUP('Análise Física Macro'!$O$4,Plan3!$A$10:$CH$12,3)+3,0)/100)</f>
        <v/>
      </c>
      <c r="N33" s="428" t="str">
        <f>IF($B33="","",VLOOKUP($B33,Plan3!$A$16:$CT$384,HLOOKUP('Análise Física Macro'!$O$4,Plan3!$A$10:$CH$12,3)+4,0)/100)</f>
        <v/>
      </c>
      <c r="O33" s="1163"/>
      <c r="P33" s="1163"/>
      <c r="Q33" s="1163"/>
      <c r="R33" s="1163"/>
      <c r="S33" s="1163"/>
      <c r="T33" s="1163"/>
      <c r="U33" s="1163"/>
      <c r="V33" s="1163"/>
    </row>
    <row r="34" spans="1:22" s="231" customFormat="1" ht="30" customHeight="1" x14ac:dyDescent="0.2">
      <c r="A34" s="245">
        <v>24</v>
      </c>
      <c r="B34" s="421" t="str">
        <f>IF($A34&gt;MAX('Análise Física Detalhada'!$B$13:$B$380),"",VLOOKUP($A34,'Análise Física Detalhada'!$B$13:$E$380,4,0))</f>
        <v/>
      </c>
      <c r="C34" s="1166" t="str">
        <f>IF(B34="","",VLOOKUP($B34,'Análise Física Detalhada'!$E$13:$AB$380,2,0))</f>
        <v/>
      </c>
      <c r="D34" s="1167"/>
      <c r="E34" s="1167"/>
      <c r="F34" s="1167"/>
      <c r="G34" s="1167"/>
      <c r="H34" s="1168"/>
      <c r="I34" s="422" t="str">
        <f>IF(B34="","",VLOOKUP($B34,'Análise Física Detalhada'!$E$13:$AB$380,8,0))</f>
        <v/>
      </c>
      <c r="J34" s="423" t="str">
        <f>IF(B34="","",VLOOKUP($B34,'Análise Física Detalhada'!$E$13:$AB$380,9,0))</f>
        <v/>
      </c>
      <c r="K34" s="424" t="str">
        <f>IF(B34="","",VLOOKUP($B34,'Análise Física Detalhada'!$E$13:$AB$380,12,0))</f>
        <v/>
      </c>
      <c r="L34" s="425" t="str">
        <f>IF(B34="","",VLOOKUP($B34,'Análise Física Detalhada'!$E$13:$AB$380,13,0))</f>
        <v/>
      </c>
      <c r="M34" s="426" t="str">
        <f>IF($B34="","",VLOOKUP($B34,Plan3!$A$16:$CT$384,HLOOKUP('Análise Física Macro'!$O$4,Plan3!$A$10:$CH$12,3)+3,0)/100)</f>
        <v/>
      </c>
      <c r="N34" s="428" t="str">
        <f>IF($B34="","",VLOOKUP($B34,Plan3!$A$16:$CT$384,HLOOKUP('Análise Física Macro'!$O$4,Plan3!$A$10:$CH$12,3)+4,0)/100)</f>
        <v/>
      </c>
      <c r="O34" s="1163"/>
      <c r="P34" s="1163"/>
      <c r="Q34" s="1163"/>
      <c r="R34" s="1163"/>
      <c r="S34" s="1163"/>
      <c r="T34" s="1163"/>
      <c r="U34" s="1163"/>
      <c r="V34" s="1163"/>
    </row>
    <row r="35" spans="1:22" s="231" customFormat="1" ht="30" customHeight="1" x14ac:dyDescent="0.2">
      <c r="A35" s="245">
        <v>25</v>
      </c>
      <c r="B35" s="421" t="str">
        <f>IF($A35&gt;MAX('Análise Física Detalhada'!$B$13:$B$380),"",VLOOKUP($A35,'Análise Física Detalhada'!$B$13:$E$380,4,0))</f>
        <v/>
      </c>
      <c r="C35" s="1166" t="str">
        <f>IF(B35="","",VLOOKUP($B35,'Análise Física Detalhada'!$E$13:$AB$380,2,0))</f>
        <v/>
      </c>
      <c r="D35" s="1167"/>
      <c r="E35" s="1167"/>
      <c r="F35" s="1167"/>
      <c r="G35" s="1167"/>
      <c r="H35" s="1168"/>
      <c r="I35" s="422" t="str">
        <f>IF(B35="","",VLOOKUP($B35,'Análise Física Detalhada'!$E$13:$AB$380,8,0))</f>
        <v/>
      </c>
      <c r="J35" s="423" t="str">
        <f>IF(B35="","",VLOOKUP($B35,'Análise Física Detalhada'!$E$13:$AB$380,9,0))</f>
        <v/>
      </c>
      <c r="K35" s="424" t="str">
        <f>IF(B35="","",VLOOKUP($B35,'Análise Física Detalhada'!$E$13:$AB$380,12,0))</f>
        <v/>
      </c>
      <c r="L35" s="425" t="str">
        <f>IF(B35="","",VLOOKUP($B35,'Análise Física Detalhada'!$E$13:$AB$380,13,0))</f>
        <v/>
      </c>
      <c r="M35" s="426" t="str">
        <f>IF($B35="","",VLOOKUP($B35,Plan3!$A$16:$CT$384,HLOOKUP('Análise Física Macro'!$O$4,Plan3!$A$10:$CH$12,3)+3,0)/100)</f>
        <v/>
      </c>
      <c r="N35" s="428" t="str">
        <f>IF($B35="","",VLOOKUP($B35,Plan3!$A$16:$CT$384,HLOOKUP('Análise Física Macro'!$O$4,Plan3!$A$10:$CH$12,3)+4,0)/100)</f>
        <v/>
      </c>
      <c r="O35" s="1163"/>
      <c r="P35" s="1163"/>
      <c r="Q35" s="1163"/>
      <c r="R35" s="1163"/>
      <c r="S35" s="1163"/>
      <c r="T35" s="1163"/>
      <c r="U35" s="1163"/>
      <c r="V35" s="1163"/>
    </row>
    <row r="36" spans="1:22" s="230" customFormat="1" ht="36.950000000000003" customHeight="1" x14ac:dyDescent="0.2">
      <c r="A36" s="245"/>
      <c r="B36" s="355"/>
      <c r="C36" s="355"/>
      <c r="D36" s="355"/>
      <c r="E36" s="355"/>
      <c r="F36" s="355"/>
      <c r="G36" s="355"/>
      <c r="H36" s="355"/>
      <c r="I36" s="355"/>
      <c r="J36" s="355"/>
      <c r="K36" s="355" t="s">
        <v>294</v>
      </c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</row>
    <row r="37" spans="1:22" s="231" customFormat="1" ht="24.75" customHeight="1" x14ac:dyDescent="0.2">
      <c r="A37" s="244"/>
      <c r="B37" s="1176" t="s">
        <v>727</v>
      </c>
      <c r="C37" s="1177" t="s">
        <v>2</v>
      </c>
      <c r="D37" s="1178"/>
      <c r="E37" s="1178"/>
      <c r="F37" s="1178"/>
      <c r="G37" s="1178"/>
      <c r="H37" s="1179"/>
      <c r="I37" s="1164" t="s">
        <v>25</v>
      </c>
      <c r="J37" s="1165"/>
      <c r="K37" s="1164" t="s">
        <v>288</v>
      </c>
      <c r="L37" s="1184"/>
      <c r="M37" s="1182">
        <f>'Análise Física Macro'!$O$4+30</f>
        <v>44165</v>
      </c>
      <c r="N37" s="1183"/>
      <c r="O37" s="1160" t="s">
        <v>726</v>
      </c>
      <c r="P37" s="1161"/>
      <c r="Q37" s="1161"/>
      <c r="R37" s="1161"/>
      <c r="S37" s="1161"/>
      <c r="T37" s="1161"/>
      <c r="U37" s="1161"/>
      <c r="V37" s="1161"/>
    </row>
    <row r="38" spans="1:22" s="231" customFormat="1" ht="30" customHeight="1" x14ac:dyDescent="0.2">
      <c r="A38" s="244"/>
      <c r="B38" s="1151"/>
      <c r="C38" s="1155"/>
      <c r="D38" s="1156"/>
      <c r="E38" s="1156"/>
      <c r="F38" s="1156"/>
      <c r="G38" s="1156"/>
      <c r="H38" s="1157"/>
      <c r="I38" s="418" t="s">
        <v>292</v>
      </c>
      <c r="J38" s="418" t="s">
        <v>290</v>
      </c>
      <c r="K38" s="419" t="s">
        <v>292</v>
      </c>
      <c r="L38" s="420" t="s">
        <v>290</v>
      </c>
      <c r="M38" s="419" t="s">
        <v>291</v>
      </c>
      <c r="N38" s="420" t="s">
        <v>293</v>
      </c>
      <c r="O38" s="1160"/>
      <c r="P38" s="1161"/>
      <c r="Q38" s="1161"/>
      <c r="R38" s="1161"/>
      <c r="S38" s="1161"/>
      <c r="T38" s="1161"/>
      <c r="U38" s="1161"/>
      <c r="V38" s="1161"/>
    </row>
    <row r="39" spans="1:22" s="231" customFormat="1" ht="30" customHeight="1" x14ac:dyDescent="0.2">
      <c r="A39" s="245">
        <v>1</v>
      </c>
      <c r="B39" s="421" t="str">
        <f>IF($A39&gt;MAX('Análise Física Detalhada'!$A$13:$A$380),"",VLOOKUP($A39,'Análise Física Detalhada'!$A$13:$E$380,5,0))</f>
        <v xml:space="preserve">05.003.001.001 </v>
      </c>
      <c r="C39" s="1166" t="str">
        <f>IF(B39="","",VLOOKUP($B39,'Análise Física Detalhada'!$E$13:$AB$380,2,0))</f>
        <v>Escavação manual</v>
      </c>
      <c r="D39" s="1167"/>
      <c r="E39" s="1167"/>
      <c r="F39" s="1167"/>
      <c r="G39" s="1167"/>
      <c r="H39" s="1168"/>
      <c r="I39" s="422">
        <f>IF(B39="","",VLOOKUP($B39,'Análise Física Detalhada'!$E$13:$AB$380,8,0))</f>
        <v>0</v>
      </c>
      <c r="J39" s="423">
        <f>IF(B39="","",VLOOKUP($B39,'Análise Física Detalhada'!$E$13:$AB$380,9,0))</f>
        <v>0</v>
      </c>
      <c r="K39" s="424">
        <f>IF(B39="","",VLOOKUP($B39,'Análise Física Detalhada'!$E$13:$AB$380,12,0))</f>
        <v>0.8</v>
      </c>
      <c r="L39" s="425">
        <f>IF(B39="","",VLOOKUP($B39,'Análise Física Detalhada'!$E$13:$AB$380,13,0))</f>
        <v>37.463999999999999</v>
      </c>
      <c r="M39" s="426">
        <f>IF($B39="","",VLOOKUP($B39,Plan3!$A$16:$CT$384,HLOOKUP('Análise Física Macro'!$O$4,Plan3!$A$10:$CH$12,3)+3,0)/100)</f>
        <v>0</v>
      </c>
      <c r="N39" s="428">
        <f>IF($B39="","",VLOOKUP($B39,Plan3!$A$16:$CT$384,HLOOKUP('Análise Física Macro'!$O$4,Plan3!$A$10:$CH$12,3)+4,0)/100)</f>
        <v>0</v>
      </c>
      <c r="O39" s="1162"/>
      <c r="P39" s="1162"/>
      <c r="Q39" s="1162"/>
      <c r="R39" s="1162"/>
      <c r="S39" s="1162"/>
      <c r="T39" s="1162"/>
      <c r="U39" s="1162"/>
      <c r="V39" s="1162"/>
    </row>
    <row r="40" spans="1:22" s="231" customFormat="1" ht="30" customHeight="1" x14ac:dyDescent="0.2">
      <c r="A40" s="245">
        <v>2</v>
      </c>
      <c r="B40" s="421" t="str">
        <f>IF($A40&gt;MAX('Análise Física Detalhada'!$A$13:$A$380),"",VLOOKUP($A40,'Análise Física Detalhada'!$A$13:$E$380,5,0))</f>
        <v xml:space="preserve">03.002.000.002 </v>
      </c>
      <c r="C40" s="1166" t="str">
        <f>IF(B40="","",VLOOKUP($B40,'Análise Física Detalhada'!$E$13:$AB$380,2,0))</f>
        <v>Mobiliário de obra (mesa, cadeiras, armários)</v>
      </c>
      <c r="D40" s="1167"/>
      <c r="E40" s="1167"/>
      <c r="F40" s="1167"/>
      <c r="G40" s="1167"/>
      <c r="H40" s="1168"/>
      <c r="I40" s="422">
        <f>IF(B40="","",VLOOKUP($B40,'Análise Física Detalhada'!$E$13:$AB$380,8,0))</f>
        <v>0</v>
      </c>
      <c r="J40" s="423">
        <f>IF(B40="","",VLOOKUP($B40,'Análise Física Detalhada'!$E$13:$AB$380,9,0))</f>
        <v>0</v>
      </c>
      <c r="K40" s="424">
        <f>IF(B40="","",VLOOKUP($B40,'Análise Física Detalhada'!$E$13:$AB$380,12,0))</f>
        <v>1</v>
      </c>
      <c r="L40" s="425">
        <f>IF(B40="","",VLOOKUP($B40,'Análise Física Detalhada'!$E$13:$AB$380,13,0))</f>
        <v>1</v>
      </c>
      <c r="M40" s="426">
        <f>IF($B40="","",VLOOKUP($B40,Plan3!$A$16:$CT$384,HLOOKUP('Análise Física Macro'!$O$4,Plan3!$A$10:$CH$12,3)+3,0)/100)</f>
        <v>0</v>
      </c>
      <c r="N40" s="428">
        <f>IF($B40="","",VLOOKUP($B40,Plan3!$A$16:$CT$384,HLOOKUP('Análise Física Macro'!$O$4,Plan3!$A$10:$CH$12,3)+4,0)/100)</f>
        <v>0</v>
      </c>
      <c r="O40" s="1186"/>
      <c r="P40" s="1186"/>
      <c r="Q40" s="1186"/>
      <c r="R40" s="1186"/>
      <c r="S40" s="1186"/>
      <c r="T40" s="1186"/>
      <c r="U40" s="1186"/>
      <c r="V40" s="1186"/>
    </row>
    <row r="41" spans="1:22" s="231" customFormat="1" ht="30" customHeight="1" x14ac:dyDescent="0.2">
      <c r="A41" s="245">
        <v>3</v>
      </c>
      <c r="B41" s="421" t="str">
        <f>IF($A41&gt;MAX('Análise Física Detalhada'!$A$13:$A$380),"",VLOOKUP($A41,'Análise Física Detalhada'!$A$13:$E$380,5,0))</f>
        <v xml:space="preserve">03.000.000.002 </v>
      </c>
      <c r="C41" s="1166" t="str">
        <f>IF(B41="","",VLOOKUP($B41,'Análise Física Detalhada'!$E$13:$AB$380,2,0))</f>
        <v>Instalações provisórias de luz</v>
      </c>
      <c r="D41" s="1167"/>
      <c r="E41" s="1167"/>
      <c r="F41" s="1167"/>
      <c r="G41" s="1167"/>
      <c r="H41" s="1168"/>
      <c r="I41" s="422">
        <f>IF(B41="","",VLOOKUP($B41,'Análise Física Detalhada'!$E$13:$AB$380,8,0))</f>
        <v>0.5</v>
      </c>
      <c r="J41" s="423">
        <f>IF(B41="","",VLOOKUP($B41,'Análise Física Detalhada'!$E$13:$AB$380,9,0))</f>
        <v>0.5</v>
      </c>
      <c r="K41" s="424">
        <f>IF(B41="","",VLOOKUP($B41,'Análise Física Detalhada'!$E$13:$AB$380,12,0))</f>
        <v>1</v>
      </c>
      <c r="L41" s="425">
        <f>IF(B41="","",VLOOKUP($B41,'Análise Física Detalhada'!$E$13:$AB$380,13,0))</f>
        <v>1</v>
      </c>
      <c r="M41" s="426">
        <f>IF($B41="","",VLOOKUP($B41,Plan3!$A$16:$CT$384,HLOOKUP('Análise Física Macro'!$O$4,Plan3!$A$10:$CH$12,3)+3,0)/100)</f>
        <v>0</v>
      </c>
      <c r="N41" s="428">
        <f>IF($B41="","",VLOOKUP($B41,Plan3!$A$16:$CT$384,HLOOKUP('Análise Física Macro'!$O$4,Plan3!$A$10:$CH$12,3)+4,0)/100)</f>
        <v>0.5</v>
      </c>
      <c r="O41" s="1186"/>
      <c r="P41" s="1186"/>
      <c r="Q41" s="1186"/>
      <c r="R41" s="1186"/>
      <c r="S41" s="1186"/>
      <c r="T41" s="1186"/>
      <c r="U41" s="1186"/>
      <c r="V41" s="1186"/>
    </row>
    <row r="42" spans="1:22" s="231" customFormat="1" ht="30" customHeight="1" x14ac:dyDescent="0.2">
      <c r="A42" s="245">
        <v>4</v>
      </c>
      <c r="B42" s="421" t="str">
        <f>IF($A42&gt;MAX('Análise Física Detalhada'!$A$13:$A$380),"",VLOOKUP($A42,'Análise Física Detalhada'!$A$13:$E$380,5,0))</f>
        <v xml:space="preserve">03.000.000.003 </v>
      </c>
      <c r="C42" s="1166" t="str">
        <f>IF(B42="","",VLOOKUP($B42,'Análise Física Detalhada'!$E$13:$AB$380,2,0))</f>
        <v>Instalação provisória de incêndio</v>
      </c>
      <c r="D42" s="1167"/>
      <c r="E42" s="1167"/>
      <c r="F42" s="1167"/>
      <c r="G42" s="1167"/>
      <c r="H42" s="1168"/>
      <c r="I42" s="422">
        <f>IF(B42="","",VLOOKUP($B42,'Análise Física Detalhada'!$E$13:$AB$380,8,0))</f>
        <v>0</v>
      </c>
      <c r="J42" s="423">
        <f>IF(B42="","",VLOOKUP($B42,'Análise Física Detalhada'!$E$13:$AB$380,9,0))</f>
        <v>0</v>
      </c>
      <c r="K42" s="424">
        <f>IF(B42="","",VLOOKUP($B42,'Análise Física Detalhada'!$E$13:$AB$380,12,0))</f>
        <v>1</v>
      </c>
      <c r="L42" s="425">
        <f>IF(B42="","",VLOOKUP($B42,'Análise Física Detalhada'!$E$13:$AB$380,13,0))</f>
        <v>1</v>
      </c>
      <c r="M42" s="426">
        <f>IF($B42="","",VLOOKUP($B42,Plan3!$A$16:$CT$384,HLOOKUP('Análise Física Macro'!$O$4,Plan3!$A$10:$CH$12,3)+3,0)/100)</f>
        <v>1</v>
      </c>
      <c r="N42" s="428">
        <f>IF($B42="","",VLOOKUP($B42,Plan3!$A$16:$CT$384,HLOOKUP('Análise Física Macro'!$O$4,Plan3!$A$10:$CH$12,3)+4,0)/100)</f>
        <v>1</v>
      </c>
      <c r="O42" s="1186"/>
      <c r="P42" s="1186"/>
      <c r="Q42" s="1186"/>
      <c r="R42" s="1186"/>
      <c r="S42" s="1186"/>
      <c r="T42" s="1186"/>
      <c r="U42" s="1186"/>
      <c r="V42" s="1186"/>
    </row>
    <row r="43" spans="1:22" s="231" customFormat="1" ht="30" customHeight="1" x14ac:dyDescent="0.2">
      <c r="A43" s="245">
        <v>5</v>
      </c>
      <c r="B43" s="421" t="str">
        <f>IF($A43&gt;MAX('Análise Física Detalhada'!$A$13:$A$380),"",VLOOKUP($A43,'Análise Física Detalhada'!$A$13:$E$380,5,0))</f>
        <v/>
      </c>
      <c r="C43" s="1166" t="str">
        <f>IF(B43="","",VLOOKUP($B43,'Análise Física Detalhada'!$E$13:$AB$380,2,0))</f>
        <v/>
      </c>
      <c r="D43" s="1167"/>
      <c r="E43" s="1167"/>
      <c r="F43" s="1167"/>
      <c r="G43" s="1167"/>
      <c r="H43" s="1168"/>
      <c r="I43" s="422" t="str">
        <f>IF(B43="","",VLOOKUP($B43,'Análise Física Detalhada'!$E$13:$AB$380,8,0))</f>
        <v/>
      </c>
      <c r="J43" s="423" t="str">
        <f>IF(B43="","",VLOOKUP($B43,'Análise Física Detalhada'!$E$13:$AB$380,9,0))</f>
        <v/>
      </c>
      <c r="K43" s="424" t="str">
        <f>IF(B43="","",VLOOKUP($B43,'Análise Física Detalhada'!$E$13:$AB$380,12,0))</f>
        <v/>
      </c>
      <c r="L43" s="425" t="str">
        <f>IF(B43="","",VLOOKUP($B43,'Análise Física Detalhada'!$E$13:$AB$380,13,0))</f>
        <v/>
      </c>
      <c r="M43" s="426" t="str">
        <f>IF($B43="","",VLOOKUP($B43,Plan3!$A$16:$CT$384,HLOOKUP('Análise Física Macro'!$O$4,Plan3!$A$10:$CH$12,3)+3,0)/100)</f>
        <v/>
      </c>
      <c r="N43" s="428" t="str">
        <f>IF($B43="","",VLOOKUP($B43,Plan3!$A$16:$CT$384,HLOOKUP('Análise Física Macro'!$O$4,Plan3!$A$10:$CH$12,3)+4,0)/100)</f>
        <v/>
      </c>
      <c r="O43" s="1186"/>
      <c r="P43" s="1186"/>
      <c r="Q43" s="1186"/>
      <c r="R43" s="1186"/>
      <c r="S43" s="1186"/>
      <c r="T43" s="1186"/>
      <c r="U43" s="1186"/>
      <c r="V43" s="1186"/>
    </row>
    <row r="44" spans="1:22" s="231" customFormat="1" ht="30" customHeight="1" x14ac:dyDescent="0.2">
      <c r="A44" s="245">
        <v>6</v>
      </c>
      <c r="B44" s="421" t="str">
        <f>IF($A44&gt;MAX('Análise Física Detalhada'!$A$13:$A$380),"",VLOOKUP($A44,'Análise Física Detalhada'!$A$13:$E$380,5,0))</f>
        <v/>
      </c>
      <c r="C44" s="1166" t="str">
        <f>IF(B44="","",VLOOKUP($B44,'Análise Física Detalhada'!$E$13:$AB$380,2,0))</f>
        <v/>
      </c>
      <c r="D44" s="1167"/>
      <c r="E44" s="1167"/>
      <c r="F44" s="1167"/>
      <c r="G44" s="1167"/>
      <c r="H44" s="1168"/>
      <c r="I44" s="422" t="str">
        <f>IF(B44="","",VLOOKUP($B44,'Análise Física Detalhada'!$E$13:$AB$380,8,0))</f>
        <v/>
      </c>
      <c r="J44" s="423" t="str">
        <f>IF(B44="","",VLOOKUP($B44,'Análise Física Detalhada'!$E$13:$AB$380,9,0))</f>
        <v/>
      </c>
      <c r="K44" s="424" t="str">
        <f>IF(B44="","",VLOOKUP($B44,'Análise Física Detalhada'!$E$13:$AB$380,12,0))</f>
        <v/>
      </c>
      <c r="L44" s="425" t="str">
        <f>IF(B44="","",VLOOKUP($B44,'Análise Física Detalhada'!$E$13:$AB$380,13,0))</f>
        <v/>
      </c>
      <c r="M44" s="426" t="str">
        <f>IF($B44="","",VLOOKUP($B44,Plan3!$A$16:$CT$384,HLOOKUP('Análise Física Macro'!$O$4,Plan3!$A$10:$CH$12,3)+3,0)/100)</f>
        <v/>
      </c>
      <c r="N44" s="428" t="str">
        <f>IF($B44="","",VLOOKUP($B44,Plan3!$A$16:$CT$384,HLOOKUP('Análise Física Macro'!$O$4,Plan3!$A$10:$CH$12,3)+4,0)/100)</f>
        <v/>
      </c>
      <c r="O44" s="1175"/>
      <c r="P44" s="1175"/>
      <c r="Q44" s="1175"/>
      <c r="R44" s="1175"/>
      <c r="S44" s="1175"/>
      <c r="T44" s="1175"/>
      <c r="U44" s="1175"/>
      <c r="V44" s="1175"/>
    </row>
    <row r="45" spans="1:22" s="231" customFormat="1" ht="30" customHeight="1" x14ac:dyDescent="0.2">
      <c r="A45" s="245">
        <v>7</v>
      </c>
      <c r="B45" s="421" t="str">
        <f>IF($A45&gt;MAX('Análise Física Detalhada'!$A$13:$A$380),"",VLOOKUP($A45,'Análise Física Detalhada'!$A$13:$E$380,5,0))</f>
        <v/>
      </c>
      <c r="C45" s="1166" t="str">
        <f>IF(B45="","",VLOOKUP($B45,'Análise Física Detalhada'!$E$13:$AB$380,2,0))</f>
        <v/>
      </c>
      <c r="D45" s="1167"/>
      <c r="E45" s="1167"/>
      <c r="F45" s="1167"/>
      <c r="G45" s="1167"/>
      <c r="H45" s="1168"/>
      <c r="I45" s="422" t="str">
        <f>IF(B45="","",VLOOKUP($B45,'Análise Física Detalhada'!$E$13:$AB$380,8,0))</f>
        <v/>
      </c>
      <c r="J45" s="423" t="str">
        <f>IF(B45="","",VLOOKUP($B45,'Análise Física Detalhada'!$E$13:$AB$380,9,0))</f>
        <v/>
      </c>
      <c r="K45" s="424" t="str">
        <f>IF(B45="","",VLOOKUP($B45,'Análise Física Detalhada'!$E$13:$AB$380,12,0))</f>
        <v/>
      </c>
      <c r="L45" s="425" t="str">
        <f>IF(B45="","",VLOOKUP($B45,'Análise Física Detalhada'!$E$13:$AB$380,13,0))</f>
        <v/>
      </c>
      <c r="M45" s="426" t="str">
        <f>IF($B45="","",VLOOKUP($B45,Plan3!$A$16:$CT$384,HLOOKUP('Análise Física Macro'!$O$4,Plan3!$A$10:$CH$12,3)+3,0)/100)</f>
        <v/>
      </c>
      <c r="N45" s="428" t="str">
        <f>IF($B45="","",VLOOKUP($B45,Plan3!$A$16:$CT$384,HLOOKUP('Análise Física Macro'!$O$4,Plan3!$A$10:$CH$12,3)+4,0)/100)</f>
        <v/>
      </c>
      <c r="O45" s="1163"/>
      <c r="P45" s="1163"/>
      <c r="Q45" s="1163"/>
      <c r="R45" s="1163"/>
      <c r="S45" s="1163"/>
      <c r="T45" s="1163"/>
      <c r="U45" s="1163"/>
      <c r="V45" s="1163"/>
    </row>
    <row r="46" spans="1:22" s="231" customFormat="1" ht="30" customHeight="1" x14ac:dyDescent="0.2">
      <c r="A46" s="245">
        <v>8</v>
      </c>
      <c r="B46" s="421" t="str">
        <f>IF($A46&gt;MAX('Análise Física Detalhada'!$A$13:$A$380),"",VLOOKUP($A46,'Análise Física Detalhada'!$A$13:$E$380,5,0))</f>
        <v/>
      </c>
      <c r="C46" s="1166" t="str">
        <f>IF(B46="","",VLOOKUP($B46,'Análise Física Detalhada'!$E$13:$AB$380,2,0))</f>
        <v/>
      </c>
      <c r="D46" s="1167"/>
      <c r="E46" s="1167"/>
      <c r="F46" s="1167"/>
      <c r="G46" s="1167"/>
      <c r="H46" s="1168"/>
      <c r="I46" s="422" t="str">
        <f>IF(B46="","",VLOOKUP($B46,'Análise Física Detalhada'!$E$13:$AB$380,8,0))</f>
        <v/>
      </c>
      <c r="J46" s="423" t="str">
        <f>IF(B46="","",VLOOKUP($B46,'Análise Física Detalhada'!$E$13:$AB$380,9,0))</f>
        <v/>
      </c>
      <c r="K46" s="424" t="str">
        <f>IF(B46="","",VLOOKUP($B46,'Análise Física Detalhada'!$E$13:$AB$380,12,0))</f>
        <v/>
      </c>
      <c r="L46" s="425" t="str">
        <f>IF(B46="","",VLOOKUP($B46,'Análise Física Detalhada'!$E$13:$AB$380,13,0))</f>
        <v/>
      </c>
      <c r="M46" s="426" t="str">
        <f>IF($B46="","",VLOOKUP($B46,Plan3!$A$16:$CT$384,HLOOKUP('Análise Física Macro'!$O$4,Plan3!$A$10:$CH$12,3)+3,0)/100)</f>
        <v/>
      </c>
      <c r="N46" s="428" t="str">
        <f>IF($B46="","",VLOOKUP($B46,Plan3!$A$16:$CT$384,HLOOKUP('Análise Física Macro'!$O$4,Plan3!$A$10:$CH$12,3)+4,0)/100)</f>
        <v/>
      </c>
      <c r="O46" s="1175"/>
      <c r="P46" s="1175"/>
      <c r="Q46" s="1175"/>
      <c r="R46" s="1175"/>
      <c r="S46" s="1175"/>
      <c r="T46" s="1175"/>
      <c r="U46" s="1175"/>
      <c r="V46" s="1175"/>
    </row>
    <row r="47" spans="1:22" s="231" customFormat="1" ht="30" customHeight="1" x14ac:dyDescent="0.2">
      <c r="A47" s="245">
        <v>9</v>
      </c>
      <c r="B47" s="421" t="str">
        <f>IF($A47&gt;MAX('Análise Física Detalhada'!$A$13:$A$380),"",VLOOKUP($A47,'Análise Física Detalhada'!$A$13:$E$380,5,0))</f>
        <v/>
      </c>
      <c r="C47" s="1166" t="str">
        <f>IF(B47="","",VLOOKUP($B47,'Análise Física Detalhada'!$E$13:$AB$380,2,0))</f>
        <v/>
      </c>
      <c r="D47" s="1167"/>
      <c r="E47" s="1167"/>
      <c r="F47" s="1167"/>
      <c r="G47" s="1167"/>
      <c r="H47" s="1168"/>
      <c r="I47" s="422" t="str">
        <f>IF(B47="","",VLOOKUP($B47,'Análise Física Detalhada'!$E$13:$AB$380,8,0))</f>
        <v/>
      </c>
      <c r="J47" s="423" t="str">
        <f>IF(B47="","",VLOOKUP($B47,'Análise Física Detalhada'!$E$13:$AB$380,9,0))</f>
        <v/>
      </c>
      <c r="K47" s="424" t="str">
        <f>IF(B47="","",VLOOKUP($B47,'Análise Física Detalhada'!$E$13:$AB$380,12,0))</f>
        <v/>
      </c>
      <c r="L47" s="425" t="str">
        <f>IF(B47="","",VLOOKUP($B47,'Análise Física Detalhada'!$E$13:$AB$380,13,0))</f>
        <v/>
      </c>
      <c r="M47" s="426" t="str">
        <f>IF($B47="","",VLOOKUP($B47,Plan3!$A$16:$CT$384,HLOOKUP('Análise Física Macro'!$O$4,Plan3!$A$10:$CH$12,3)+3,0)/100)</f>
        <v/>
      </c>
      <c r="N47" s="428" t="str">
        <f>IF($B47="","",VLOOKUP($B47,Plan3!$A$16:$CT$384,HLOOKUP('Análise Física Macro'!$O$4,Plan3!$A$10:$CH$12,3)+4,0)/100)</f>
        <v/>
      </c>
      <c r="O47" s="1175"/>
      <c r="P47" s="1175"/>
      <c r="Q47" s="1175"/>
      <c r="R47" s="1175"/>
      <c r="S47" s="1175"/>
      <c r="T47" s="1175"/>
      <c r="U47" s="1175"/>
      <c r="V47" s="1175"/>
    </row>
    <row r="48" spans="1:22" s="231" customFormat="1" ht="30" customHeight="1" x14ac:dyDescent="0.2">
      <c r="A48" s="245">
        <v>10</v>
      </c>
      <c r="B48" s="421" t="str">
        <f>IF($A48&gt;MAX('Análise Física Detalhada'!$A$13:$A$380),"",VLOOKUP($A48,'Análise Física Detalhada'!$A$13:$E$380,5,0))</f>
        <v/>
      </c>
      <c r="C48" s="1166" t="str">
        <f>IF(B48="","",VLOOKUP($B48,'Análise Física Detalhada'!$E$13:$AB$380,2,0))</f>
        <v/>
      </c>
      <c r="D48" s="1167"/>
      <c r="E48" s="1167"/>
      <c r="F48" s="1167"/>
      <c r="G48" s="1167"/>
      <c r="H48" s="1168"/>
      <c r="I48" s="422" t="str">
        <f>IF(B48="","",VLOOKUP($B48,'Análise Física Detalhada'!$E$13:$AB$380,8,0))</f>
        <v/>
      </c>
      <c r="J48" s="423" t="str">
        <f>IF(B48="","",VLOOKUP($B48,'Análise Física Detalhada'!$E$13:$AB$380,9,0))</f>
        <v/>
      </c>
      <c r="K48" s="424" t="str">
        <f>IF(B48="","",VLOOKUP($B48,'Análise Física Detalhada'!$E$13:$AB$380,12,0))</f>
        <v/>
      </c>
      <c r="L48" s="425" t="str">
        <f>IF(B48="","",VLOOKUP($B48,'Análise Física Detalhada'!$E$13:$AB$380,13,0))</f>
        <v/>
      </c>
      <c r="M48" s="426" t="str">
        <f>IF($B48="","",VLOOKUP($B48,Plan3!$A$16:$CT$384,HLOOKUP('Análise Física Macro'!$O$4,Plan3!$A$10:$CH$12,3)+3,0)/100)</f>
        <v/>
      </c>
      <c r="N48" s="428" t="str">
        <f>IF($B48="","",VLOOKUP($B48,Plan3!$A$16:$CT$384,HLOOKUP('Análise Física Macro'!$O$4,Plan3!$A$10:$CH$12,3)+4,0)/100)</f>
        <v/>
      </c>
      <c r="O48" s="1175"/>
      <c r="P48" s="1175"/>
      <c r="Q48" s="1175"/>
      <c r="R48" s="1175"/>
      <c r="S48" s="1175"/>
      <c r="T48" s="1175"/>
      <c r="U48" s="1175"/>
      <c r="V48" s="1175"/>
    </row>
    <row r="49" spans="1:22" s="231" customFormat="1" ht="30" customHeight="1" x14ac:dyDescent="0.2">
      <c r="A49" s="245">
        <v>11</v>
      </c>
      <c r="B49" s="421" t="str">
        <f>IF($A49&gt;MAX('Análise Física Detalhada'!$A$13:$A$380),"",VLOOKUP($A49,'Análise Física Detalhada'!$A$13:$E$380,5,0))</f>
        <v/>
      </c>
      <c r="C49" s="1166" t="str">
        <f>IF(B49="","",VLOOKUP($B49,'Análise Física Detalhada'!$E$13:$AB$380,2,0))</f>
        <v/>
      </c>
      <c r="D49" s="1167"/>
      <c r="E49" s="1167"/>
      <c r="F49" s="1167"/>
      <c r="G49" s="1167"/>
      <c r="H49" s="1168"/>
      <c r="I49" s="422" t="str">
        <f>IF(B49="","",VLOOKUP($B49,'Análise Física Detalhada'!$E$13:$AB$380,8,0))</f>
        <v/>
      </c>
      <c r="J49" s="423" t="str">
        <f>IF(B49="","",VLOOKUP($B49,'Análise Física Detalhada'!$E$13:$AB$380,9,0))</f>
        <v/>
      </c>
      <c r="K49" s="424" t="str">
        <f>IF(B49="","",VLOOKUP($B49,'Análise Física Detalhada'!$E$13:$AB$380,12,0))</f>
        <v/>
      </c>
      <c r="L49" s="425" t="str">
        <f>IF(B49="","",VLOOKUP($B49,'Análise Física Detalhada'!$E$13:$AB$380,13,0))</f>
        <v/>
      </c>
      <c r="M49" s="426" t="str">
        <f>IF($B49="","",VLOOKUP($B49,Plan3!$A$16:$CT$384,HLOOKUP('Análise Física Macro'!$O$4,Plan3!$A$10:$CH$12,3)+3,0)/100)</f>
        <v/>
      </c>
      <c r="N49" s="428" t="str">
        <f>IF($B49="","",VLOOKUP($B49,Plan3!$A$16:$CT$384,HLOOKUP('Análise Física Macro'!$O$4,Plan3!$A$10:$CH$12,3)+4,0)/100)</f>
        <v/>
      </c>
      <c r="O49" s="1175"/>
      <c r="P49" s="1175"/>
      <c r="Q49" s="1175"/>
      <c r="R49" s="1175"/>
      <c r="S49" s="1175"/>
      <c r="T49" s="1175"/>
      <c r="U49" s="1175"/>
      <c r="V49" s="1175"/>
    </row>
    <row r="50" spans="1:22" s="231" customFormat="1" ht="30" customHeight="1" x14ac:dyDescent="0.2">
      <c r="A50" s="245">
        <v>12</v>
      </c>
      <c r="B50" s="421" t="str">
        <f>IF($A50&gt;MAX('Análise Física Detalhada'!$A$13:$A$380),"",VLOOKUP($A50,'Análise Física Detalhada'!$A$13:$E$380,5,0))</f>
        <v/>
      </c>
      <c r="C50" s="1166" t="str">
        <f>IF(B50="","",VLOOKUP($B50,'Análise Física Detalhada'!$E$13:$AB$380,2,0))</f>
        <v/>
      </c>
      <c r="D50" s="1167"/>
      <c r="E50" s="1167"/>
      <c r="F50" s="1167"/>
      <c r="G50" s="1167"/>
      <c r="H50" s="1168"/>
      <c r="I50" s="422" t="str">
        <f>IF(B50="","",VLOOKUP($B50,'Análise Física Detalhada'!$E$13:$AB$380,8,0))</f>
        <v/>
      </c>
      <c r="J50" s="423" t="str">
        <f>IF(B50="","",VLOOKUP($B50,'Análise Física Detalhada'!$E$13:$AB$380,9,0))</f>
        <v/>
      </c>
      <c r="K50" s="424" t="str">
        <f>IF(B50="","",VLOOKUP($B50,'Análise Física Detalhada'!$E$13:$AB$380,12,0))</f>
        <v/>
      </c>
      <c r="L50" s="425" t="str">
        <f>IF(B50="","",VLOOKUP($B50,'Análise Física Detalhada'!$E$13:$AB$380,13,0))</f>
        <v/>
      </c>
      <c r="M50" s="426" t="str">
        <f>IF($B50="","",VLOOKUP($B50,Plan3!$A$16:$CT$384,HLOOKUP('Análise Física Macro'!$O$4,Plan3!$A$10:$CH$12,3)+3,0)/100)</f>
        <v/>
      </c>
      <c r="N50" s="428" t="str">
        <f>IF($B50="","",VLOOKUP($B50,Plan3!$A$16:$CT$384,HLOOKUP('Análise Física Macro'!$O$4,Plan3!$A$10:$CH$12,3)+4,0)/100)</f>
        <v/>
      </c>
      <c r="O50" s="1175"/>
      <c r="P50" s="1175"/>
      <c r="Q50" s="1175"/>
      <c r="R50" s="1175"/>
      <c r="S50" s="1175"/>
      <c r="T50" s="1175"/>
      <c r="U50" s="1175"/>
      <c r="V50" s="1175"/>
    </row>
    <row r="51" spans="1:22" s="231" customFormat="1" ht="30" customHeight="1" x14ac:dyDescent="0.2">
      <c r="A51" s="245">
        <v>13</v>
      </c>
      <c r="B51" s="421" t="str">
        <f>IF($A51&gt;MAX('Análise Física Detalhada'!$A$13:$A$380),"",VLOOKUP($A51,'Análise Física Detalhada'!$A$13:$E$380,5,0))</f>
        <v/>
      </c>
      <c r="C51" s="1166" t="str">
        <f>IF(B51="","",VLOOKUP($B51,'Análise Física Detalhada'!$E$13:$AB$380,2,0))</f>
        <v/>
      </c>
      <c r="D51" s="1167"/>
      <c r="E51" s="1167"/>
      <c r="F51" s="1167"/>
      <c r="G51" s="1167"/>
      <c r="H51" s="1168"/>
      <c r="I51" s="422" t="str">
        <f>IF(B51="","",VLOOKUP($B51,'Análise Física Detalhada'!$E$13:$AB$380,8,0))</f>
        <v/>
      </c>
      <c r="J51" s="423" t="str">
        <f>IF(B51="","",VLOOKUP($B51,'Análise Física Detalhada'!$E$13:$AB$380,9,0))</f>
        <v/>
      </c>
      <c r="K51" s="424" t="str">
        <f>IF(B51="","",VLOOKUP($B51,'Análise Física Detalhada'!$E$13:$AB$380,12,0))</f>
        <v/>
      </c>
      <c r="L51" s="425" t="str">
        <f>IF(B51="","",VLOOKUP($B51,'Análise Física Detalhada'!$E$13:$AB$380,13,0))</f>
        <v/>
      </c>
      <c r="M51" s="426" t="str">
        <f>IF($B51="","",VLOOKUP($B51,Plan3!$A$16:$CT$384,HLOOKUP('Análise Física Macro'!$O$4,Plan3!$A$10:$CH$12,3)+3,0)/100)</f>
        <v/>
      </c>
      <c r="N51" s="428" t="str">
        <f>IF($B51="","",VLOOKUP($B51,Plan3!$A$16:$CT$384,HLOOKUP('Análise Física Macro'!$O$4,Plan3!$A$10:$CH$12,3)+4,0)/100)</f>
        <v/>
      </c>
      <c r="O51" s="1175"/>
      <c r="P51" s="1175"/>
      <c r="Q51" s="1175"/>
      <c r="R51" s="1175"/>
      <c r="S51" s="1175"/>
      <c r="T51" s="1175"/>
      <c r="U51" s="1175"/>
      <c r="V51" s="1175"/>
    </row>
    <row r="52" spans="1:22" s="231" customFormat="1" ht="30" customHeight="1" x14ac:dyDescent="0.2">
      <c r="A52" s="245">
        <v>14</v>
      </c>
      <c r="B52" s="421" t="str">
        <f>IF($A52&gt;MAX('Análise Física Detalhada'!$A$13:$A$380),"",VLOOKUP($A52,'Análise Física Detalhada'!$A$13:$E$380,5,0))</f>
        <v/>
      </c>
      <c r="C52" s="1166" t="str">
        <f>IF(B52="","",VLOOKUP($B52,'Análise Física Detalhada'!$E$13:$AB$380,2,0))</f>
        <v/>
      </c>
      <c r="D52" s="1167"/>
      <c r="E52" s="1167"/>
      <c r="F52" s="1167"/>
      <c r="G52" s="1167"/>
      <c r="H52" s="1168"/>
      <c r="I52" s="422" t="str">
        <f>IF(B52="","",VLOOKUP($B52,'Análise Física Detalhada'!$E$13:$AB$380,8,0))</f>
        <v/>
      </c>
      <c r="J52" s="423" t="str">
        <f>IF(B52="","",VLOOKUP($B52,'Análise Física Detalhada'!$E$13:$AB$380,9,0))</f>
        <v/>
      </c>
      <c r="K52" s="424" t="str">
        <f>IF(B52="","",VLOOKUP($B52,'Análise Física Detalhada'!$E$13:$AB$380,12,0))</f>
        <v/>
      </c>
      <c r="L52" s="425" t="str">
        <f>IF(B52="","",VLOOKUP($B52,'Análise Física Detalhada'!$E$13:$AB$380,13,0))</f>
        <v/>
      </c>
      <c r="M52" s="426" t="str">
        <f>IF($B52="","",VLOOKUP($B52,Plan3!$A$16:$CT$384,HLOOKUP('Análise Física Macro'!$O$4,Plan3!$A$10:$CH$12,3)+3,0)/100)</f>
        <v/>
      </c>
      <c r="N52" s="428" t="str">
        <f>IF($B52="","",VLOOKUP($B52,Plan3!$A$16:$CT$384,HLOOKUP('Análise Física Macro'!$O$4,Plan3!$A$10:$CH$12,3)+4,0)/100)</f>
        <v/>
      </c>
      <c r="O52" s="1175"/>
      <c r="P52" s="1175"/>
      <c r="Q52" s="1175"/>
      <c r="R52" s="1175"/>
      <c r="S52" s="1175"/>
      <c r="T52" s="1175"/>
      <c r="U52" s="1175"/>
      <c r="V52" s="1175"/>
    </row>
    <row r="53" spans="1:22" s="231" customFormat="1" ht="30" customHeight="1" x14ac:dyDescent="0.2">
      <c r="A53" s="245">
        <v>15</v>
      </c>
      <c r="B53" s="421" t="str">
        <f>IF($A53&gt;MAX('Análise Física Detalhada'!$A$13:$A$380),"",VLOOKUP($A53,'Análise Física Detalhada'!$A$13:$E$380,5,0))</f>
        <v/>
      </c>
      <c r="C53" s="1166" t="str">
        <f>IF(B53="","",VLOOKUP($B53,'Análise Física Detalhada'!$E$13:$AB$380,2,0))</f>
        <v/>
      </c>
      <c r="D53" s="1167"/>
      <c r="E53" s="1167"/>
      <c r="F53" s="1167"/>
      <c r="G53" s="1167"/>
      <c r="H53" s="1168"/>
      <c r="I53" s="422" t="str">
        <f>IF(B53="","",VLOOKUP($B53,'Análise Física Detalhada'!$E$13:$AB$380,8,0))</f>
        <v/>
      </c>
      <c r="J53" s="423" t="str">
        <f>IF(B53="","",VLOOKUP($B53,'Análise Física Detalhada'!$E$13:$AB$380,9,0))</f>
        <v/>
      </c>
      <c r="K53" s="424" t="str">
        <f>IF(B53="","",VLOOKUP($B53,'Análise Física Detalhada'!$E$13:$AB$380,12,0))</f>
        <v/>
      </c>
      <c r="L53" s="425" t="str">
        <f>IF(B53="","",VLOOKUP($B53,'Análise Física Detalhada'!$E$13:$AB$380,13,0))</f>
        <v/>
      </c>
      <c r="M53" s="426" t="str">
        <f>IF($B53="","",VLOOKUP($B53,Plan3!$A$16:$CT$384,HLOOKUP('Análise Física Macro'!$O$4,Plan3!$A$10:$CH$12,3)+3,0)/100)</f>
        <v/>
      </c>
      <c r="N53" s="428" t="str">
        <f>IF($B53="","",VLOOKUP($B53,Plan3!$A$16:$CT$384,HLOOKUP('Análise Física Macro'!$O$4,Plan3!$A$10:$CH$12,3)+4,0)/100)</f>
        <v/>
      </c>
      <c r="O53" s="1175"/>
      <c r="P53" s="1175"/>
      <c r="Q53" s="1175"/>
      <c r="R53" s="1175"/>
      <c r="S53" s="1175"/>
      <c r="T53" s="1175"/>
      <c r="U53" s="1175"/>
      <c r="V53" s="1175"/>
    </row>
    <row r="54" spans="1:22" s="231" customFormat="1" ht="30" customHeight="1" x14ac:dyDescent="0.2">
      <c r="A54" s="245">
        <v>16</v>
      </c>
      <c r="B54" s="421" t="str">
        <f>IF($A54&gt;MAX('Análise Física Detalhada'!$A$13:$A$380),"",VLOOKUP($A54,'Análise Física Detalhada'!$A$13:$E$380,5,0))</f>
        <v/>
      </c>
      <c r="C54" s="1166" t="str">
        <f>IF(B54="","",VLOOKUP($B54,'Análise Física Detalhada'!$E$13:$AB$380,2,0))</f>
        <v/>
      </c>
      <c r="D54" s="1167"/>
      <c r="E54" s="1167"/>
      <c r="F54" s="1167"/>
      <c r="G54" s="1167"/>
      <c r="H54" s="1168"/>
      <c r="I54" s="422" t="str">
        <f>IF(B54="","",VLOOKUP($B54,'Análise Física Detalhada'!$E$13:$AB$380,8,0))</f>
        <v/>
      </c>
      <c r="J54" s="423" t="str">
        <f>IF(B54="","",VLOOKUP($B54,'Análise Física Detalhada'!$E$13:$AB$380,9,0))</f>
        <v/>
      </c>
      <c r="K54" s="424" t="str">
        <f>IF(B54="","",VLOOKUP($B54,'Análise Física Detalhada'!$E$13:$AB$380,12,0))</f>
        <v/>
      </c>
      <c r="L54" s="425" t="str">
        <f>IF(B54="","",VLOOKUP($B54,'Análise Física Detalhada'!$E$13:$AB$380,13,0))</f>
        <v/>
      </c>
      <c r="M54" s="426" t="str">
        <f>IF($B54="","",VLOOKUP($B54,Plan3!$A$16:$CT$384,HLOOKUP('Análise Física Macro'!$O$4,Plan3!$A$10:$CH$12,3)+3,0)/100)</f>
        <v/>
      </c>
      <c r="N54" s="428" t="str">
        <f>IF($B54="","",VLOOKUP($B54,Plan3!$A$16:$CT$384,HLOOKUP('Análise Física Macro'!$O$4,Plan3!$A$10:$CH$12,3)+4,0)/100)</f>
        <v/>
      </c>
      <c r="O54" s="1175"/>
      <c r="P54" s="1175"/>
      <c r="Q54" s="1175"/>
      <c r="R54" s="1175"/>
      <c r="S54" s="1175"/>
      <c r="T54" s="1175"/>
      <c r="U54" s="1175"/>
      <c r="V54" s="1175"/>
    </row>
    <row r="55" spans="1:22" s="231" customFormat="1" ht="30" customHeight="1" x14ac:dyDescent="0.2">
      <c r="A55" s="245">
        <v>17</v>
      </c>
      <c r="B55" s="421" t="str">
        <f>IF($A55&gt;MAX('Análise Física Detalhada'!$A$13:$A$380),"",VLOOKUP($A55,'Análise Física Detalhada'!$A$13:$E$380,5,0))</f>
        <v/>
      </c>
      <c r="C55" s="1166" t="str">
        <f>IF(B55="","",VLOOKUP($B55,'Análise Física Detalhada'!$E$13:$AB$380,2,0))</f>
        <v/>
      </c>
      <c r="D55" s="1167"/>
      <c r="E55" s="1167"/>
      <c r="F55" s="1167"/>
      <c r="G55" s="1167"/>
      <c r="H55" s="1168"/>
      <c r="I55" s="422" t="str">
        <f>IF(B55="","",VLOOKUP($B55,'Análise Física Detalhada'!$E$13:$AB$380,8,0))</f>
        <v/>
      </c>
      <c r="J55" s="423" t="str">
        <f>IF(B55="","",VLOOKUP($B55,'Análise Física Detalhada'!$E$13:$AB$380,9,0))</f>
        <v/>
      </c>
      <c r="K55" s="424" t="str">
        <f>IF(B55="","",VLOOKUP($B55,'Análise Física Detalhada'!$E$13:$AB$380,12,0))</f>
        <v/>
      </c>
      <c r="L55" s="425" t="str">
        <f>IF(B55="","",VLOOKUP($B55,'Análise Física Detalhada'!$E$13:$AB$380,13,0))</f>
        <v/>
      </c>
      <c r="M55" s="426" t="str">
        <f>IF($B55="","",VLOOKUP($B55,Plan3!$A$16:$CT$384,HLOOKUP('Análise Física Macro'!$O$4,Plan3!$A$10:$CH$12,3)+3,0)/100)</f>
        <v/>
      </c>
      <c r="N55" s="428" t="str">
        <f>IF($B55="","",VLOOKUP($B55,Plan3!$A$16:$CT$384,HLOOKUP('Análise Física Macro'!$O$4,Plan3!$A$10:$CH$12,3)+4,0)/100)</f>
        <v/>
      </c>
      <c r="O55" s="1175"/>
      <c r="P55" s="1175"/>
      <c r="Q55" s="1175"/>
      <c r="R55" s="1175"/>
      <c r="S55" s="1175"/>
      <c r="T55" s="1175"/>
      <c r="U55" s="1175"/>
      <c r="V55" s="1175"/>
    </row>
    <row r="56" spans="1:22" s="231" customFormat="1" ht="30" customHeight="1" x14ac:dyDescent="0.2">
      <c r="A56" s="245">
        <v>18</v>
      </c>
      <c r="B56" s="421" t="str">
        <f>IF($A56&gt;MAX('Análise Física Detalhada'!$A$13:$A$380),"",VLOOKUP($A56,'Análise Física Detalhada'!$A$13:$E$380,5,0))</f>
        <v/>
      </c>
      <c r="C56" s="1166" t="str">
        <f>IF(B56="","",VLOOKUP($B56,'Análise Física Detalhada'!$E$13:$AB$380,2,0))</f>
        <v/>
      </c>
      <c r="D56" s="1167"/>
      <c r="E56" s="1167"/>
      <c r="F56" s="1167"/>
      <c r="G56" s="1167"/>
      <c r="H56" s="1168"/>
      <c r="I56" s="422" t="str">
        <f>IF(B56="","",VLOOKUP($B56,'Análise Física Detalhada'!$E$13:$AB$380,8,0))</f>
        <v/>
      </c>
      <c r="J56" s="423" t="str">
        <f>IF(B56="","",VLOOKUP($B56,'Análise Física Detalhada'!$E$13:$AB$380,9,0))</f>
        <v/>
      </c>
      <c r="K56" s="424" t="str">
        <f>IF(B56="","",VLOOKUP($B56,'Análise Física Detalhada'!$E$13:$AB$380,12,0))</f>
        <v/>
      </c>
      <c r="L56" s="425" t="str">
        <f>IF(B56="","",VLOOKUP($B56,'Análise Física Detalhada'!$E$13:$AB$380,13,0))</f>
        <v/>
      </c>
      <c r="M56" s="426" t="str">
        <f>IF($B56="","",VLOOKUP($B56,Plan3!$A$16:$CT$384,HLOOKUP('Análise Física Macro'!$O$4,Plan3!$A$10:$CH$12,3)+3,0)/100)</f>
        <v/>
      </c>
      <c r="N56" s="428" t="str">
        <f>IF($B56="","",VLOOKUP($B56,Plan3!$A$16:$CT$384,HLOOKUP('Análise Física Macro'!$O$4,Plan3!$A$10:$CH$12,3)+4,0)/100)</f>
        <v/>
      </c>
      <c r="O56" s="1175"/>
      <c r="P56" s="1175"/>
      <c r="Q56" s="1175"/>
      <c r="R56" s="1175"/>
      <c r="S56" s="1175"/>
      <c r="T56" s="1175"/>
      <c r="U56" s="1175"/>
      <c r="V56" s="1175"/>
    </row>
    <row r="57" spans="1:22" s="231" customFormat="1" ht="30" customHeight="1" x14ac:dyDescent="0.2">
      <c r="A57" s="245">
        <v>19</v>
      </c>
      <c r="B57" s="421" t="str">
        <f>IF($A57&gt;MAX('Análise Física Detalhada'!$A$13:$A$380),"",VLOOKUP($A57,'Análise Física Detalhada'!$A$13:$E$380,5,0))</f>
        <v/>
      </c>
      <c r="C57" s="1166" t="str">
        <f>IF(B57="","",VLOOKUP($B57,'Análise Física Detalhada'!$E$13:$AB$380,2,0))</f>
        <v/>
      </c>
      <c r="D57" s="1167"/>
      <c r="E57" s="1167"/>
      <c r="F57" s="1167"/>
      <c r="G57" s="1167"/>
      <c r="H57" s="1168"/>
      <c r="I57" s="422" t="str">
        <f>IF(B57="","",VLOOKUP($B57,'Análise Física Detalhada'!$E$13:$AB$380,8,0))</f>
        <v/>
      </c>
      <c r="J57" s="423" t="str">
        <f>IF(B57="","",VLOOKUP($B57,'Análise Física Detalhada'!$E$13:$AB$380,9,0))</f>
        <v/>
      </c>
      <c r="K57" s="424" t="str">
        <f>IF(B57="","",VLOOKUP($B57,'Análise Física Detalhada'!$E$13:$AB$380,12,0))</f>
        <v/>
      </c>
      <c r="L57" s="425" t="str">
        <f>IF(B57="","",VLOOKUP($B57,'Análise Física Detalhada'!$E$13:$AB$380,13,0))</f>
        <v/>
      </c>
      <c r="M57" s="426" t="str">
        <f>IF($B57="","",VLOOKUP($B57,Plan3!$A$16:$CT$384,HLOOKUP('Análise Física Macro'!$O$4,Plan3!$A$10:$CH$12,3)+3,0)/100)</f>
        <v/>
      </c>
      <c r="N57" s="428" t="str">
        <f>IF($B57="","",VLOOKUP($B57,Plan3!$A$16:$CT$384,HLOOKUP('Análise Física Macro'!$O$4,Plan3!$A$10:$CH$12,3)+4,0)/100)</f>
        <v/>
      </c>
      <c r="O57" s="1175"/>
      <c r="P57" s="1175"/>
      <c r="Q57" s="1175"/>
      <c r="R57" s="1175"/>
      <c r="S57" s="1175"/>
      <c r="T57" s="1175"/>
      <c r="U57" s="1175"/>
      <c r="V57" s="1175"/>
    </row>
    <row r="58" spans="1:22" s="231" customFormat="1" ht="30" customHeight="1" x14ac:dyDescent="0.2">
      <c r="A58" s="245">
        <v>20</v>
      </c>
      <c r="B58" s="421" t="str">
        <f>IF($A58&gt;MAX('Análise Física Detalhada'!$A$13:$A$380),"",VLOOKUP($A58,'Análise Física Detalhada'!$A$13:$E$380,5,0))</f>
        <v/>
      </c>
      <c r="C58" s="1166" t="str">
        <f>IF(B58="","",VLOOKUP($B58,'Análise Física Detalhada'!$E$13:$AB$380,2,0))</f>
        <v/>
      </c>
      <c r="D58" s="1167"/>
      <c r="E58" s="1167"/>
      <c r="F58" s="1167"/>
      <c r="G58" s="1167"/>
      <c r="H58" s="1168"/>
      <c r="I58" s="422" t="str">
        <f>IF(B58="","",VLOOKUP($B58,'Análise Física Detalhada'!$E$13:$AB$380,8,0))</f>
        <v/>
      </c>
      <c r="J58" s="423" t="str">
        <f>IF(B58="","",VLOOKUP($B58,'Análise Física Detalhada'!$E$13:$AB$380,9,0))</f>
        <v/>
      </c>
      <c r="K58" s="424" t="str">
        <f>IF(B58="","",VLOOKUP($B58,'Análise Física Detalhada'!$E$13:$AB$380,12,0))</f>
        <v/>
      </c>
      <c r="L58" s="425" t="str">
        <f>IF(B58="","",VLOOKUP($B58,'Análise Física Detalhada'!$E$13:$AB$380,13,0))</f>
        <v/>
      </c>
      <c r="M58" s="426" t="str">
        <f>IF($B58="","",VLOOKUP($B58,Plan3!$A$16:$CT$384,HLOOKUP('Análise Física Macro'!$O$4,Plan3!$A$10:$CH$12,3)+3,0)/100)</f>
        <v/>
      </c>
      <c r="N58" s="428" t="str">
        <f>IF($B58="","",VLOOKUP($B58,Plan3!$A$16:$CT$384,HLOOKUP('Análise Física Macro'!$O$4,Plan3!$A$10:$CH$12,3)+4,0)/100)</f>
        <v/>
      </c>
      <c r="O58" s="1175"/>
      <c r="P58" s="1175"/>
      <c r="Q58" s="1175"/>
      <c r="R58" s="1175"/>
      <c r="S58" s="1175"/>
      <c r="T58" s="1175"/>
      <c r="U58" s="1175"/>
      <c r="V58" s="1175"/>
    </row>
    <row r="59" spans="1:22" s="231" customFormat="1" ht="30" customHeight="1" x14ac:dyDescent="0.2">
      <c r="A59" s="245">
        <v>21</v>
      </c>
      <c r="B59" s="421" t="str">
        <f>IF($A59&gt;MAX('Análise Física Detalhada'!$A$13:$A$380),"",VLOOKUP($A59,'Análise Física Detalhada'!$A$13:$E$380,5,0))</f>
        <v/>
      </c>
      <c r="C59" s="1166" t="str">
        <f>IF(B59="","",VLOOKUP($B59,'Análise Física Detalhada'!$E$13:$AB$380,2,0))</f>
        <v/>
      </c>
      <c r="D59" s="1167"/>
      <c r="E59" s="1167"/>
      <c r="F59" s="1167"/>
      <c r="G59" s="1167"/>
      <c r="H59" s="1168"/>
      <c r="I59" s="422" t="str">
        <f>IF(B59="","",VLOOKUP($B59,'Análise Física Detalhada'!$E$13:$AB$380,8,0))</f>
        <v/>
      </c>
      <c r="J59" s="423" t="str">
        <f>IF(B59="","",VLOOKUP($B59,'Análise Física Detalhada'!$E$13:$AB$380,9,0))</f>
        <v/>
      </c>
      <c r="K59" s="424" t="str">
        <f>IF(B59="","",VLOOKUP($B59,'Análise Física Detalhada'!$E$13:$AB$380,12,0))</f>
        <v/>
      </c>
      <c r="L59" s="425" t="str">
        <f>IF(B59="","",VLOOKUP($B59,'Análise Física Detalhada'!$E$13:$AB$380,13,0))</f>
        <v/>
      </c>
      <c r="M59" s="426" t="str">
        <f>IF($B59="","",VLOOKUP($B59,Plan3!$A$16:$CT$384,HLOOKUP('Análise Física Macro'!$O$4,Plan3!$A$10:$CH$12,3)+3,0)/100)</f>
        <v/>
      </c>
      <c r="N59" s="428" t="str">
        <f>IF($B59="","",VLOOKUP($B59,Plan3!$A$16:$CT$384,HLOOKUP('Análise Física Macro'!$O$4,Plan3!$A$10:$CH$12,3)+4,0)/100)</f>
        <v/>
      </c>
      <c r="O59" s="1175"/>
      <c r="P59" s="1175"/>
      <c r="Q59" s="1175"/>
      <c r="R59" s="1175"/>
      <c r="S59" s="1175"/>
      <c r="T59" s="1175"/>
      <c r="U59" s="1175"/>
      <c r="V59" s="1175"/>
    </row>
    <row r="60" spans="1:22" s="231" customFormat="1" ht="30" customHeight="1" x14ac:dyDescent="0.2">
      <c r="A60" s="245">
        <v>22</v>
      </c>
      <c r="B60" s="421" t="str">
        <f>IF($A60&gt;MAX('Análise Física Detalhada'!$A$13:$A$380),"",VLOOKUP($A60,'Análise Física Detalhada'!$A$13:$E$380,5,0))</f>
        <v/>
      </c>
      <c r="C60" s="1166" t="str">
        <f>IF(B60="","",VLOOKUP($B60,'Análise Física Detalhada'!$E$13:$AB$380,2,0))</f>
        <v/>
      </c>
      <c r="D60" s="1167"/>
      <c r="E60" s="1167"/>
      <c r="F60" s="1167"/>
      <c r="G60" s="1167"/>
      <c r="H60" s="1168"/>
      <c r="I60" s="422" t="str">
        <f>IF(B60="","",VLOOKUP($B60,'Análise Física Detalhada'!$E$13:$AB$380,8,0))</f>
        <v/>
      </c>
      <c r="J60" s="423" t="str">
        <f>IF(B60="","",VLOOKUP($B60,'Análise Física Detalhada'!$E$13:$AB$380,9,0))</f>
        <v/>
      </c>
      <c r="K60" s="424" t="str">
        <f>IF(B60="","",VLOOKUP($B60,'Análise Física Detalhada'!$E$13:$AB$380,12,0))</f>
        <v/>
      </c>
      <c r="L60" s="425" t="str">
        <f>IF(B60="","",VLOOKUP($B60,'Análise Física Detalhada'!$E$13:$AB$380,13,0))</f>
        <v/>
      </c>
      <c r="M60" s="426" t="str">
        <f>IF($B60="","",VLOOKUP($B60,Plan3!$A$16:$CT$384,HLOOKUP('Análise Física Macro'!$O$4,Plan3!$A$10:$CH$12,3)+3,0)/100)</f>
        <v/>
      </c>
      <c r="N60" s="428" t="str">
        <f>IF($B60="","",VLOOKUP($B60,Plan3!$A$16:$CT$384,HLOOKUP('Análise Física Macro'!$O$4,Plan3!$A$10:$CH$12,3)+4,0)/100)</f>
        <v/>
      </c>
      <c r="O60" s="1175"/>
      <c r="P60" s="1175"/>
      <c r="Q60" s="1175"/>
      <c r="R60" s="1175"/>
      <c r="S60" s="1175"/>
      <c r="T60" s="1175"/>
      <c r="U60" s="1175"/>
      <c r="V60" s="1175"/>
    </row>
    <row r="61" spans="1:22" s="231" customFormat="1" ht="30" customHeight="1" x14ac:dyDescent="0.2">
      <c r="A61" s="245">
        <v>23</v>
      </c>
      <c r="B61" s="421" t="str">
        <f>IF($A61&gt;MAX('Análise Física Detalhada'!$A$13:$A$380),"",VLOOKUP($A61,'Análise Física Detalhada'!$A$13:$E$380,5,0))</f>
        <v/>
      </c>
      <c r="C61" s="1166" t="str">
        <f>IF(B61="","",VLOOKUP($B61,'Análise Física Detalhada'!$E$13:$AB$380,2,0))</f>
        <v/>
      </c>
      <c r="D61" s="1167"/>
      <c r="E61" s="1167"/>
      <c r="F61" s="1167"/>
      <c r="G61" s="1167"/>
      <c r="H61" s="1168"/>
      <c r="I61" s="422" t="str">
        <f>IF(B61="","",VLOOKUP($B61,'Análise Física Detalhada'!$E$13:$AB$380,8,0))</f>
        <v/>
      </c>
      <c r="J61" s="423" t="str">
        <f>IF(B61="","",VLOOKUP($B61,'Análise Física Detalhada'!$E$13:$AB$380,9,0))</f>
        <v/>
      </c>
      <c r="K61" s="424" t="str">
        <f>IF(B61="","",VLOOKUP($B61,'Análise Física Detalhada'!$E$13:$AB$380,12,0))</f>
        <v/>
      </c>
      <c r="L61" s="425" t="str">
        <f>IF(B61="","",VLOOKUP($B61,'Análise Física Detalhada'!$E$13:$AB$380,13,0))</f>
        <v/>
      </c>
      <c r="M61" s="426" t="str">
        <f>IF($B61="","",VLOOKUP($B61,Plan3!$A$16:$CT$384,HLOOKUP('Análise Física Macro'!$O$4,Plan3!$A$10:$CH$12,3)+3,0)/100)</f>
        <v/>
      </c>
      <c r="N61" s="428" t="str">
        <f>IF($B61="","",VLOOKUP($B61,Plan3!$A$16:$CT$384,HLOOKUP('Análise Física Macro'!$O$4,Plan3!$A$10:$CH$12,3)+4,0)/100)</f>
        <v/>
      </c>
      <c r="O61" s="1175"/>
      <c r="P61" s="1175"/>
      <c r="Q61" s="1175"/>
      <c r="R61" s="1175"/>
      <c r="S61" s="1175"/>
      <c r="T61" s="1175"/>
      <c r="U61" s="1175"/>
      <c r="V61" s="1175"/>
    </row>
    <row r="62" spans="1:22" s="231" customFormat="1" ht="30" customHeight="1" x14ac:dyDescent="0.2">
      <c r="A62" s="245">
        <v>24</v>
      </c>
      <c r="B62" s="421" t="str">
        <f>IF($A62&gt;MAX('Análise Física Detalhada'!$A$13:$A$380),"",VLOOKUP($A62,'Análise Física Detalhada'!$A$13:$E$380,5,0))</f>
        <v/>
      </c>
      <c r="C62" s="1166" t="str">
        <f>IF(B62="","",VLOOKUP($B62,'Análise Física Detalhada'!$E$13:$AB$380,2,0))</f>
        <v/>
      </c>
      <c r="D62" s="1167"/>
      <c r="E62" s="1167"/>
      <c r="F62" s="1167"/>
      <c r="G62" s="1167"/>
      <c r="H62" s="1168"/>
      <c r="I62" s="422" t="str">
        <f>IF(B62="","",VLOOKUP($B62,'Análise Física Detalhada'!$E$13:$AB$380,8,0))</f>
        <v/>
      </c>
      <c r="J62" s="423" t="str">
        <f>IF(B62="","",VLOOKUP($B62,'Análise Física Detalhada'!$E$13:$AB$380,9,0))</f>
        <v/>
      </c>
      <c r="K62" s="424" t="str">
        <f>IF(B62="","",VLOOKUP($B62,'Análise Física Detalhada'!$E$13:$AB$380,12,0))</f>
        <v/>
      </c>
      <c r="L62" s="425" t="str">
        <f>IF(B62="","",VLOOKUP($B62,'Análise Física Detalhada'!$E$13:$AB$380,13,0))</f>
        <v/>
      </c>
      <c r="M62" s="426" t="str">
        <f>IF($B62="","",VLOOKUP($B62,Plan3!$A$16:$CT$384,HLOOKUP('Análise Física Macro'!$O$4,Plan3!$A$10:$CH$12,3)+3,0)/100)</f>
        <v/>
      </c>
      <c r="N62" s="428" t="str">
        <f>IF($B62="","",VLOOKUP($B62,Plan3!$A$16:$CT$384,HLOOKUP('Análise Física Macro'!$O$4,Plan3!$A$10:$CH$12,3)+4,0)/100)</f>
        <v/>
      </c>
      <c r="O62" s="1175"/>
      <c r="P62" s="1175"/>
      <c r="Q62" s="1175"/>
      <c r="R62" s="1175"/>
      <c r="S62" s="1175"/>
      <c r="T62" s="1175"/>
      <c r="U62" s="1175"/>
      <c r="V62" s="1175"/>
    </row>
    <row r="63" spans="1:22" s="231" customFormat="1" ht="30" customHeight="1" x14ac:dyDescent="0.2">
      <c r="A63" s="245">
        <v>25</v>
      </c>
      <c r="B63" s="421" t="str">
        <f>IF($A63&gt;MAX('Análise Física Detalhada'!$A$13:$A$380),"",VLOOKUP($A63,'Análise Física Detalhada'!$A$13:$E$380,5,0))</f>
        <v/>
      </c>
      <c r="C63" s="1166" t="str">
        <f>IF(B63="","",VLOOKUP($B63,'Análise Física Detalhada'!$E$13:$AB$380,2,0))</f>
        <v/>
      </c>
      <c r="D63" s="1167"/>
      <c r="E63" s="1167"/>
      <c r="F63" s="1167"/>
      <c r="G63" s="1167"/>
      <c r="H63" s="1168"/>
      <c r="I63" s="422" t="str">
        <f>IF(B63="","",VLOOKUP($B63,'Análise Física Detalhada'!$E$13:$AB$380,8,0))</f>
        <v/>
      </c>
      <c r="J63" s="423" t="str">
        <f>IF(B63="","",VLOOKUP($B63,'Análise Física Detalhada'!$E$13:$AB$380,9,0))</f>
        <v/>
      </c>
      <c r="K63" s="424" t="str">
        <f>IF(B63="","",VLOOKUP($B63,'Análise Física Detalhada'!$E$13:$AB$380,12,0))</f>
        <v/>
      </c>
      <c r="L63" s="425" t="str">
        <f>IF(B63="","",VLOOKUP($B63,'Análise Física Detalhada'!$E$13:$AB$380,13,0))</f>
        <v/>
      </c>
      <c r="M63" s="426" t="str">
        <f>IF($B63="","",VLOOKUP($B63,Plan3!$A$16:$CT$384,HLOOKUP('Análise Física Macro'!$O$4,Plan3!$A$10:$CH$12,3)+3,0)/100)</f>
        <v/>
      </c>
      <c r="N63" s="428" t="str">
        <f>IF($B63="","",VLOOKUP($B63,Plan3!$A$16:$CT$384,HLOOKUP('Análise Física Macro'!$O$4,Plan3!$A$10:$CH$12,3)+4,0)/100)</f>
        <v/>
      </c>
      <c r="O63" s="1175"/>
      <c r="P63" s="1175"/>
      <c r="Q63" s="1175"/>
      <c r="R63" s="1175"/>
      <c r="S63" s="1175"/>
      <c r="T63" s="1175"/>
      <c r="U63" s="1175"/>
      <c r="V63" s="1175"/>
    </row>
    <row r="64" spans="1:22" s="230" customFormat="1" ht="36.950000000000003" customHeight="1" x14ac:dyDescent="0.2">
      <c r="A64" s="245"/>
      <c r="B64" s="433"/>
      <c r="C64" s="434"/>
      <c r="D64" s="434"/>
      <c r="E64" s="434"/>
      <c r="F64" s="434"/>
      <c r="G64" s="434"/>
      <c r="H64" s="434"/>
      <c r="I64" s="434" t="s">
        <v>299</v>
      </c>
      <c r="J64" s="434"/>
      <c r="K64" s="434"/>
      <c r="L64" s="434"/>
      <c r="M64" s="417"/>
      <c r="N64" s="417"/>
      <c r="O64" s="417"/>
      <c r="P64" s="417"/>
      <c r="Q64" s="417"/>
      <c r="R64" s="417"/>
      <c r="S64" s="417"/>
      <c r="T64" s="417"/>
      <c r="U64" s="417"/>
      <c r="V64" s="417"/>
    </row>
    <row r="65" spans="1:22" s="231" customFormat="1" ht="25.5" customHeight="1" x14ac:dyDescent="0.2">
      <c r="A65" s="245"/>
      <c r="B65" s="1150" t="s">
        <v>232</v>
      </c>
      <c r="C65" s="1152" t="s">
        <v>2</v>
      </c>
      <c r="D65" s="1153"/>
      <c r="E65" s="1153"/>
      <c r="F65" s="1153"/>
      <c r="G65" s="1153"/>
      <c r="H65" s="1154"/>
      <c r="I65" s="1158" t="s">
        <v>300</v>
      </c>
      <c r="J65" s="1159"/>
      <c r="K65" s="1159"/>
      <c r="L65" s="1159"/>
      <c r="M65" s="1169" t="s">
        <v>728</v>
      </c>
      <c r="N65" s="1170"/>
      <c r="O65" s="1170"/>
      <c r="P65" s="1170"/>
      <c r="Q65" s="1170"/>
      <c r="R65" s="1170"/>
      <c r="S65" s="1170"/>
      <c r="T65" s="1170"/>
      <c r="U65" s="1170"/>
      <c r="V65" s="1171"/>
    </row>
    <row r="66" spans="1:22" s="231" customFormat="1" ht="30" customHeight="1" x14ac:dyDescent="0.2">
      <c r="A66" s="245"/>
      <c r="B66" s="1151"/>
      <c r="C66" s="1155"/>
      <c r="D66" s="1156"/>
      <c r="E66" s="1156"/>
      <c r="F66" s="1156"/>
      <c r="G66" s="1156"/>
      <c r="H66" s="1157"/>
      <c r="I66" s="429">
        <f>'Análise Física Macro'!$O$4+28</f>
        <v>44163</v>
      </c>
      <c r="J66" s="429">
        <f>$I$66+28</f>
        <v>44191</v>
      </c>
      <c r="K66" s="430">
        <f>$J$66+28</f>
        <v>44219</v>
      </c>
      <c r="L66" s="431">
        <f>$K$66+31</f>
        <v>44250</v>
      </c>
      <c r="M66" s="1172"/>
      <c r="N66" s="1173"/>
      <c r="O66" s="1173"/>
      <c r="P66" s="1173"/>
      <c r="Q66" s="1173"/>
      <c r="R66" s="1173"/>
      <c r="S66" s="1173"/>
      <c r="T66" s="1173"/>
      <c r="U66" s="1173"/>
      <c r="V66" s="1174"/>
    </row>
    <row r="67" spans="1:22" s="231" customFormat="1" ht="30" customHeight="1" x14ac:dyDescent="0.2">
      <c r="A67" s="245">
        <v>1</v>
      </c>
      <c r="B67" s="421" t="str">
        <f>IF($A67&gt;MAX('Análise Física Detalhada'!$AQ$13:$AQ$379),"",VLOOKUP($A67,'Análise Física Detalhada'!$AQ$13:$AZ$379,10,0))</f>
        <v xml:space="preserve">06.000.000.001 </v>
      </c>
      <c r="C67" s="1166" t="str">
        <f>IF($B67="","",VLOOKUP($B67,'Análise Física Detalhada'!$E$13:$AU$380,2,0))</f>
        <v>Forma compensado plastificado 18 mm. - reap. 10X</v>
      </c>
      <c r="D67" s="1167"/>
      <c r="E67" s="1167"/>
      <c r="F67" s="1167"/>
      <c r="G67" s="1167"/>
      <c r="H67" s="1168"/>
      <c r="I67" s="422">
        <f>IF($B67="","",VLOOKUP($B67,'Análise Física Detalhada'!$E$13:$AU$380,40,0))</f>
        <v>0</v>
      </c>
      <c r="J67" s="436">
        <f>IF($B67="","",VLOOKUP($B67,'Análise Física Detalhada'!$E$13:$AU$380,41,0))</f>
        <v>0.17859999999999998</v>
      </c>
      <c r="K67" s="424">
        <f>IF($B67="","",VLOOKUP($B67,'Análise Física Detalhada'!$E$13:$AU$380,42,0))</f>
        <v>0.32619999999999999</v>
      </c>
      <c r="L67" s="435">
        <f>IF($B67="","",VLOOKUP($B67,'Análise Física Detalhada'!$E$13:$AU$380,43,0))</f>
        <v>0.46450000000000002</v>
      </c>
      <c r="M67" s="1147"/>
      <c r="N67" s="1148"/>
      <c r="O67" s="1148"/>
      <c r="P67" s="1148"/>
      <c r="Q67" s="1148"/>
      <c r="R67" s="1148"/>
      <c r="S67" s="1148"/>
      <c r="T67" s="1148"/>
      <c r="U67" s="1148"/>
      <c r="V67" s="1149"/>
    </row>
    <row r="68" spans="1:22" s="231" customFormat="1" ht="30" customHeight="1" x14ac:dyDescent="0.2">
      <c r="A68" s="245">
        <v>2</v>
      </c>
      <c r="B68" s="421" t="str">
        <f>IF($A68&gt;MAX('Análise Física Detalhada'!$AQ$13:$AQ$379),"",VLOOKUP($A68,'Análise Física Detalhada'!$AQ$13:$AZ$379,10,0))</f>
        <v xml:space="preserve">06.000.000.002 </v>
      </c>
      <c r="C68" s="1166" t="str">
        <f>IF($B68="","",VLOOKUP($B68,'Análise Física Detalhada'!$E$13:$AU$380,2,0))</f>
        <v>Armação aço CA-50/60 (média dos diâmetros)</v>
      </c>
      <c r="D68" s="1167"/>
      <c r="E68" s="1167"/>
      <c r="F68" s="1167"/>
      <c r="G68" s="1167"/>
      <c r="H68" s="1168"/>
      <c r="I68" s="422">
        <f>IF($B68="","",VLOOKUP($B68,'Análise Física Detalhada'!$E$13:$AU$380,40,0))</f>
        <v>0</v>
      </c>
      <c r="J68" s="436">
        <f>IF($B68="","",VLOOKUP($B68,'Análise Física Detalhada'!$E$13:$AU$380,41,0))</f>
        <v>0.16670000000000001</v>
      </c>
      <c r="K68" s="424">
        <f>IF($B68="","",VLOOKUP($B68,'Análise Física Detalhada'!$E$13:$AU$380,42,0))</f>
        <v>0.30740000000000001</v>
      </c>
      <c r="L68" s="435">
        <f>IF($B68="","",VLOOKUP($B68,'Análise Física Detalhada'!$E$13:$AU$380,43,0))</f>
        <v>0.47700000000000004</v>
      </c>
      <c r="M68" s="1147"/>
      <c r="N68" s="1148"/>
      <c r="O68" s="1148"/>
      <c r="P68" s="1148"/>
      <c r="Q68" s="1148"/>
      <c r="R68" s="1148"/>
      <c r="S68" s="1148"/>
      <c r="T68" s="1148"/>
      <c r="U68" s="1148"/>
      <c r="V68" s="1149"/>
    </row>
    <row r="69" spans="1:22" s="231" customFormat="1" ht="30" customHeight="1" x14ac:dyDescent="0.2">
      <c r="A69" s="245">
        <v>3</v>
      </c>
      <c r="B69" s="421" t="str">
        <f>IF($A69&gt;MAX('Análise Física Detalhada'!$AQ$13:$AQ$379),"",VLOOKUP($A69,'Análise Física Detalhada'!$AQ$13:$AZ$379,10,0))</f>
        <v xml:space="preserve">06.000.000.003 </v>
      </c>
      <c r="C69" s="1166" t="str">
        <f>IF($B69="","",VLOOKUP($B69,'Análise Física Detalhada'!$E$13:$AU$380,2,0))</f>
        <v>Concreto usinado Fck = 30 MPa Bombeado</v>
      </c>
      <c r="D69" s="1167"/>
      <c r="E69" s="1167"/>
      <c r="F69" s="1167"/>
      <c r="G69" s="1167"/>
      <c r="H69" s="1168"/>
      <c r="I69" s="422">
        <f>IF($B69="","",VLOOKUP($B69,'Análise Física Detalhada'!$E$13:$AU$380,40,0))</f>
        <v>0</v>
      </c>
      <c r="J69" s="436">
        <f>IF($B69="","",VLOOKUP($B69,'Análise Física Detalhada'!$E$13:$AU$380,41,0))</f>
        <v>0.16670000000000001</v>
      </c>
      <c r="K69" s="424">
        <f>IF($B69="","",VLOOKUP($B69,'Análise Física Detalhada'!$E$13:$AU$380,42,0))</f>
        <v>0.30740000000000001</v>
      </c>
      <c r="L69" s="435">
        <f>IF($B69="","",VLOOKUP($B69,'Análise Física Detalhada'!$E$13:$AU$380,43,0))</f>
        <v>0.47700000000000004</v>
      </c>
      <c r="M69" s="1147"/>
      <c r="N69" s="1148"/>
      <c r="O69" s="1148"/>
      <c r="P69" s="1148"/>
      <c r="Q69" s="1148"/>
      <c r="R69" s="1148"/>
      <c r="S69" s="1148"/>
      <c r="T69" s="1148"/>
      <c r="U69" s="1148"/>
      <c r="V69" s="1149"/>
    </row>
    <row r="70" spans="1:22" s="231" customFormat="1" ht="30" customHeight="1" x14ac:dyDescent="0.2">
      <c r="A70" s="245">
        <v>4</v>
      </c>
      <c r="B70" s="421" t="str">
        <f>IF($A70&gt;MAX('Análise Física Detalhada'!$AQ$13:$AQ$379),"",VLOOKUP($A70,'Análise Física Detalhada'!$AQ$13:$AZ$379,10,0))</f>
        <v xml:space="preserve">05.003.001.002 </v>
      </c>
      <c r="C70" s="1166" t="str">
        <f>IF($B70="","",VLOOKUP($B70,'Análise Física Detalhada'!$E$13:$AU$380,2,0))</f>
        <v>Forma para Fundação</v>
      </c>
      <c r="D70" s="1167"/>
      <c r="E70" s="1167"/>
      <c r="F70" s="1167"/>
      <c r="G70" s="1167"/>
      <c r="H70" s="1168"/>
      <c r="I70" s="422">
        <f>IF($B70="","",VLOOKUP($B70,'Análise Física Detalhada'!$E$13:$AU$380,40,0))</f>
        <v>0</v>
      </c>
      <c r="J70" s="436">
        <f>IF($B70="","",VLOOKUP($B70,'Análise Física Detalhada'!$E$13:$AU$380,41,0))</f>
        <v>0</v>
      </c>
      <c r="K70" s="424">
        <f>IF($B70="","",VLOOKUP($B70,'Análise Física Detalhada'!$E$13:$AU$380,42,0))</f>
        <v>0.57140000000000002</v>
      </c>
      <c r="L70" s="435">
        <f>IF($B70="","",VLOOKUP($B70,'Análise Física Detalhada'!$E$13:$AU$380,43,0))</f>
        <v>1</v>
      </c>
      <c r="M70" s="1147"/>
      <c r="N70" s="1148"/>
      <c r="O70" s="1148"/>
      <c r="P70" s="1148"/>
      <c r="Q70" s="1148"/>
      <c r="R70" s="1148"/>
      <c r="S70" s="1148"/>
      <c r="T70" s="1148"/>
      <c r="U70" s="1148"/>
      <c r="V70" s="1149"/>
    </row>
    <row r="71" spans="1:22" s="231" customFormat="1" ht="30" customHeight="1" x14ac:dyDescent="0.2">
      <c r="A71" s="245">
        <v>5</v>
      </c>
      <c r="B71" s="421" t="str">
        <f>IF($A71&gt;MAX('Análise Física Detalhada'!$AQ$13:$AQ$379),"",VLOOKUP($A71,'Análise Física Detalhada'!$AQ$13:$AZ$379,10,0))</f>
        <v xml:space="preserve">05.003.001.003 </v>
      </c>
      <c r="C71" s="1166" t="str">
        <f>IF($B71="","",VLOOKUP($B71,'Análise Física Detalhada'!$E$13:$AU$380,2,0))</f>
        <v>Armação aço CA-50/60 (média dos diâmetros)</v>
      </c>
      <c r="D71" s="1167"/>
      <c r="E71" s="1167"/>
      <c r="F71" s="1167"/>
      <c r="G71" s="1167"/>
      <c r="H71" s="1168"/>
      <c r="I71" s="422">
        <f>IF($B71="","",VLOOKUP($B71,'Análise Física Detalhada'!$E$13:$AU$380,40,0))</f>
        <v>0</v>
      </c>
      <c r="J71" s="436">
        <f>IF($B71="","",VLOOKUP($B71,'Análise Física Detalhada'!$E$13:$AU$380,41,0))</f>
        <v>0</v>
      </c>
      <c r="K71" s="424">
        <f>IF($B71="","",VLOOKUP($B71,'Análise Física Detalhada'!$E$13:$AU$380,42,0))</f>
        <v>0.57140000000000002</v>
      </c>
      <c r="L71" s="435">
        <f>IF($B71="","",VLOOKUP($B71,'Análise Física Detalhada'!$E$13:$AU$380,43,0))</f>
        <v>1</v>
      </c>
      <c r="M71" s="1147"/>
      <c r="N71" s="1148"/>
      <c r="O71" s="1148"/>
      <c r="P71" s="1148"/>
      <c r="Q71" s="1148"/>
      <c r="R71" s="1148"/>
      <c r="S71" s="1148"/>
      <c r="T71" s="1148"/>
      <c r="U71" s="1148"/>
      <c r="V71" s="1149"/>
    </row>
    <row r="72" spans="1:22" s="231" customFormat="1" ht="30" customHeight="1" x14ac:dyDescent="0.2">
      <c r="A72" s="245">
        <v>6</v>
      </c>
      <c r="B72" s="421" t="str">
        <f>IF($A72&gt;MAX('Análise Física Detalhada'!$AQ$13:$AQ$379),"",VLOOKUP($A72,'Análise Física Detalhada'!$AQ$13:$AZ$379,10,0))</f>
        <v xml:space="preserve">06.000.000.004 </v>
      </c>
      <c r="C72" s="1166" t="str">
        <f>IF($B72="","",VLOOKUP($B72,'Análise Física Detalhada'!$E$13:$AU$380,2,0))</f>
        <v>Lançamento e sarrafeamento de piso</v>
      </c>
      <c r="D72" s="1167"/>
      <c r="E72" s="1167"/>
      <c r="F72" s="1167"/>
      <c r="G72" s="1167"/>
      <c r="H72" s="1168"/>
      <c r="I72" s="422">
        <f>IF($B72="","",VLOOKUP($B72,'Análise Física Detalhada'!$E$13:$AU$380,40,0))</f>
        <v>0</v>
      </c>
      <c r="J72" s="436">
        <f>IF($B72="","",VLOOKUP($B72,'Análise Física Detalhada'!$E$13:$AU$380,41,0))</f>
        <v>0.15090000000000001</v>
      </c>
      <c r="K72" s="424">
        <f>IF($B72="","",VLOOKUP($B72,'Análise Física Detalhada'!$E$13:$AU$380,42,0))</f>
        <v>0.23440000000000003</v>
      </c>
      <c r="L72" s="435">
        <f>IF($B72="","",VLOOKUP($B72,'Análise Física Detalhada'!$E$13:$AU$380,43,0))</f>
        <v>0.35909999999999997</v>
      </c>
      <c r="M72" s="1147"/>
      <c r="N72" s="1148"/>
      <c r="O72" s="1148"/>
      <c r="P72" s="1148"/>
      <c r="Q72" s="1148"/>
      <c r="R72" s="1148"/>
      <c r="S72" s="1148"/>
      <c r="T72" s="1148"/>
      <c r="U72" s="1148"/>
      <c r="V72" s="1149"/>
    </row>
    <row r="73" spans="1:22" s="231" customFormat="1" ht="30" customHeight="1" x14ac:dyDescent="0.2">
      <c r="A73" s="245">
        <v>7</v>
      </c>
      <c r="B73" s="421" t="str">
        <f>IF($A73&gt;MAX('Análise Física Detalhada'!$AQ$13:$AQ$379),"",VLOOKUP($A73,'Análise Física Detalhada'!$AQ$13:$AZ$379,10,0))</f>
        <v xml:space="preserve">05.003.001.004 </v>
      </c>
      <c r="C73" s="1166" t="str">
        <f>IF($B73="","",VLOOKUP($B73,'Análise Física Detalhada'!$E$13:$AU$380,2,0))</f>
        <v>Concreto usinado Fck = 30 Mpa Bombeado</v>
      </c>
      <c r="D73" s="1167"/>
      <c r="E73" s="1167"/>
      <c r="F73" s="1167"/>
      <c r="G73" s="1167"/>
      <c r="H73" s="1168"/>
      <c r="I73" s="422">
        <f>IF($B73="","",VLOOKUP($B73,'Análise Física Detalhada'!$E$13:$AU$380,40,0))</f>
        <v>0</v>
      </c>
      <c r="J73" s="436">
        <f>IF($B73="","",VLOOKUP($B73,'Análise Física Detalhada'!$E$13:$AU$380,41,0))</f>
        <v>0</v>
      </c>
      <c r="K73" s="424">
        <f>IF($B73="","",VLOOKUP($B73,'Análise Física Detalhada'!$E$13:$AU$380,42,0))</f>
        <v>0.57140000000000002</v>
      </c>
      <c r="L73" s="435">
        <f>IF($B73="","",VLOOKUP($B73,'Análise Física Detalhada'!$E$13:$AU$380,43,0))</f>
        <v>1</v>
      </c>
      <c r="M73" s="1147"/>
      <c r="N73" s="1148"/>
      <c r="O73" s="1148"/>
      <c r="P73" s="1148"/>
      <c r="Q73" s="1148"/>
      <c r="R73" s="1148"/>
      <c r="S73" s="1148"/>
      <c r="T73" s="1148"/>
      <c r="U73" s="1148"/>
      <c r="V73" s="1149"/>
    </row>
    <row r="74" spans="1:22" s="231" customFormat="1" ht="30" customHeight="1" x14ac:dyDescent="0.2">
      <c r="A74" s="245">
        <v>8</v>
      </c>
      <c r="B74" s="421" t="str">
        <f>IF($A74&gt;MAX('Análise Física Detalhada'!$AQ$13:$AQ$379),"",VLOOKUP($A74,'Análise Física Detalhada'!$AQ$13:$AZ$379,10,0))</f>
        <v xml:space="preserve">05.003.001.005 </v>
      </c>
      <c r="C74" s="1166" t="str">
        <f>IF($B74="","",VLOOKUP($B74,'Análise Física Detalhada'!$E$13:$AU$380,2,0))</f>
        <v>Carga e transporte de material excedente</v>
      </c>
      <c r="D74" s="1167"/>
      <c r="E74" s="1167"/>
      <c r="F74" s="1167"/>
      <c r="G74" s="1167"/>
      <c r="H74" s="1168"/>
      <c r="I74" s="422">
        <f>IF($B74="","",VLOOKUP($B74,'Análise Física Detalhada'!$E$13:$AU$380,40,0))</f>
        <v>0</v>
      </c>
      <c r="J74" s="436">
        <f>IF($B74="","",VLOOKUP($B74,'Análise Física Detalhada'!$E$13:$AU$380,41,0))</f>
        <v>0</v>
      </c>
      <c r="K74" s="424">
        <f>IF($B74="","",VLOOKUP($B74,'Análise Física Detalhada'!$E$13:$AU$380,42,0))</f>
        <v>0.57140000000000002</v>
      </c>
      <c r="L74" s="435">
        <f>IF($B74="","",VLOOKUP($B74,'Análise Física Detalhada'!$E$13:$AU$380,43,0))</f>
        <v>1</v>
      </c>
      <c r="M74" s="1147"/>
      <c r="N74" s="1148"/>
      <c r="O74" s="1148"/>
      <c r="P74" s="1148"/>
      <c r="Q74" s="1148"/>
      <c r="R74" s="1148"/>
      <c r="S74" s="1148"/>
      <c r="T74" s="1148"/>
      <c r="U74" s="1148"/>
      <c r="V74" s="1149"/>
    </row>
    <row r="75" spans="1:22" s="231" customFormat="1" ht="30" customHeight="1" x14ac:dyDescent="0.2">
      <c r="A75" s="245">
        <v>9</v>
      </c>
      <c r="B75" s="421" t="str">
        <f>IF($A75&gt;MAX('Análise Física Detalhada'!$AQ$13:$AQ$379),"",VLOOKUP($A75,'Análise Física Detalhada'!$AQ$13:$AZ$379,10,0))</f>
        <v xml:space="preserve">16.000.000.001 </v>
      </c>
      <c r="C75" s="1166" t="str">
        <f>IF($B75="","",VLOOKUP($B75,'Análise Física Detalhada'!$E$13:$AU$380,2,0))</f>
        <v>Instalação elétrica material</v>
      </c>
      <c r="D75" s="1167"/>
      <c r="E75" s="1167"/>
      <c r="F75" s="1167"/>
      <c r="G75" s="1167"/>
      <c r="H75" s="1168"/>
      <c r="I75" s="422">
        <f>IF($B75="","",VLOOKUP($B75,'Análise Física Detalhada'!$E$13:$AU$380,40,0))</f>
        <v>0</v>
      </c>
      <c r="J75" s="436">
        <f>IF($B75="","",VLOOKUP($B75,'Análise Física Detalhada'!$E$13:$AU$380,41,0))</f>
        <v>6.9999999999999993E-3</v>
      </c>
      <c r="K75" s="424">
        <f>IF($B75="","",VLOOKUP($B75,'Análise Física Detalhada'!$E$13:$AU$380,42,0))</f>
        <v>1.3999999999999999E-2</v>
      </c>
      <c r="L75" s="435">
        <f>IF($B75="","",VLOOKUP($B75,'Análise Física Detalhada'!$E$13:$AU$380,43,0))</f>
        <v>1.9599999999999999E-2</v>
      </c>
      <c r="M75" s="1147"/>
      <c r="N75" s="1148"/>
      <c r="O75" s="1148"/>
      <c r="P75" s="1148"/>
      <c r="Q75" s="1148"/>
      <c r="R75" s="1148"/>
      <c r="S75" s="1148"/>
      <c r="T75" s="1148"/>
      <c r="U75" s="1148"/>
      <c r="V75" s="1149"/>
    </row>
    <row r="76" spans="1:22" s="231" customFormat="1" ht="30" customHeight="1" x14ac:dyDescent="0.2">
      <c r="A76" s="245">
        <v>10</v>
      </c>
      <c r="B76" s="421" t="str">
        <f>IF($A76&gt;MAX('Análise Física Detalhada'!$AQ$13:$AQ$379),"",VLOOKUP($A76,'Análise Física Detalhada'!$AQ$13:$AZ$379,10,0))</f>
        <v xml:space="preserve">16.000.000.002 </v>
      </c>
      <c r="C76" s="1166" t="str">
        <f>IF($B76="","",VLOOKUP($B76,'Análise Física Detalhada'!$E$13:$AU$380,2,0))</f>
        <v>Mão de Obra Instalação Elétrica</v>
      </c>
      <c r="D76" s="1167"/>
      <c r="E76" s="1167"/>
      <c r="F76" s="1167"/>
      <c r="G76" s="1167"/>
      <c r="H76" s="1168"/>
      <c r="I76" s="422">
        <f>IF($B76="","",VLOOKUP($B76,'Análise Física Detalhada'!$E$13:$AU$380,40,0))</f>
        <v>0</v>
      </c>
      <c r="J76" s="436">
        <f>IF($B76="","",VLOOKUP($B76,'Análise Física Detalhada'!$E$13:$AU$380,41,0))</f>
        <v>6.9999999999999993E-3</v>
      </c>
      <c r="K76" s="424">
        <f>IF($B76="","",VLOOKUP($B76,'Análise Física Detalhada'!$E$13:$AU$380,42,0))</f>
        <v>1.3999999999999999E-2</v>
      </c>
      <c r="L76" s="435">
        <f>IF($B76="","",VLOOKUP($B76,'Análise Física Detalhada'!$E$13:$AU$380,43,0))</f>
        <v>1.9599999999999999E-2</v>
      </c>
      <c r="M76" s="1143"/>
      <c r="N76" s="1144"/>
      <c r="O76" s="1144"/>
      <c r="P76" s="1144"/>
      <c r="Q76" s="1144"/>
      <c r="R76" s="1144"/>
      <c r="S76" s="1144"/>
      <c r="T76" s="1144"/>
      <c r="U76" s="1144"/>
      <c r="V76" s="1145"/>
    </row>
    <row r="77" spans="1:22" s="231" customFormat="1" ht="30" customHeight="1" x14ac:dyDescent="0.2">
      <c r="A77" s="245">
        <v>11</v>
      </c>
      <c r="B77" s="421" t="str">
        <f>IF($A77&gt;MAX('Análise Física Detalhada'!$AQ$13:$AQ$379),"",VLOOKUP($A77,'Análise Física Detalhada'!$AQ$13:$AZ$379,10,0))</f>
        <v xml:space="preserve">14.000.000.002 </v>
      </c>
      <c r="C77" s="1166" t="str">
        <f>IF($B77="","",VLOOKUP($B77,'Análise Física Detalhada'!$E$13:$AU$380,2,0))</f>
        <v>Escada marinheiro</v>
      </c>
      <c r="D77" s="1167"/>
      <c r="E77" s="1167"/>
      <c r="F77" s="1167"/>
      <c r="G77" s="1167"/>
      <c r="H77" s="1168"/>
      <c r="I77" s="422">
        <f>IF($B77="","",VLOOKUP($B77,'Análise Física Detalhada'!$E$13:$AU$380,40,0))</f>
        <v>0</v>
      </c>
      <c r="J77" s="436">
        <f>IF($B77="","",VLOOKUP($B77,'Análise Física Detalhada'!$E$13:$AU$380,41,0))</f>
        <v>0</v>
      </c>
      <c r="K77" s="424">
        <f>IF($B77="","",VLOOKUP($B77,'Análise Física Detalhada'!$E$13:$AU$380,42,0))</f>
        <v>1</v>
      </c>
      <c r="L77" s="435">
        <f>IF($B77="","",VLOOKUP($B77,'Análise Física Detalhada'!$E$13:$AU$380,43,0))</f>
        <v>1</v>
      </c>
      <c r="M77" s="1147"/>
      <c r="N77" s="1148"/>
      <c r="O77" s="1148"/>
      <c r="P77" s="1148"/>
      <c r="Q77" s="1148"/>
      <c r="R77" s="1148"/>
      <c r="S77" s="1148"/>
      <c r="T77" s="1148"/>
      <c r="U77" s="1148"/>
      <c r="V77" s="1149"/>
    </row>
    <row r="78" spans="1:22" s="231" customFormat="1" ht="30" customHeight="1" x14ac:dyDescent="0.2">
      <c r="A78" s="245">
        <v>12</v>
      </c>
      <c r="B78" s="421" t="str">
        <f>IF($A78&gt;MAX('Análise Física Detalhada'!$AQ$13:$AQ$379),"",VLOOKUP($A78,'Análise Física Detalhada'!$AQ$13:$AZ$379,10,0))</f>
        <v xml:space="preserve">14.000.000.003 </v>
      </c>
      <c r="C78" s="1166" t="str">
        <f>IF($B78="","",VLOOKUP($B78,'Análise Física Detalhada'!$E$13:$AU$380,2,0))</f>
        <v>Alçapão em metalon 70 x 70 cm</v>
      </c>
      <c r="D78" s="1167"/>
      <c r="E78" s="1167"/>
      <c r="F78" s="1167"/>
      <c r="G78" s="1167"/>
      <c r="H78" s="1168"/>
      <c r="I78" s="422">
        <f>IF($B78="","",VLOOKUP($B78,'Análise Física Detalhada'!$E$13:$AU$380,40,0))</f>
        <v>0</v>
      </c>
      <c r="J78" s="436">
        <f>IF($B78="","",VLOOKUP($B78,'Análise Física Detalhada'!$E$13:$AU$380,41,0))</f>
        <v>0</v>
      </c>
      <c r="K78" s="424">
        <f>IF($B78="","",VLOOKUP($B78,'Análise Física Detalhada'!$E$13:$AU$380,42,0))</f>
        <v>1</v>
      </c>
      <c r="L78" s="435">
        <f>IF($B78="","",VLOOKUP($B78,'Análise Física Detalhada'!$E$13:$AU$380,43,0))</f>
        <v>1</v>
      </c>
      <c r="M78" s="1147"/>
      <c r="N78" s="1148"/>
      <c r="O78" s="1148"/>
      <c r="P78" s="1148"/>
      <c r="Q78" s="1148"/>
      <c r="R78" s="1148"/>
      <c r="S78" s="1148"/>
      <c r="T78" s="1148"/>
      <c r="U78" s="1148"/>
      <c r="V78" s="1149"/>
    </row>
    <row r="79" spans="1:22" s="231" customFormat="1" ht="30" customHeight="1" x14ac:dyDescent="0.2">
      <c r="A79" s="245">
        <v>13</v>
      </c>
      <c r="B79" s="421" t="str">
        <f>IF($A79&gt;MAX('Análise Física Detalhada'!$AQ$13:$AQ$379),"",VLOOKUP($A79,'Análise Física Detalhada'!$AQ$13:$AZ$379,10,0))</f>
        <v/>
      </c>
      <c r="C79" s="1166" t="str">
        <f>IF($B79="","",VLOOKUP($B79,'Análise Física Detalhada'!$E$13:$AU$380,2,0))</f>
        <v/>
      </c>
      <c r="D79" s="1167"/>
      <c r="E79" s="1167"/>
      <c r="F79" s="1167"/>
      <c r="G79" s="1167"/>
      <c r="H79" s="1168"/>
      <c r="I79" s="422" t="str">
        <f>IF($B79="","",VLOOKUP($B79,'Análise Física Detalhada'!$E$13:$AU$380,40,0))</f>
        <v/>
      </c>
      <c r="J79" s="436" t="str">
        <f>IF($B79="","",VLOOKUP($B79,'Análise Física Detalhada'!$E$13:$AU$380,41,0))</f>
        <v/>
      </c>
      <c r="K79" s="424" t="str">
        <f>IF($B79="","",VLOOKUP($B79,'Análise Física Detalhada'!$E$13:$AU$380,42,0))</f>
        <v/>
      </c>
      <c r="L79" s="435" t="str">
        <f>IF($B79="","",VLOOKUP($B79,'Análise Física Detalhada'!$E$13:$AU$380,43,0))</f>
        <v/>
      </c>
      <c r="M79" s="1147"/>
      <c r="N79" s="1148"/>
      <c r="O79" s="1148"/>
      <c r="P79" s="1148"/>
      <c r="Q79" s="1148"/>
      <c r="R79" s="1148"/>
      <c r="S79" s="1148"/>
      <c r="T79" s="1148"/>
      <c r="U79" s="1148"/>
      <c r="V79" s="1149"/>
    </row>
    <row r="80" spans="1:22" s="231" customFormat="1" ht="30" customHeight="1" x14ac:dyDescent="0.2">
      <c r="A80" s="245">
        <v>14</v>
      </c>
      <c r="B80" s="421" t="str">
        <f>IF($A80&gt;MAX('Análise Física Detalhada'!$AQ$13:$AQ$379),"",VLOOKUP($A80,'Análise Física Detalhada'!$AQ$13:$AZ$379,10,0))</f>
        <v/>
      </c>
      <c r="C80" s="1166" t="str">
        <f>IF($B80="","",VLOOKUP($B80,'Análise Física Detalhada'!$E$13:$AU$380,2,0))</f>
        <v/>
      </c>
      <c r="D80" s="1167"/>
      <c r="E80" s="1167"/>
      <c r="F80" s="1167"/>
      <c r="G80" s="1167"/>
      <c r="H80" s="1168"/>
      <c r="I80" s="422" t="str">
        <f>IF($B80="","",VLOOKUP($B80,'Análise Física Detalhada'!$E$13:$AU$380,40,0))</f>
        <v/>
      </c>
      <c r="J80" s="436" t="str">
        <f>IF($B80="","",VLOOKUP($B80,'Análise Física Detalhada'!$E$13:$AU$380,41,0))</f>
        <v/>
      </c>
      <c r="K80" s="424" t="str">
        <f>IF($B80="","",VLOOKUP($B80,'Análise Física Detalhada'!$E$13:$AU$380,42,0))</f>
        <v/>
      </c>
      <c r="L80" s="435" t="str">
        <f>IF($B80="","",VLOOKUP($B80,'Análise Física Detalhada'!$E$13:$AU$380,43,0))</f>
        <v/>
      </c>
      <c r="M80" s="1147"/>
      <c r="N80" s="1148"/>
      <c r="O80" s="1148"/>
      <c r="P80" s="1148"/>
      <c r="Q80" s="1148"/>
      <c r="R80" s="1148"/>
      <c r="S80" s="1148"/>
      <c r="T80" s="1148"/>
      <c r="U80" s="1148"/>
      <c r="V80" s="1149"/>
    </row>
    <row r="81" spans="1:23" s="231" customFormat="1" ht="30" customHeight="1" x14ac:dyDescent="0.2">
      <c r="A81" s="245">
        <v>15</v>
      </c>
      <c r="B81" s="421" t="str">
        <f>IF($A81&gt;MAX('Análise Física Detalhada'!$AQ$13:$AQ$379),"",VLOOKUP($A81,'Análise Física Detalhada'!$AQ$13:$AZ$379,10,0))</f>
        <v/>
      </c>
      <c r="C81" s="1166" t="str">
        <f>IF($B81="","",VLOOKUP($B81,'Análise Física Detalhada'!$E$13:$AU$380,2,0))</f>
        <v/>
      </c>
      <c r="D81" s="1167"/>
      <c r="E81" s="1167"/>
      <c r="F81" s="1167"/>
      <c r="G81" s="1167"/>
      <c r="H81" s="1168"/>
      <c r="I81" s="422" t="str">
        <f>IF($B81="","",VLOOKUP($B81,'Análise Física Detalhada'!$E$13:$AU$380,40,0))</f>
        <v/>
      </c>
      <c r="J81" s="436" t="str">
        <f>IF($B81="","",VLOOKUP($B81,'Análise Física Detalhada'!$E$13:$AU$380,41,0))</f>
        <v/>
      </c>
      <c r="K81" s="424" t="str">
        <f>IF($B81="","",VLOOKUP($B81,'Análise Física Detalhada'!$E$13:$AU$380,42,0))</f>
        <v/>
      </c>
      <c r="L81" s="435" t="str">
        <f>IF($B81="","",VLOOKUP($B81,'Análise Física Detalhada'!$E$13:$AU$380,43,0))</f>
        <v/>
      </c>
      <c r="M81" s="1143"/>
      <c r="N81" s="1144"/>
      <c r="O81" s="1144"/>
      <c r="P81" s="1144"/>
      <c r="Q81" s="1144"/>
      <c r="R81" s="1144"/>
      <c r="S81" s="1144"/>
      <c r="T81" s="1144"/>
      <c r="U81" s="1144"/>
      <c r="V81" s="1145"/>
    </row>
    <row r="82" spans="1:23" s="231" customFormat="1" ht="30" customHeight="1" x14ac:dyDescent="0.2">
      <c r="A82" s="245">
        <v>16</v>
      </c>
      <c r="B82" s="421" t="str">
        <f>IF($A82&gt;MAX('Análise Física Detalhada'!$AQ$13:$AQ$379),"",VLOOKUP($A82,'Análise Física Detalhada'!$AQ$13:$AZ$379,10,0))</f>
        <v/>
      </c>
      <c r="C82" s="1166" t="str">
        <f>IF($B82="","",VLOOKUP($B82,'Análise Física Detalhada'!$E$13:$AU$380,2,0))</f>
        <v/>
      </c>
      <c r="D82" s="1167"/>
      <c r="E82" s="1167"/>
      <c r="F82" s="1167"/>
      <c r="G82" s="1167"/>
      <c r="H82" s="1168"/>
      <c r="I82" s="422" t="str">
        <f>IF($B82="","",VLOOKUP($B82,'Análise Física Detalhada'!$E$13:$AU$380,40,0))</f>
        <v/>
      </c>
      <c r="J82" s="436" t="str">
        <f>IF($B82="","",VLOOKUP($B82,'Análise Física Detalhada'!$E$13:$AU$380,41,0))</f>
        <v/>
      </c>
      <c r="K82" s="424" t="str">
        <f>IF($B82="","",VLOOKUP($B82,'Análise Física Detalhada'!$E$13:$AU$380,42,0))</f>
        <v/>
      </c>
      <c r="L82" s="435" t="str">
        <f>IF($B82="","",VLOOKUP($B82,'Análise Física Detalhada'!$E$13:$AU$380,43,0))</f>
        <v/>
      </c>
      <c r="M82" s="1143"/>
      <c r="N82" s="1144"/>
      <c r="O82" s="1144"/>
      <c r="P82" s="1144"/>
      <c r="Q82" s="1144"/>
      <c r="R82" s="1144"/>
      <c r="S82" s="1144"/>
      <c r="T82" s="1144"/>
      <c r="U82" s="1144"/>
      <c r="V82" s="1145"/>
    </row>
    <row r="83" spans="1:23" s="231" customFormat="1" ht="30" customHeight="1" x14ac:dyDescent="0.2">
      <c r="A83" s="245">
        <v>17</v>
      </c>
      <c r="B83" s="421" t="str">
        <f>IF($A83&gt;MAX('Análise Física Detalhada'!$AQ$13:$AQ$379),"",VLOOKUP($A83,'Análise Física Detalhada'!$AQ$13:$AZ$379,10,0))</f>
        <v/>
      </c>
      <c r="C83" s="1166" t="str">
        <f>IF($B83="","",VLOOKUP($B83,'Análise Física Detalhada'!$E$13:$AU$380,2,0))</f>
        <v/>
      </c>
      <c r="D83" s="1167"/>
      <c r="E83" s="1167"/>
      <c r="F83" s="1167"/>
      <c r="G83" s="1167"/>
      <c r="H83" s="1168"/>
      <c r="I83" s="422" t="str">
        <f>IF($B83="","",VLOOKUP($B83,'Análise Física Detalhada'!$E$13:$AU$380,40,0))</f>
        <v/>
      </c>
      <c r="J83" s="436" t="str">
        <f>IF($B83="","",VLOOKUP($B83,'Análise Física Detalhada'!$E$13:$AU$380,41,0))</f>
        <v/>
      </c>
      <c r="K83" s="424" t="str">
        <f>IF($B83="","",VLOOKUP($B83,'Análise Física Detalhada'!$E$13:$AU$380,42,0))</f>
        <v/>
      </c>
      <c r="L83" s="435" t="str">
        <f>IF($B83="","",VLOOKUP($B83,'Análise Física Detalhada'!$E$13:$AU$380,43,0))</f>
        <v/>
      </c>
      <c r="M83" s="1147"/>
      <c r="N83" s="1148"/>
      <c r="O83" s="1148"/>
      <c r="P83" s="1148"/>
      <c r="Q83" s="1148"/>
      <c r="R83" s="1148"/>
      <c r="S83" s="1148"/>
      <c r="T83" s="1148"/>
      <c r="U83" s="1148"/>
      <c r="V83" s="1149"/>
    </row>
    <row r="84" spans="1:23" s="231" customFormat="1" ht="30" customHeight="1" x14ac:dyDescent="0.2">
      <c r="A84" s="245">
        <v>18</v>
      </c>
      <c r="B84" s="421" t="str">
        <f>IF($A84&gt;MAX('Análise Física Detalhada'!$AQ$13:$AQ$379),"",VLOOKUP($A84,'Análise Física Detalhada'!$AQ$13:$AZ$379,10,0))</f>
        <v/>
      </c>
      <c r="C84" s="1166" t="str">
        <f>IF($B84="","",VLOOKUP($B84,'Análise Física Detalhada'!$E$13:$AU$380,2,0))</f>
        <v/>
      </c>
      <c r="D84" s="1167"/>
      <c r="E84" s="1167"/>
      <c r="F84" s="1167"/>
      <c r="G84" s="1167"/>
      <c r="H84" s="1168"/>
      <c r="I84" s="422" t="str">
        <f>IF($B84="","",VLOOKUP($B84,'Análise Física Detalhada'!$E$13:$AU$380,40,0))</f>
        <v/>
      </c>
      <c r="J84" s="436" t="str">
        <f>IF($B84="","",VLOOKUP($B84,'Análise Física Detalhada'!$E$13:$AU$380,41,0))</f>
        <v/>
      </c>
      <c r="K84" s="424" t="str">
        <f>IF($B84="","",VLOOKUP($B84,'Análise Física Detalhada'!$E$13:$AU$380,42,0))</f>
        <v/>
      </c>
      <c r="L84" s="435" t="str">
        <f>IF($B84="","",VLOOKUP($B84,'Análise Física Detalhada'!$E$13:$AU$380,43,0))</f>
        <v/>
      </c>
      <c r="M84" s="1143"/>
      <c r="N84" s="1144"/>
      <c r="O84" s="1144"/>
      <c r="P84" s="1144"/>
      <c r="Q84" s="1144"/>
      <c r="R84" s="1144"/>
      <c r="S84" s="1144"/>
      <c r="T84" s="1144"/>
      <c r="U84" s="1144"/>
      <c r="V84" s="1145"/>
    </row>
    <row r="85" spans="1:23" s="231" customFormat="1" ht="30" customHeight="1" x14ac:dyDescent="0.2">
      <c r="A85" s="245">
        <v>19</v>
      </c>
      <c r="B85" s="421" t="str">
        <f>IF($A85&gt;MAX('Análise Física Detalhada'!$AQ$13:$AQ$379),"",VLOOKUP($A85,'Análise Física Detalhada'!$AQ$13:$AZ$379,10,0))</f>
        <v/>
      </c>
      <c r="C85" s="1166" t="str">
        <f>IF($B85="","",VLOOKUP($B85,'Análise Física Detalhada'!$E$13:$AU$380,2,0))</f>
        <v/>
      </c>
      <c r="D85" s="1167"/>
      <c r="E85" s="1167"/>
      <c r="F85" s="1167"/>
      <c r="G85" s="1167"/>
      <c r="H85" s="1168"/>
      <c r="I85" s="422" t="str">
        <f>IF($B85="","",VLOOKUP($B85,'Análise Física Detalhada'!$E$13:$AU$380,40,0))</f>
        <v/>
      </c>
      <c r="J85" s="436" t="str">
        <f>IF($B85="","",VLOOKUP($B85,'Análise Física Detalhada'!$E$13:$AU$380,41,0))</f>
        <v/>
      </c>
      <c r="K85" s="424" t="str">
        <f>IF($B85="","",VLOOKUP($B85,'Análise Física Detalhada'!$E$13:$AU$380,42,0))</f>
        <v/>
      </c>
      <c r="L85" s="435" t="str">
        <f>IF($B85="","",VLOOKUP($B85,'Análise Física Detalhada'!$E$13:$AU$380,43,0))</f>
        <v/>
      </c>
      <c r="M85" s="1143"/>
      <c r="N85" s="1144"/>
      <c r="O85" s="1144"/>
      <c r="P85" s="1144"/>
      <c r="Q85" s="1144"/>
      <c r="R85" s="1144"/>
      <c r="S85" s="1144"/>
      <c r="T85" s="1144"/>
      <c r="U85" s="1144"/>
      <c r="V85" s="1145"/>
    </row>
    <row r="86" spans="1:23" s="231" customFormat="1" ht="30" customHeight="1" x14ac:dyDescent="0.2">
      <c r="A86" s="245">
        <v>20</v>
      </c>
      <c r="B86" s="421" t="str">
        <f>IF($A86&gt;MAX('Análise Física Detalhada'!$AQ$13:$AQ$379),"",VLOOKUP($A86,'Análise Física Detalhada'!$AQ$13:$AZ$379,10,0))</f>
        <v/>
      </c>
      <c r="C86" s="1166" t="str">
        <f>IF($B86="","",VLOOKUP($B86,'Análise Física Detalhada'!$E$13:$AU$380,2,0))</f>
        <v/>
      </c>
      <c r="D86" s="1167"/>
      <c r="E86" s="1167"/>
      <c r="F86" s="1167"/>
      <c r="G86" s="1167"/>
      <c r="H86" s="1168"/>
      <c r="I86" s="422" t="str">
        <f>IF($B86="","",VLOOKUP($B86,'Análise Física Detalhada'!$E$13:$AU$380,40,0))</f>
        <v/>
      </c>
      <c r="J86" s="436" t="str">
        <f>IF($B86="","",VLOOKUP($B86,'Análise Física Detalhada'!$E$13:$AU$380,41,0))</f>
        <v/>
      </c>
      <c r="K86" s="424" t="str">
        <f>IF($B86="","",VLOOKUP($B86,'Análise Física Detalhada'!$E$13:$AU$380,42,0))</f>
        <v/>
      </c>
      <c r="L86" s="435" t="str">
        <f>IF($B86="","",VLOOKUP($B86,'Análise Física Detalhada'!$E$13:$AU$380,43,0))</f>
        <v/>
      </c>
      <c r="M86" s="1143"/>
      <c r="N86" s="1144"/>
      <c r="O86" s="1144"/>
      <c r="P86" s="1144"/>
      <c r="Q86" s="1144"/>
      <c r="R86" s="1144"/>
      <c r="S86" s="1144"/>
      <c r="T86" s="1144"/>
      <c r="U86" s="1144"/>
      <c r="V86" s="1145"/>
    </row>
    <row r="87" spans="1:23" s="231" customFormat="1" ht="30" customHeight="1" x14ac:dyDescent="0.2">
      <c r="A87" s="245">
        <v>21</v>
      </c>
      <c r="B87" s="421" t="str">
        <f>IF($A87&gt;MAX('Análise Física Detalhada'!$AQ$13:$AQ$379),"",VLOOKUP($A87,'Análise Física Detalhada'!$AQ$13:$AZ$379,10,0))</f>
        <v/>
      </c>
      <c r="C87" s="1166" t="str">
        <f>IF($B87="","",VLOOKUP($B87,'Análise Física Detalhada'!$E$13:$AU$380,2,0))</f>
        <v/>
      </c>
      <c r="D87" s="1167"/>
      <c r="E87" s="1167"/>
      <c r="F87" s="1167"/>
      <c r="G87" s="1167"/>
      <c r="H87" s="1168"/>
      <c r="I87" s="422" t="str">
        <f>IF($B87="","",VLOOKUP($B87,'Análise Física Detalhada'!$E$13:$AU$380,40,0))</f>
        <v/>
      </c>
      <c r="J87" s="436" t="str">
        <f>IF($B87="","",VLOOKUP($B87,'Análise Física Detalhada'!$E$13:$AU$380,41,0))</f>
        <v/>
      </c>
      <c r="K87" s="424" t="str">
        <f>IF($B87="","",VLOOKUP($B87,'Análise Física Detalhada'!$E$13:$AU$380,42,0))</f>
        <v/>
      </c>
      <c r="L87" s="435" t="str">
        <f>IF($B87="","",VLOOKUP($B87,'Análise Física Detalhada'!$E$13:$AU$380,43,0))</f>
        <v/>
      </c>
      <c r="M87" s="1143"/>
      <c r="N87" s="1144"/>
      <c r="O87" s="1144"/>
      <c r="P87" s="1144"/>
      <c r="Q87" s="1144"/>
      <c r="R87" s="1144"/>
      <c r="S87" s="1144"/>
      <c r="T87" s="1144"/>
      <c r="U87" s="1144"/>
      <c r="V87" s="1145"/>
    </row>
    <row r="88" spans="1:23" s="231" customFormat="1" ht="30" customHeight="1" x14ac:dyDescent="0.2">
      <c r="A88" s="245">
        <v>22</v>
      </c>
      <c r="B88" s="421" t="str">
        <f>IF($A88&gt;MAX('Análise Física Detalhada'!$AQ$13:$AQ$379),"",VLOOKUP($A88,'Análise Física Detalhada'!$AQ$13:$AZ$379,10,0))</f>
        <v/>
      </c>
      <c r="C88" s="1166" t="str">
        <f>IF($B88="","",VLOOKUP($B88,'Análise Física Detalhada'!$E$13:$AU$380,2,0))</f>
        <v/>
      </c>
      <c r="D88" s="1167"/>
      <c r="E88" s="1167"/>
      <c r="F88" s="1167"/>
      <c r="G88" s="1167"/>
      <c r="H88" s="1168"/>
      <c r="I88" s="422" t="str">
        <f>IF($B88="","",VLOOKUP($B88,'Análise Física Detalhada'!$E$13:$AU$380,40,0))</f>
        <v/>
      </c>
      <c r="J88" s="436" t="str">
        <f>IF($B88="","",VLOOKUP($B88,'Análise Física Detalhada'!$E$13:$AU$380,41,0))</f>
        <v/>
      </c>
      <c r="K88" s="424" t="str">
        <f>IF($B88="","",VLOOKUP($B88,'Análise Física Detalhada'!$E$13:$AU$380,42,0))</f>
        <v/>
      </c>
      <c r="L88" s="435" t="str">
        <f>IF($B88="","",VLOOKUP($B88,'Análise Física Detalhada'!$E$13:$AU$380,43,0))</f>
        <v/>
      </c>
      <c r="M88" s="1143"/>
      <c r="N88" s="1144"/>
      <c r="O88" s="1144"/>
      <c r="P88" s="1144"/>
      <c r="Q88" s="1144"/>
      <c r="R88" s="1144"/>
      <c r="S88" s="1144"/>
      <c r="T88" s="1144"/>
      <c r="U88" s="1144"/>
      <c r="V88" s="1145"/>
    </row>
    <row r="89" spans="1:23" s="231" customFormat="1" ht="30" customHeight="1" x14ac:dyDescent="0.2">
      <c r="A89" s="245">
        <v>23</v>
      </c>
      <c r="B89" s="421" t="str">
        <f>IF($A89&gt;MAX('Análise Física Detalhada'!$AQ$13:$AQ$379),"",VLOOKUP($A89,'Análise Física Detalhada'!$AQ$13:$AZ$379,10,0))</f>
        <v/>
      </c>
      <c r="C89" s="1166" t="str">
        <f>IF($B89="","",VLOOKUP($B89,'Análise Física Detalhada'!$E$13:$AU$380,2,0))</f>
        <v/>
      </c>
      <c r="D89" s="1167"/>
      <c r="E89" s="1167"/>
      <c r="F89" s="1167"/>
      <c r="G89" s="1167"/>
      <c r="H89" s="1168"/>
      <c r="I89" s="422" t="str">
        <f>IF($B89="","",VLOOKUP($B89,'Análise Física Detalhada'!$E$13:$AU$380,40,0))</f>
        <v/>
      </c>
      <c r="J89" s="436" t="str">
        <f>IF($B89="","",VLOOKUP($B89,'Análise Física Detalhada'!$E$13:$AU$380,41,0))</f>
        <v/>
      </c>
      <c r="K89" s="424" t="str">
        <f>IF($B89="","",VLOOKUP($B89,'Análise Física Detalhada'!$E$13:$AU$380,42,0))</f>
        <v/>
      </c>
      <c r="L89" s="435" t="str">
        <f>IF($B89="","",VLOOKUP($B89,'Análise Física Detalhada'!$E$13:$AU$380,43,0))</f>
        <v/>
      </c>
      <c r="M89" s="1143"/>
      <c r="N89" s="1144"/>
      <c r="O89" s="1144"/>
      <c r="P89" s="1144"/>
      <c r="Q89" s="1144"/>
      <c r="R89" s="1144"/>
      <c r="S89" s="1144"/>
      <c r="T89" s="1144"/>
      <c r="U89" s="1144"/>
      <c r="V89" s="1145"/>
    </row>
    <row r="90" spans="1:23" s="231" customFormat="1" ht="30" customHeight="1" x14ac:dyDescent="0.2">
      <c r="A90" s="245">
        <v>24</v>
      </c>
      <c r="B90" s="421" t="str">
        <f>IF($A90&gt;MAX('Análise Física Detalhada'!$AQ$13:$AQ$379),"",VLOOKUP($A90,'Análise Física Detalhada'!$AQ$13:$AZ$379,10,0))</f>
        <v/>
      </c>
      <c r="C90" s="1166" t="str">
        <f>IF($B90="","",VLOOKUP($B90,'Análise Física Detalhada'!$E$13:$AU$380,2,0))</f>
        <v/>
      </c>
      <c r="D90" s="1167"/>
      <c r="E90" s="1167"/>
      <c r="F90" s="1167"/>
      <c r="G90" s="1167"/>
      <c r="H90" s="1168"/>
      <c r="I90" s="422" t="str">
        <f>IF($B90="","",VLOOKUP($B90,'Análise Física Detalhada'!$E$13:$AU$380,40,0))</f>
        <v/>
      </c>
      <c r="J90" s="436" t="str">
        <f>IF($B90="","",VLOOKUP($B90,'Análise Física Detalhada'!$E$13:$AU$380,41,0))</f>
        <v/>
      </c>
      <c r="K90" s="424" t="str">
        <f>IF($B90="","",VLOOKUP($B90,'Análise Física Detalhada'!$E$13:$AU$380,42,0))</f>
        <v/>
      </c>
      <c r="L90" s="435" t="str">
        <f>IF($B90="","",VLOOKUP($B90,'Análise Física Detalhada'!$E$13:$AU$380,43,0))</f>
        <v/>
      </c>
      <c r="M90" s="1143"/>
      <c r="N90" s="1144"/>
      <c r="O90" s="1144"/>
      <c r="P90" s="1144"/>
      <c r="Q90" s="1144"/>
      <c r="R90" s="1144"/>
      <c r="S90" s="1144"/>
      <c r="T90" s="1144"/>
      <c r="U90" s="1144"/>
      <c r="V90" s="1145"/>
    </row>
    <row r="91" spans="1:23" s="231" customFormat="1" ht="30" customHeight="1" x14ac:dyDescent="0.2">
      <c r="A91" s="245">
        <v>25</v>
      </c>
      <c r="B91" s="432" t="str">
        <f>IF($A91&gt;MAX('Análise Física Detalhada'!$AQ$13:$AQ$379),"",VLOOKUP($A91,'Análise Física Detalhada'!$AQ$13:$AZ$379,10,0))</f>
        <v/>
      </c>
      <c r="C91" s="1166" t="str">
        <f>IF($B91="","",VLOOKUP($B91,'Análise Física Detalhada'!$E$13:$AU$380,2,0))</f>
        <v/>
      </c>
      <c r="D91" s="1167"/>
      <c r="E91" s="1167"/>
      <c r="F91" s="1167"/>
      <c r="G91" s="1167"/>
      <c r="H91" s="1168"/>
      <c r="I91" s="422" t="str">
        <f>IF($B91="","",VLOOKUP($B91,'Análise Física Detalhada'!$E$13:$AU$380,40,0))</f>
        <v/>
      </c>
      <c r="J91" s="436" t="str">
        <f>IF($B91="","",VLOOKUP($B91,'Análise Física Detalhada'!$E$13:$AU$380,41,0))</f>
        <v/>
      </c>
      <c r="K91" s="424" t="str">
        <f>IF($B91="","",VLOOKUP($B91,'Análise Física Detalhada'!$E$13:$AU$380,42,0))</f>
        <v/>
      </c>
      <c r="L91" s="435" t="str">
        <f>IF($B91="","",VLOOKUP($B91,'Análise Física Detalhada'!$E$13:$AU$380,43,0))</f>
        <v/>
      </c>
      <c r="M91" s="1143"/>
      <c r="N91" s="1144"/>
      <c r="O91" s="1144"/>
      <c r="P91" s="1144"/>
      <c r="Q91" s="1144"/>
      <c r="R91" s="1144"/>
      <c r="S91" s="1144"/>
      <c r="T91" s="1144"/>
      <c r="U91" s="1144"/>
      <c r="V91" s="1146"/>
      <c r="W91" s="257"/>
    </row>
    <row r="92" spans="1:23" x14ac:dyDescent="0.2">
      <c r="B92" s="260"/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V92" s="224"/>
    </row>
    <row r="93" spans="1:23" x14ac:dyDescent="0.2">
      <c r="B93" s="260"/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</row>
    <row r="94" spans="1:23" x14ac:dyDescent="0.2">
      <c r="B94" s="260"/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</row>
    <row r="95" spans="1:23" x14ac:dyDescent="0.2">
      <c r="B95" s="260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</row>
    <row r="96" spans="1:23" x14ac:dyDescent="0.2">
      <c r="B96" s="260"/>
      <c r="C96" s="224"/>
      <c r="D96" s="224"/>
      <c r="E96" s="224"/>
      <c r="F96" s="224"/>
      <c r="G96" s="224"/>
      <c r="H96" s="224"/>
      <c r="I96" s="224"/>
      <c r="J96" s="224"/>
      <c r="K96" s="224"/>
      <c r="L96" s="224"/>
      <c r="M96" s="224"/>
      <c r="N96" s="224"/>
    </row>
    <row r="97" spans="2:14" x14ac:dyDescent="0.2">
      <c r="B97" s="260"/>
      <c r="C97" s="224"/>
      <c r="D97" s="224"/>
      <c r="E97" s="224"/>
      <c r="F97" s="224"/>
      <c r="G97" s="224"/>
      <c r="H97" s="224"/>
      <c r="I97" s="224"/>
      <c r="J97" s="224"/>
      <c r="K97" s="224"/>
      <c r="L97" s="224"/>
      <c r="M97" s="224"/>
      <c r="N97" s="224"/>
    </row>
    <row r="98" spans="2:14" x14ac:dyDescent="0.2">
      <c r="B98" s="260"/>
      <c r="C98" s="224"/>
      <c r="D98" s="224"/>
      <c r="E98" s="224"/>
      <c r="F98" s="224"/>
      <c r="G98" s="224"/>
      <c r="H98" s="224"/>
      <c r="I98" s="224"/>
      <c r="J98" s="224"/>
      <c r="K98" s="224"/>
      <c r="L98" s="224"/>
      <c r="M98" s="224"/>
      <c r="N98" s="224"/>
    </row>
    <row r="99" spans="2:14" x14ac:dyDescent="0.2">
      <c r="B99" s="260"/>
      <c r="C99" s="224"/>
      <c r="D99" s="224"/>
      <c r="E99" s="224"/>
      <c r="F99" s="224"/>
      <c r="G99" s="224"/>
      <c r="H99" s="224"/>
      <c r="I99" s="224"/>
      <c r="J99" s="224"/>
      <c r="K99" s="224"/>
      <c r="L99" s="224"/>
      <c r="M99" s="224"/>
      <c r="N99" s="224"/>
    </row>
  </sheetData>
  <mergeCells count="159">
    <mergeCell ref="C57:H57"/>
    <mergeCell ref="O57:V57"/>
    <mergeCell ref="C58:H58"/>
    <mergeCell ref="O58:V58"/>
    <mergeCell ref="C59:H59"/>
    <mergeCell ref="O59:V59"/>
    <mergeCell ref="C60:H60"/>
    <mergeCell ref="O60:V60"/>
    <mergeCell ref="C52:H52"/>
    <mergeCell ref="O52:V52"/>
    <mergeCell ref="C53:H53"/>
    <mergeCell ref="O53:V53"/>
    <mergeCell ref="C54:H54"/>
    <mergeCell ref="O54:V54"/>
    <mergeCell ref="C55:H55"/>
    <mergeCell ref="O55:V55"/>
    <mergeCell ref="C56:H56"/>
    <mergeCell ref="O56:V56"/>
    <mergeCell ref="C39:H39"/>
    <mergeCell ref="O37:V38"/>
    <mergeCell ref="O39:V39"/>
    <mergeCell ref="O40:V40"/>
    <mergeCell ref="O41:V41"/>
    <mergeCell ref="O42:V42"/>
    <mergeCell ref="O43:V43"/>
    <mergeCell ref="O44:V44"/>
    <mergeCell ref="B9:B10"/>
    <mergeCell ref="C9:H10"/>
    <mergeCell ref="M9:N9"/>
    <mergeCell ref="D2:R2"/>
    <mergeCell ref="D3:R3"/>
    <mergeCell ref="M37:N37"/>
    <mergeCell ref="C13:H13"/>
    <mergeCell ref="I9:J9"/>
    <mergeCell ref="K9:L9"/>
    <mergeCell ref="C11:H11"/>
    <mergeCell ref="C12:H12"/>
    <mergeCell ref="B5:V6"/>
    <mergeCell ref="O22:V22"/>
    <mergeCell ref="O23:V23"/>
    <mergeCell ref="O34:V34"/>
    <mergeCell ref="O35:V35"/>
    <mergeCell ref="K37:L37"/>
    <mergeCell ref="O24:V24"/>
    <mergeCell ref="O25:V25"/>
    <mergeCell ref="O26:V26"/>
    <mergeCell ref="O27:V27"/>
    <mergeCell ref="O28:V28"/>
    <mergeCell ref="O29:V29"/>
    <mergeCell ref="O30:V30"/>
    <mergeCell ref="O31:V31"/>
    <mergeCell ref="O32:V32"/>
    <mergeCell ref="O33:V33"/>
    <mergeCell ref="C91:H91"/>
    <mergeCell ref="C82:H82"/>
    <mergeCell ref="C83:H83"/>
    <mergeCell ref="C84:H84"/>
    <mergeCell ref="C85:H85"/>
    <mergeCell ref="C86:H86"/>
    <mergeCell ref="B37:B38"/>
    <mergeCell ref="C35:H3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34:H34"/>
    <mergeCell ref="C49:H49"/>
    <mergeCell ref="C40:H40"/>
    <mergeCell ref="C46:H46"/>
    <mergeCell ref="C37:H38"/>
    <mergeCell ref="C47:H47"/>
    <mergeCell ref="C89:H89"/>
    <mergeCell ref="C90:H90"/>
    <mergeCell ref="C72:H72"/>
    <mergeCell ref="C73:H73"/>
    <mergeCell ref="C74:H74"/>
    <mergeCell ref="C75:H75"/>
    <mergeCell ref="C76:H76"/>
    <mergeCell ref="C77:H77"/>
    <mergeCell ref="C78:H78"/>
    <mergeCell ref="C79:H79"/>
    <mergeCell ref="C80:H80"/>
    <mergeCell ref="C81:H81"/>
    <mergeCell ref="C63:H63"/>
    <mergeCell ref="C48:H48"/>
    <mergeCell ref="C45:H45"/>
    <mergeCell ref="C41:H41"/>
    <mergeCell ref="O45:V45"/>
    <mergeCell ref="O46:V46"/>
    <mergeCell ref="O47:V47"/>
    <mergeCell ref="C87:H87"/>
    <mergeCell ref="C88:H88"/>
    <mergeCell ref="C42:H42"/>
    <mergeCell ref="C43:H43"/>
    <mergeCell ref="C44:H44"/>
    <mergeCell ref="C71:H71"/>
    <mergeCell ref="C67:H67"/>
    <mergeCell ref="C68:H68"/>
    <mergeCell ref="C69:H69"/>
    <mergeCell ref="C70:H70"/>
    <mergeCell ref="M83:V83"/>
    <mergeCell ref="M79:V79"/>
    <mergeCell ref="O61:V61"/>
    <mergeCell ref="O62:V62"/>
    <mergeCell ref="M84:V84"/>
    <mergeCell ref="C51:H51"/>
    <mergeCell ref="O51:V51"/>
    <mergeCell ref="B65:B66"/>
    <mergeCell ref="C65:H66"/>
    <mergeCell ref="I65:L6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37:J37"/>
    <mergeCell ref="C50:H50"/>
    <mergeCell ref="C61:H61"/>
    <mergeCell ref="C62:H62"/>
    <mergeCell ref="M65:V66"/>
    <mergeCell ref="O63:V63"/>
    <mergeCell ref="O48:V48"/>
    <mergeCell ref="O49:V49"/>
    <mergeCell ref="O50:V50"/>
    <mergeCell ref="M90:V90"/>
    <mergeCell ref="M91:V91"/>
    <mergeCell ref="M67:V67"/>
    <mergeCell ref="M68:V68"/>
    <mergeCell ref="M69:V69"/>
    <mergeCell ref="M70:V70"/>
    <mergeCell ref="M71:V71"/>
    <mergeCell ref="M72:V72"/>
    <mergeCell ref="M73:V73"/>
    <mergeCell ref="M74:V74"/>
    <mergeCell ref="M75:V75"/>
    <mergeCell ref="M76:V76"/>
    <mergeCell ref="M77:V77"/>
    <mergeCell ref="M78:V78"/>
    <mergeCell ref="M85:V85"/>
    <mergeCell ref="M86:V86"/>
    <mergeCell ref="M87:V87"/>
    <mergeCell ref="M88:V88"/>
    <mergeCell ref="M89:V89"/>
    <mergeCell ref="M80:V80"/>
    <mergeCell ref="M81:V81"/>
    <mergeCell ref="M82:V82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A5" sqref="A5"/>
    </sheetView>
  </sheetViews>
  <sheetFormatPr defaultRowHeight="15" x14ac:dyDescent="0.2"/>
  <cols>
    <col min="1" max="1" width="12.85546875" style="604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5"/>
      <c r="C1" s="556"/>
      <c r="D1" s="1210" t="s">
        <v>748</v>
      </c>
      <c r="E1" s="1210"/>
      <c r="F1" s="1210"/>
      <c r="G1" s="1210"/>
      <c r="H1" s="1210"/>
      <c r="I1" s="556"/>
      <c r="J1" s="556"/>
      <c r="K1" s="557"/>
    </row>
    <row r="2" spans="1:14" ht="27" customHeight="1" x14ac:dyDescent="0.2">
      <c r="B2" s="558" t="s">
        <v>747</v>
      </c>
      <c r="C2" s="559">
        <f>'Análise Física Macro'!$O$5</f>
        <v>44135</v>
      </c>
      <c r="D2" s="1211"/>
      <c r="E2" s="1211"/>
      <c r="F2" s="1211"/>
      <c r="G2" s="1211"/>
      <c r="H2" s="1211"/>
      <c r="I2" s="560"/>
      <c r="J2" s="560"/>
      <c r="K2" s="561"/>
    </row>
    <row r="3" spans="1:14" ht="20.25" x14ac:dyDescent="0.2">
      <c r="B3" s="1212" t="s">
        <v>5</v>
      </c>
      <c r="C3" s="1214" t="s">
        <v>4</v>
      </c>
      <c r="D3" s="1208" t="s">
        <v>745</v>
      </c>
      <c r="E3" s="1216" t="s">
        <v>743</v>
      </c>
      <c r="F3" s="1216"/>
      <c r="G3" s="1216"/>
      <c r="H3" s="1216" t="s">
        <v>746</v>
      </c>
      <c r="I3" s="1216"/>
      <c r="J3" s="1216"/>
      <c r="K3" s="1206" t="s">
        <v>744</v>
      </c>
    </row>
    <row r="4" spans="1:14" ht="30" customHeight="1" x14ac:dyDescent="0.2">
      <c r="B4" s="1213"/>
      <c r="C4" s="1215"/>
      <c r="D4" s="1209"/>
      <c r="E4" s="547">
        <f>'Análise Física Macro'!O5+28</f>
        <v>44163</v>
      </c>
      <c r="F4" s="547">
        <f>E4+29</f>
        <v>44192</v>
      </c>
      <c r="G4" s="547">
        <f>F4+30</f>
        <v>44222</v>
      </c>
      <c r="H4" s="547">
        <f>E4+28</f>
        <v>44191</v>
      </c>
      <c r="I4" s="547">
        <f>F4+28</f>
        <v>44220</v>
      </c>
      <c r="J4" s="547">
        <f>G4+28</f>
        <v>44250</v>
      </c>
      <c r="K4" s="1207"/>
    </row>
    <row r="5" spans="1:14" ht="38.25" customHeight="1" x14ac:dyDescent="0.2">
      <c r="A5" s="261" t="s">
        <v>1750</v>
      </c>
      <c r="B5" s="543">
        <v>1</v>
      </c>
      <c r="C5" s="542" t="str">
        <f>IF(A5="","",VLOOKUP($A5,Plan3!$A$1524:$I$1975,3,0))</f>
        <v>Tijolo Ceramico Furado 19x19x29 NBR 15270-3</v>
      </c>
      <c r="D5" s="542" t="str">
        <f>IF(A5="","",VLOOKUP($A5,Plan3!$A$1524:$I$1975,8,0))</f>
        <v>Alvenaria de bloco cerâmico - 19x19x29 cm</v>
      </c>
      <c r="E5" s="544" t="str">
        <f t="shared" ref="E5:E7" si="0">IF($A5="","",IF(H5&lt;&gt;"","Fazer Pedido",""))</f>
        <v/>
      </c>
      <c r="F5" s="544" t="str">
        <f t="shared" ref="F5:F7" si="1">IF($A5="","",IF(I5&lt;&gt;"","Fazer Pedido",""))</f>
        <v/>
      </c>
      <c r="G5" s="544" t="str">
        <f t="shared" ref="G5:G7" si="2">IF($A5="","",IF(J5&lt;&gt;"","Fazer Pedido",""))</f>
        <v>Fazer Pedido</v>
      </c>
      <c r="H5" s="545" t="str">
        <f t="shared" ref="H5:J36" si="3">IF($A5="","",IF(MONTH($L5)=MONTH(H$4),"Insumo na Obra",""))</f>
        <v/>
      </c>
      <c r="I5" s="545" t="str">
        <f t="shared" si="3"/>
        <v/>
      </c>
      <c r="J5" s="545" t="str">
        <f t="shared" si="3"/>
        <v>Insumo na Obra</v>
      </c>
      <c r="K5" s="546"/>
      <c r="L5" s="605">
        <f>DATEVALUE(M5)</f>
        <v>43871</v>
      </c>
      <c r="M5" s="834" t="s">
        <v>1553</v>
      </c>
      <c r="N5" s="261" t="s">
        <v>1146</v>
      </c>
    </row>
    <row r="6" spans="1:14" ht="38.25" customHeight="1" x14ac:dyDescent="0.2">
      <c r="A6" s="261" t="s">
        <v>1751</v>
      </c>
      <c r="B6" s="548">
        <f t="shared" ref="B6:B7" si="4">IF(C6&lt;&gt;"",B5+1,"")</f>
        <v>2</v>
      </c>
      <c r="C6" s="549" t="str">
        <f>IF(A6="","",VLOOKUP($A6,Plan3!$A$1524:$I$1975,3,0))</f>
        <v>Serviço de Empreitada / Corte, Dobra e Montagem de Armação  - NBR 14931</v>
      </c>
      <c r="D6" s="549" t="str">
        <f>IF(A6="","",VLOOKUP($A6,Plan3!$A$1524:$I$1975,8,0))</f>
        <v>Vergas e contra-vergas</v>
      </c>
      <c r="E6" s="550" t="str">
        <f t="shared" si="0"/>
        <v/>
      </c>
      <c r="F6" s="550" t="str">
        <f t="shared" si="1"/>
        <v/>
      </c>
      <c r="G6" s="550" t="str">
        <f t="shared" si="2"/>
        <v>Fazer Pedido</v>
      </c>
      <c r="H6" s="551" t="str">
        <f t="shared" si="3"/>
        <v/>
      </c>
      <c r="I6" s="551" t="str">
        <f t="shared" si="3"/>
        <v/>
      </c>
      <c r="J6" s="551" t="str">
        <f t="shared" si="3"/>
        <v>Insumo na Obra</v>
      </c>
      <c r="K6" s="552"/>
      <c r="L6" s="605">
        <f t="shared" ref="L6:L69" si="5">DATEVALUE(M6)</f>
        <v>43871</v>
      </c>
      <c r="M6" s="834" t="s">
        <v>1553</v>
      </c>
      <c r="N6" s="261" t="s">
        <v>1147</v>
      </c>
    </row>
    <row r="7" spans="1:14" ht="38.25" customHeight="1" x14ac:dyDescent="0.2">
      <c r="A7" s="261" t="s">
        <v>1752</v>
      </c>
      <c r="B7" s="543">
        <f t="shared" si="4"/>
        <v>3</v>
      </c>
      <c r="C7" s="542" t="str">
        <f>IF(A7="","",VLOOKUP($A7,Plan3!$A$1524:$I$1975,3,0))</f>
        <v xml:space="preserve">Cimento CPII 32 Portland </v>
      </c>
      <c r="D7" s="542" t="str">
        <f>IF(A7="","",VLOOKUP($A7,Plan3!$A$1524:$I$1975,8,0))</f>
        <v>Alvenaria em tijolo cerâmico - 14x19x29 cm</v>
      </c>
      <c r="E7" s="544" t="str">
        <f t="shared" si="0"/>
        <v/>
      </c>
      <c r="F7" s="544" t="str">
        <f t="shared" si="1"/>
        <v/>
      </c>
      <c r="G7" s="544" t="str">
        <f t="shared" si="2"/>
        <v>Fazer Pedido</v>
      </c>
      <c r="H7" s="545" t="str">
        <f t="shared" si="3"/>
        <v/>
      </c>
      <c r="I7" s="545" t="str">
        <f t="shared" si="3"/>
        <v/>
      </c>
      <c r="J7" s="545" t="str">
        <f t="shared" si="3"/>
        <v>Insumo na Obra</v>
      </c>
      <c r="K7" s="546"/>
      <c r="L7" s="605">
        <f t="shared" si="5"/>
        <v>43871</v>
      </c>
      <c r="M7" s="834" t="s">
        <v>1553</v>
      </c>
      <c r="N7" s="261" t="s">
        <v>1148</v>
      </c>
    </row>
    <row r="8" spans="1:14" ht="38.25" customHeight="1" x14ac:dyDescent="0.2">
      <c r="A8" s="261" t="s">
        <v>1753</v>
      </c>
      <c r="B8" s="548">
        <f t="shared" ref="B8:B71" si="6">IF(C8&lt;&gt;"",B7+1,"")</f>
        <v>4</v>
      </c>
      <c r="C8" s="549" t="str">
        <f>IF(A8="","",VLOOKUP($A8,Plan3!$A$1524:$I$1975,3,0))</f>
        <v>Serviço de empreitada / Encunhamento</v>
      </c>
      <c r="D8" s="549" t="str">
        <f>IF(A8="","",VLOOKUP($A8,Plan3!$A$1524:$I$1975,8,0))</f>
        <v>Mão de obra de encunhamento</v>
      </c>
      <c r="E8" s="550" t="str">
        <f t="shared" ref="E8:E71" si="7">IF($A8="","",IF(H8&lt;&gt;"","Fazer Pedido",""))</f>
        <v/>
      </c>
      <c r="F8" s="550" t="str">
        <f t="shared" ref="F8:F71" si="8">IF($A8="","",IF(I8&lt;&gt;"","Fazer Pedido",""))</f>
        <v/>
      </c>
      <c r="G8" s="550" t="str">
        <f t="shared" ref="G8:G71" si="9">IF($A8="","",IF(J8&lt;&gt;"","Fazer Pedido",""))</f>
        <v/>
      </c>
      <c r="H8" s="551" t="str">
        <f t="shared" si="3"/>
        <v/>
      </c>
      <c r="I8" s="551" t="str">
        <f t="shared" si="3"/>
        <v/>
      </c>
      <c r="J8" s="551" t="str">
        <f t="shared" si="3"/>
        <v/>
      </c>
      <c r="K8" s="552"/>
      <c r="L8" s="605">
        <f t="shared" si="5"/>
        <v>43891</v>
      </c>
      <c r="M8" s="834" t="s">
        <v>1549</v>
      </c>
      <c r="N8" s="261" t="s">
        <v>1149</v>
      </c>
    </row>
    <row r="9" spans="1:14" ht="38.25" customHeight="1" x14ac:dyDescent="0.2">
      <c r="A9" s="261" t="s">
        <v>1169</v>
      </c>
      <c r="B9" s="543">
        <f t="shared" si="6"/>
        <v>5</v>
      </c>
      <c r="C9" s="542" t="str">
        <f>IF(A9="","",VLOOKUP($A9,Plan3!$A$1524:$I$1975,3,0))</f>
        <v>Massical - NBR 7175</v>
      </c>
      <c r="D9" s="542" t="str">
        <f>IF(A9="","",VLOOKUP($A9,Plan3!$A$1524:$I$1975,8,0))</f>
        <v>Alvenaria em tijolo cerâmico - 14x19x29 cm</v>
      </c>
      <c r="E9" s="544" t="str">
        <f t="shared" si="7"/>
        <v/>
      </c>
      <c r="F9" s="544" t="str">
        <f t="shared" si="8"/>
        <v/>
      </c>
      <c r="G9" s="544" t="str">
        <f t="shared" si="9"/>
        <v>Fazer Pedido</v>
      </c>
      <c r="H9" s="545" t="str">
        <f t="shared" si="3"/>
        <v/>
      </c>
      <c r="I9" s="545" t="str">
        <f t="shared" si="3"/>
        <v/>
      </c>
      <c r="J9" s="545" t="str">
        <f t="shared" si="3"/>
        <v>Insumo na Obra</v>
      </c>
      <c r="K9" s="546"/>
      <c r="L9" s="605">
        <f t="shared" si="5"/>
        <v>43871</v>
      </c>
      <c r="M9" s="834" t="s">
        <v>1553</v>
      </c>
      <c r="N9" s="261" t="s">
        <v>1150</v>
      </c>
    </row>
    <row r="10" spans="1:14" ht="38.25" customHeight="1" x14ac:dyDescent="0.2">
      <c r="A10" s="261" t="s">
        <v>1754</v>
      </c>
      <c r="B10" s="548">
        <f t="shared" si="6"/>
        <v>6</v>
      </c>
      <c r="C10" s="549" t="str">
        <f>IF(A10="","",VLOOKUP($A10,Plan3!$A$1524:$I$1975,3,0))</f>
        <v>Brita 1 (9,5 a 19 mm) - NBR 7211</v>
      </c>
      <c r="D10" s="549" t="str">
        <f>IF(A10="","",VLOOKUP($A10,Plan3!$A$1524:$I$1975,8,0))</f>
        <v>Vergas e contra-vergas</v>
      </c>
      <c r="E10" s="550" t="str">
        <f t="shared" si="7"/>
        <v/>
      </c>
      <c r="F10" s="550" t="str">
        <f t="shared" si="8"/>
        <v/>
      </c>
      <c r="G10" s="550" t="str">
        <f t="shared" si="9"/>
        <v>Fazer Pedido</v>
      </c>
      <c r="H10" s="551" t="str">
        <f t="shared" si="3"/>
        <v/>
      </c>
      <c r="I10" s="551" t="str">
        <f t="shared" si="3"/>
        <v/>
      </c>
      <c r="J10" s="551" t="str">
        <f t="shared" si="3"/>
        <v>Insumo na Obra</v>
      </c>
      <c r="K10" s="552"/>
      <c r="L10" s="605">
        <f t="shared" si="5"/>
        <v>43871</v>
      </c>
      <c r="M10" s="834" t="s">
        <v>1553</v>
      </c>
      <c r="N10" s="261" t="s">
        <v>1151</v>
      </c>
    </row>
    <row r="11" spans="1:14" ht="38.25" customHeight="1" x14ac:dyDescent="0.2">
      <c r="A11" s="261" t="s">
        <v>1156</v>
      </c>
      <c r="B11" s="543">
        <f t="shared" si="6"/>
        <v>7</v>
      </c>
      <c r="C11" s="542" t="str">
        <f>IF(A11="","",VLOOKUP($A11,Plan3!$A$1524:$I$1975,3,0))</f>
        <v xml:space="preserve">Prego 18x30 - ABNT NBR 6627:1981 </v>
      </c>
      <c r="D11" s="542" t="str">
        <f>IF(A11="","",VLOOKUP($A11,Plan3!$A$1524:$I$1975,8,0))</f>
        <v>Vergas e contra-vergas</v>
      </c>
      <c r="E11" s="544" t="str">
        <f t="shared" si="7"/>
        <v/>
      </c>
      <c r="F11" s="544" t="str">
        <f t="shared" si="8"/>
        <v/>
      </c>
      <c r="G11" s="544" t="str">
        <f t="shared" si="9"/>
        <v>Fazer Pedido</v>
      </c>
      <c r="H11" s="545" t="str">
        <f t="shared" si="3"/>
        <v/>
      </c>
      <c r="I11" s="545" t="str">
        <f t="shared" si="3"/>
        <v/>
      </c>
      <c r="J11" s="545" t="str">
        <f t="shared" si="3"/>
        <v>Insumo na Obra</v>
      </c>
      <c r="K11" s="546"/>
      <c r="L11" s="605">
        <f t="shared" si="5"/>
        <v>43871</v>
      </c>
      <c r="M11" s="834" t="s">
        <v>1553</v>
      </c>
      <c r="N11" s="261" t="s">
        <v>1152</v>
      </c>
    </row>
    <row r="12" spans="1:14" ht="38.25" hidden="1" customHeight="1" x14ac:dyDescent="0.2">
      <c r="A12" s="261" t="s">
        <v>1755</v>
      </c>
      <c r="B12" s="548">
        <f t="shared" si="6"/>
        <v>8</v>
      </c>
      <c r="C12" s="549" t="str">
        <f>IF(A12="","",VLOOKUP($A12,Plan3!$A$1524:$I$1975,3,0))</f>
        <v>Aco CA-50/60 - NBR 7480</v>
      </c>
      <c r="D12" s="549" t="str">
        <f>IF(A12="","",VLOOKUP($A12,Plan3!$A$1524:$I$1975,8,0))</f>
        <v>Vergas e contra-vergas</v>
      </c>
      <c r="E12" s="550" t="str">
        <f t="shared" si="7"/>
        <v/>
      </c>
      <c r="F12" s="550" t="str">
        <f t="shared" si="8"/>
        <v/>
      </c>
      <c r="G12" s="550" t="str">
        <f t="shared" si="9"/>
        <v>Fazer Pedido</v>
      </c>
      <c r="H12" s="551" t="str">
        <f t="shared" si="3"/>
        <v/>
      </c>
      <c r="I12" s="551" t="str">
        <f t="shared" si="3"/>
        <v/>
      </c>
      <c r="J12" s="551" t="str">
        <f t="shared" si="3"/>
        <v>Insumo na Obra</v>
      </c>
      <c r="K12" s="552"/>
      <c r="L12" s="605">
        <f t="shared" si="5"/>
        <v>43871</v>
      </c>
      <c r="M12" s="834" t="s">
        <v>1553</v>
      </c>
      <c r="N12" s="261" t="s">
        <v>1153</v>
      </c>
    </row>
    <row r="13" spans="1:14" ht="38.25" customHeight="1" x14ac:dyDescent="0.2">
      <c r="A13" s="261" t="s">
        <v>1158</v>
      </c>
      <c r="B13" s="543">
        <f t="shared" si="6"/>
        <v>9</v>
      </c>
      <c r="C13" s="542" t="str">
        <f>IF(A13="","",VLOOKUP($A13,Plan3!$A$1524:$I$1975,3,0))</f>
        <v xml:space="preserve">Arame Recozido Torcido BWG 18 - NBR 5589:2012  </v>
      </c>
      <c r="D13" s="542" t="str">
        <f>IF(A13="","",VLOOKUP($A13,Plan3!$A$1524:$I$1975,8,0))</f>
        <v>Vergas e contra-vergas</v>
      </c>
      <c r="E13" s="544" t="str">
        <f t="shared" si="7"/>
        <v/>
      </c>
      <c r="F13" s="544" t="str">
        <f t="shared" si="8"/>
        <v/>
      </c>
      <c r="G13" s="544" t="str">
        <f t="shared" si="9"/>
        <v>Fazer Pedido</v>
      </c>
      <c r="H13" s="545" t="str">
        <f t="shared" si="3"/>
        <v/>
      </c>
      <c r="I13" s="545" t="str">
        <f t="shared" si="3"/>
        <v/>
      </c>
      <c r="J13" s="545" t="str">
        <f t="shared" si="3"/>
        <v>Insumo na Obra</v>
      </c>
      <c r="K13" s="546"/>
      <c r="L13" s="605">
        <f t="shared" si="5"/>
        <v>43871</v>
      </c>
      <c r="M13" s="834" t="s">
        <v>1553</v>
      </c>
      <c r="N13" s="261" t="s">
        <v>1154</v>
      </c>
    </row>
    <row r="14" spans="1:14" ht="38.25" customHeight="1" x14ac:dyDescent="0.2">
      <c r="A14" s="261" t="s">
        <v>1756</v>
      </c>
      <c r="B14" s="548">
        <f t="shared" si="6"/>
        <v>10</v>
      </c>
      <c r="C14" s="549" t="str">
        <f>IF(A14="","",VLOOKUP($A14,Plan3!$A$1524:$I$1975,3,0))</f>
        <v>Areia Media - NBR 7211</v>
      </c>
      <c r="D14" s="549" t="str">
        <f>IF(A14="","",VLOOKUP($A14,Plan3!$A$1524:$I$1975,8,0))</f>
        <v>Alvenaria em tijolo cerâmico - 14x19x29 cm</v>
      </c>
      <c r="E14" s="550" t="str">
        <f t="shared" si="7"/>
        <v/>
      </c>
      <c r="F14" s="550" t="str">
        <f t="shared" si="8"/>
        <v/>
      </c>
      <c r="G14" s="550" t="str">
        <f t="shared" si="9"/>
        <v>Fazer Pedido</v>
      </c>
      <c r="H14" s="551" t="str">
        <f t="shared" si="3"/>
        <v/>
      </c>
      <c r="I14" s="551" t="str">
        <f t="shared" si="3"/>
        <v/>
      </c>
      <c r="J14" s="551" t="str">
        <f t="shared" si="3"/>
        <v>Insumo na Obra</v>
      </c>
      <c r="K14" s="552"/>
      <c r="L14" s="605">
        <f t="shared" si="5"/>
        <v>43871</v>
      </c>
      <c r="M14" s="834" t="s">
        <v>1553</v>
      </c>
      <c r="N14" s="261" t="s">
        <v>1155</v>
      </c>
    </row>
    <row r="15" spans="1:14" ht="38.25" customHeight="1" x14ac:dyDescent="0.2">
      <c r="A15" s="261" t="s">
        <v>1171</v>
      </c>
      <c r="B15" s="543">
        <f t="shared" si="6"/>
        <v>11</v>
      </c>
      <c r="C15" s="542" t="str">
        <f>IF(A15="","",VLOOKUP($A15,Plan3!$A$1524:$I$1975,3,0))</f>
        <v>Tijolo Ceramico Furado 14x19x29 - NBR 15270-3:2005 - un</v>
      </c>
      <c r="D15" s="542" t="str">
        <f>IF(A15="","",VLOOKUP($A15,Plan3!$A$1524:$I$1975,8,0))</f>
        <v>Alvenaria em tijolo cerâmico - 14x19x29 cm</v>
      </c>
      <c r="E15" s="544" t="str">
        <f t="shared" si="7"/>
        <v/>
      </c>
      <c r="F15" s="544" t="str">
        <f t="shared" si="8"/>
        <v/>
      </c>
      <c r="G15" s="544" t="str">
        <f t="shared" si="9"/>
        <v>Fazer Pedido</v>
      </c>
      <c r="H15" s="545" t="str">
        <f t="shared" si="3"/>
        <v/>
      </c>
      <c r="I15" s="545" t="str">
        <f t="shared" si="3"/>
        <v/>
      </c>
      <c r="J15" s="545" t="str">
        <f t="shared" si="3"/>
        <v>Insumo na Obra</v>
      </c>
      <c r="K15" s="546"/>
      <c r="L15" s="605">
        <f t="shared" si="5"/>
        <v>43871</v>
      </c>
      <c r="M15" s="834" t="s">
        <v>1553</v>
      </c>
      <c r="N15" s="261" t="s">
        <v>1156</v>
      </c>
    </row>
    <row r="16" spans="1:14" ht="38.25" customHeight="1" x14ac:dyDescent="0.2">
      <c r="A16" s="261" t="s">
        <v>1175</v>
      </c>
      <c r="B16" s="548">
        <f t="shared" si="6"/>
        <v>12</v>
      </c>
      <c r="C16" s="549" t="str">
        <f>IF(A16="","",VLOOKUP($A16,Plan3!$A$1524:$I$1975,3,0))</f>
        <v>Servente</v>
      </c>
      <c r="D16" s="549" t="str">
        <f>IF(A16="","",VLOOKUP($A16,Plan3!$A$1524:$I$1975,8,0))</f>
        <v>Vergas e contra-vergas</v>
      </c>
      <c r="E16" s="550" t="str">
        <f t="shared" si="7"/>
        <v/>
      </c>
      <c r="F16" s="550" t="str">
        <f t="shared" si="8"/>
        <v/>
      </c>
      <c r="G16" s="550" t="str">
        <f t="shared" si="9"/>
        <v>Fazer Pedido</v>
      </c>
      <c r="H16" s="551" t="str">
        <f t="shared" si="3"/>
        <v/>
      </c>
      <c r="I16" s="551" t="str">
        <f t="shared" si="3"/>
        <v/>
      </c>
      <c r="J16" s="551" t="str">
        <f t="shared" si="3"/>
        <v>Insumo na Obra</v>
      </c>
      <c r="K16" s="552"/>
      <c r="L16" s="605">
        <f t="shared" si="5"/>
        <v>43871</v>
      </c>
      <c r="M16" s="834" t="s">
        <v>1553</v>
      </c>
      <c r="N16" s="261" t="s">
        <v>1157</v>
      </c>
    </row>
    <row r="17" spans="1:14" ht="38.25" customHeight="1" x14ac:dyDescent="0.2">
      <c r="A17" s="261" t="s">
        <v>1178</v>
      </c>
      <c r="B17" s="543">
        <f t="shared" si="6"/>
        <v>13</v>
      </c>
      <c r="C17" s="542" t="str">
        <f>IF(A17="","",VLOOKUP($A17,Plan3!$A$1524:$I$1975,3,0))</f>
        <v>Pedreiro</v>
      </c>
      <c r="D17" s="542" t="str">
        <f>IF(A17="","",VLOOKUP($A17,Plan3!$A$1524:$I$1975,8,0))</f>
        <v>Vergas e contra-vergas</v>
      </c>
      <c r="E17" s="544" t="str">
        <f t="shared" si="7"/>
        <v/>
      </c>
      <c r="F17" s="544" t="str">
        <f t="shared" si="8"/>
        <v/>
      </c>
      <c r="G17" s="544" t="str">
        <f t="shared" si="9"/>
        <v>Fazer Pedido</v>
      </c>
      <c r="H17" s="545" t="str">
        <f t="shared" si="3"/>
        <v/>
      </c>
      <c r="I17" s="545" t="str">
        <f t="shared" si="3"/>
        <v/>
      </c>
      <c r="J17" s="545" t="str">
        <f t="shared" si="3"/>
        <v>Insumo na Obra</v>
      </c>
      <c r="K17" s="546"/>
      <c r="L17" s="605">
        <f t="shared" si="5"/>
        <v>43871</v>
      </c>
      <c r="M17" s="834" t="s">
        <v>1553</v>
      </c>
      <c r="N17" s="261" t="s">
        <v>1158</v>
      </c>
    </row>
    <row r="18" spans="1:14" ht="38.25" customHeight="1" x14ac:dyDescent="0.2">
      <c r="A18" s="261" t="s">
        <v>1179</v>
      </c>
      <c r="B18" s="548">
        <f t="shared" si="6"/>
        <v>14</v>
      </c>
      <c r="C18" s="549" t="str">
        <f>IF(A18="","",VLOOKUP($A18,Plan3!$A$1524:$I$1975,3,0))</f>
        <v>Sarrafo Pinho 1x4"</v>
      </c>
      <c r="D18" s="549" t="str">
        <f>IF(A18="","",VLOOKUP($A18,Plan3!$A$1524:$I$1975,8,0))</f>
        <v>Vergas e contra-vergas</v>
      </c>
      <c r="E18" s="550" t="str">
        <f t="shared" si="7"/>
        <v/>
      </c>
      <c r="F18" s="550" t="str">
        <f t="shared" si="8"/>
        <v/>
      </c>
      <c r="G18" s="550" t="str">
        <f t="shared" si="9"/>
        <v>Fazer Pedido</v>
      </c>
      <c r="H18" s="551" t="str">
        <f t="shared" si="3"/>
        <v/>
      </c>
      <c r="I18" s="551" t="str">
        <f t="shared" si="3"/>
        <v/>
      </c>
      <c r="J18" s="551" t="str">
        <f t="shared" si="3"/>
        <v>Insumo na Obra</v>
      </c>
      <c r="K18" s="552"/>
      <c r="L18" s="605">
        <f t="shared" si="5"/>
        <v>43871</v>
      </c>
      <c r="M18" s="834" t="s">
        <v>1553</v>
      </c>
      <c r="N18" s="261" t="s">
        <v>1159</v>
      </c>
    </row>
    <row r="19" spans="1:14" ht="38.25" customHeight="1" x14ac:dyDescent="0.2">
      <c r="A19" s="261" t="s">
        <v>1757</v>
      </c>
      <c r="B19" s="543">
        <f t="shared" si="6"/>
        <v>15</v>
      </c>
      <c r="C19" s="542" t="str">
        <f>IF(A19="","",VLOOKUP($A19,Plan3!$A$1524:$I$1975,3,0))</f>
        <v>Serviços de Empreitada  / Serviço de empreitada de Alvenaria de 09 a 14 cm - Tijolo Cerâmico</v>
      </c>
      <c r="D19" s="542" t="str">
        <f>IF(A19="","",VLOOKUP($A19,Plan3!$A$1524:$I$1975,8,0))</f>
        <v>Mão de obra alvenaria de bloco cerâmico</v>
      </c>
      <c r="E19" s="544" t="str">
        <f t="shared" si="7"/>
        <v/>
      </c>
      <c r="F19" s="544" t="str">
        <f t="shared" si="8"/>
        <v/>
      </c>
      <c r="G19" s="544" t="str">
        <f t="shared" si="9"/>
        <v>Fazer Pedido</v>
      </c>
      <c r="H19" s="545" t="str">
        <f t="shared" si="3"/>
        <v/>
      </c>
      <c r="I19" s="545" t="str">
        <f t="shared" si="3"/>
        <v/>
      </c>
      <c r="J19" s="545" t="str">
        <f t="shared" si="3"/>
        <v>Insumo na Obra</v>
      </c>
      <c r="K19" s="546"/>
      <c r="L19" s="605">
        <f t="shared" si="5"/>
        <v>43871</v>
      </c>
      <c r="M19" s="834" t="s">
        <v>1553</v>
      </c>
      <c r="N19" s="261" t="s">
        <v>1160</v>
      </c>
    </row>
    <row r="20" spans="1:14" ht="38.25" customHeight="1" x14ac:dyDescent="0.2">
      <c r="A20" s="261" t="s">
        <v>1758</v>
      </c>
      <c r="B20" s="548">
        <f t="shared" si="6"/>
        <v>16</v>
      </c>
      <c r="C20" s="549" t="str">
        <f>IF(A20="","",VLOOKUP($A20,Plan3!$A$1524:$I$1975,3,0))</f>
        <v>Serviços de Empreitada  / Serviço de empreitada de Alvenaria de 19 cm- Tijolo Cerâmico</v>
      </c>
      <c r="D20" s="549" t="str">
        <f>IF(A20="","",VLOOKUP($A20,Plan3!$A$1524:$I$1975,8,0))</f>
        <v>Mão de obra alvenaria de bloco cerâmico</v>
      </c>
      <c r="E20" s="550" t="str">
        <f t="shared" si="7"/>
        <v/>
      </c>
      <c r="F20" s="550" t="str">
        <f t="shared" si="8"/>
        <v/>
      </c>
      <c r="G20" s="550" t="str">
        <f t="shared" si="9"/>
        <v>Fazer Pedido</v>
      </c>
      <c r="H20" s="551" t="str">
        <f t="shared" si="3"/>
        <v/>
      </c>
      <c r="I20" s="551" t="str">
        <f t="shared" si="3"/>
        <v/>
      </c>
      <c r="J20" s="551" t="str">
        <f t="shared" si="3"/>
        <v>Insumo na Obra</v>
      </c>
      <c r="K20" s="552"/>
      <c r="L20" s="605">
        <f t="shared" si="5"/>
        <v>43871</v>
      </c>
      <c r="M20" s="834" t="s">
        <v>1553</v>
      </c>
      <c r="N20" s="261" t="s">
        <v>1161</v>
      </c>
    </row>
    <row r="21" spans="1:14" ht="38.25" customHeight="1" x14ac:dyDescent="0.2">
      <c r="A21" s="261" t="s">
        <v>1759</v>
      </c>
      <c r="B21" s="543">
        <f t="shared" si="6"/>
        <v>17</v>
      </c>
      <c r="C21" s="542" t="str">
        <f>IF(A21="","",VLOOKUP($A21,Plan3!$A$1524:$I$1975,3,0))</f>
        <v xml:space="preserve">Cimento CPII 32 Portland </v>
      </c>
      <c r="D21" s="542" t="str">
        <f>IF(A21="","",VLOOKUP($A21,Plan3!$A$1524:$I$1975,8,0))</f>
        <v>Alvenaria em tijolo cerâmico - 09x19x29 cm</v>
      </c>
      <c r="E21" s="544" t="str">
        <f t="shared" si="7"/>
        <v/>
      </c>
      <c r="F21" s="544" t="str">
        <f t="shared" si="8"/>
        <v/>
      </c>
      <c r="G21" s="544" t="str">
        <f t="shared" si="9"/>
        <v/>
      </c>
      <c r="H21" s="545" t="str">
        <f t="shared" si="3"/>
        <v/>
      </c>
      <c r="I21" s="545" t="str">
        <f t="shared" si="3"/>
        <v/>
      </c>
      <c r="J21" s="545" t="str">
        <f t="shared" si="3"/>
        <v/>
      </c>
      <c r="K21" s="546"/>
      <c r="L21" s="605">
        <f t="shared" si="5"/>
        <v>43891</v>
      </c>
      <c r="M21" s="834" t="s">
        <v>1549</v>
      </c>
      <c r="N21" s="261" t="s">
        <v>1162</v>
      </c>
    </row>
    <row r="22" spans="1:14" ht="38.25" customHeight="1" x14ac:dyDescent="0.2">
      <c r="A22" s="261" t="s">
        <v>1760</v>
      </c>
      <c r="B22" s="548">
        <f t="shared" si="6"/>
        <v>18</v>
      </c>
      <c r="C22" s="549" t="str">
        <f>IF(A22="","",VLOOKUP($A22,Plan3!$A$1524:$I$1975,3,0))</f>
        <v xml:space="preserve">Pontalete Pinus 3a. 7,5 x 7,5cm - NBR 7190:1997  </v>
      </c>
      <c r="D22" s="549" t="str">
        <f>IF(A22="","",VLOOKUP($A22,Plan3!$A$1524:$I$1975,8,0))</f>
        <v>Almoxarifado (12 x5 m) - Sob laje</v>
      </c>
      <c r="E22" s="550" t="str">
        <f t="shared" si="7"/>
        <v/>
      </c>
      <c r="F22" s="550" t="str">
        <f t="shared" si="8"/>
        <v/>
      </c>
      <c r="G22" s="550" t="str">
        <f t="shared" si="9"/>
        <v/>
      </c>
      <c r="H22" s="551" t="str">
        <f t="shared" si="3"/>
        <v/>
      </c>
      <c r="I22" s="551" t="str">
        <f t="shared" si="3"/>
        <v/>
      </c>
      <c r="J22" s="551" t="str">
        <f t="shared" si="3"/>
        <v/>
      </c>
      <c r="K22" s="552"/>
      <c r="L22" s="605">
        <f t="shared" si="5"/>
        <v>43891</v>
      </c>
      <c r="M22" s="834" t="s">
        <v>1549</v>
      </c>
      <c r="N22" s="261" t="s">
        <v>1163</v>
      </c>
    </row>
    <row r="23" spans="1:14" ht="38.25" customHeight="1" x14ac:dyDescent="0.2">
      <c r="A23" s="261" t="s">
        <v>1761</v>
      </c>
      <c r="B23" s="543">
        <f t="shared" si="6"/>
        <v>19</v>
      </c>
      <c r="C23" s="542" t="str">
        <f>IF(A23="","",VLOOKUP($A23,Plan3!$A$1524:$I$1975,3,0))</f>
        <v>Aguarrás - NBR 14725</v>
      </c>
      <c r="D23" s="542" t="str">
        <f>IF(A23="","",VLOOKUP($A23,Plan3!$A$1524:$I$1975,8,0))</f>
        <v>Almoxarifado (12 x5 m) - Sob laje</v>
      </c>
      <c r="E23" s="544" t="str">
        <f t="shared" si="7"/>
        <v/>
      </c>
      <c r="F23" s="544" t="str">
        <f t="shared" si="8"/>
        <v/>
      </c>
      <c r="G23" s="544" t="str">
        <f t="shared" si="9"/>
        <v/>
      </c>
      <c r="H23" s="545" t="str">
        <f t="shared" si="3"/>
        <v/>
      </c>
      <c r="I23" s="545" t="str">
        <f t="shared" si="3"/>
        <v/>
      </c>
      <c r="J23" s="545" t="str">
        <f t="shared" si="3"/>
        <v/>
      </c>
      <c r="K23" s="546"/>
      <c r="L23" s="605">
        <f t="shared" si="5"/>
        <v>43891</v>
      </c>
      <c r="M23" s="834" t="s">
        <v>1549</v>
      </c>
      <c r="N23" s="261" t="s">
        <v>1164</v>
      </c>
    </row>
    <row r="24" spans="1:14" ht="38.25" customHeight="1" x14ac:dyDescent="0.2">
      <c r="A24" s="261" t="s">
        <v>1139</v>
      </c>
      <c r="B24" s="548">
        <f t="shared" si="6"/>
        <v>20</v>
      </c>
      <c r="C24" s="549" t="str">
        <f>IF(A24="","",VLOOKUP($A24,Plan3!$A$1524:$I$1975,3,0))</f>
        <v>Corrente Sold.Zin 05mm - NBR 9358:2013</v>
      </c>
      <c r="D24" s="549" t="str">
        <f>IF(A24="","",VLOOKUP($A24,Plan3!$A$1524:$I$1975,8,0))</f>
        <v>Materiais complementares de Canteiro</v>
      </c>
      <c r="E24" s="550" t="str">
        <f t="shared" si="7"/>
        <v/>
      </c>
      <c r="F24" s="550" t="str">
        <f t="shared" si="8"/>
        <v/>
      </c>
      <c r="G24" s="550" t="str">
        <f t="shared" si="9"/>
        <v/>
      </c>
      <c r="H24" s="551" t="str">
        <f t="shared" si="3"/>
        <v/>
      </c>
      <c r="I24" s="551" t="str">
        <f t="shared" si="3"/>
        <v/>
      </c>
      <c r="J24" s="551" t="str">
        <f t="shared" si="3"/>
        <v/>
      </c>
      <c r="K24" s="552"/>
      <c r="L24" s="605">
        <f t="shared" si="5"/>
        <v>43891</v>
      </c>
      <c r="M24" s="834" t="s">
        <v>1549</v>
      </c>
      <c r="N24" s="261" t="s">
        <v>1165</v>
      </c>
    </row>
    <row r="25" spans="1:14" ht="38.25" customHeight="1" x14ac:dyDescent="0.2">
      <c r="A25" s="261" t="s">
        <v>1140</v>
      </c>
      <c r="B25" s="548">
        <f t="shared" si="6"/>
        <v>21</v>
      </c>
      <c r="C25" s="549" t="str">
        <f>IF(A25="","",VLOOKUP($A25,Plan3!$A$1524:$I$1975,3,0))</f>
        <v>Cadeado 30mm - NBR 15271</v>
      </c>
      <c r="D25" s="549" t="str">
        <f>IF(A25="","",VLOOKUP($A25,Plan3!$A$1524:$I$1975,8,0))</f>
        <v>Materiais complementares de Canteiro</v>
      </c>
      <c r="E25" s="550" t="str">
        <f t="shared" si="7"/>
        <v/>
      </c>
      <c r="F25" s="550" t="str">
        <f t="shared" si="8"/>
        <v/>
      </c>
      <c r="G25" s="550" t="str">
        <f t="shared" si="9"/>
        <v/>
      </c>
      <c r="H25" s="551" t="str">
        <f t="shared" si="3"/>
        <v/>
      </c>
      <c r="I25" s="551" t="str">
        <f t="shared" si="3"/>
        <v/>
      </c>
      <c r="J25" s="551" t="str">
        <f t="shared" si="3"/>
        <v/>
      </c>
      <c r="K25" s="552"/>
      <c r="L25" s="605">
        <f t="shared" si="5"/>
        <v>43891</v>
      </c>
      <c r="M25" s="834" t="s">
        <v>1549</v>
      </c>
      <c r="N25" s="261" t="s">
        <v>1166</v>
      </c>
    </row>
    <row r="26" spans="1:14" ht="38.25" customHeight="1" x14ac:dyDescent="0.2">
      <c r="A26" s="261" t="s">
        <v>1762</v>
      </c>
      <c r="B26" s="548">
        <f t="shared" si="6"/>
        <v>22</v>
      </c>
      <c r="C26" s="549" t="str">
        <f>IF(A26="","",VLOOKUP($A26,Plan3!$A$1524:$I$1975,3,0))</f>
        <v xml:space="preserve">Tabua Pinus 300m x 30cm x 2,5cm - NBR 7190:1997  </v>
      </c>
      <c r="D26" s="549" t="str">
        <f>IF(A26="","",VLOOKUP($A26,Plan3!$A$1524:$I$1975,8,0))</f>
        <v>Almoxarifado (12 x5 m) - Sob laje</v>
      </c>
      <c r="E26" s="550" t="str">
        <f t="shared" si="7"/>
        <v/>
      </c>
      <c r="F26" s="550" t="str">
        <f t="shared" si="8"/>
        <v/>
      </c>
      <c r="G26" s="550" t="str">
        <f t="shared" si="9"/>
        <v/>
      </c>
      <c r="H26" s="551" t="str">
        <f t="shared" si="3"/>
        <v/>
      </c>
      <c r="I26" s="551" t="str">
        <f t="shared" si="3"/>
        <v/>
      </c>
      <c r="J26" s="551" t="str">
        <f t="shared" si="3"/>
        <v/>
      </c>
      <c r="K26" s="552"/>
      <c r="L26" s="605">
        <f t="shared" si="5"/>
        <v>43891</v>
      </c>
      <c r="M26" s="834" t="s">
        <v>1549</v>
      </c>
      <c r="N26" s="261" t="s">
        <v>1167</v>
      </c>
    </row>
    <row r="27" spans="1:14" ht="38.25" customHeight="1" x14ac:dyDescent="0.2">
      <c r="A27" s="261" t="s">
        <v>1204</v>
      </c>
      <c r="B27" s="543">
        <f t="shared" si="6"/>
        <v>23</v>
      </c>
      <c r="C27" s="542" t="str">
        <f>IF(A27="","",VLOOKUP($A27,Plan3!$A$1524:$I$1975,3,0))</f>
        <v>Areia Media - NBR 7211</v>
      </c>
      <c r="D27" s="542" t="str">
        <f>IF(A27="","",VLOOKUP($A27,Plan3!$A$1524:$I$1975,8,0))</f>
        <v>Alvenaria em tijolo cerâmico - 09x19x29 cm</v>
      </c>
      <c r="E27" s="544" t="str">
        <f t="shared" si="7"/>
        <v/>
      </c>
      <c r="F27" s="544" t="str">
        <f t="shared" si="8"/>
        <v/>
      </c>
      <c r="G27" s="544" t="str">
        <f t="shared" si="9"/>
        <v/>
      </c>
      <c r="H27" s="545" t="str">
        <f t="shared" si="3"/>
        <v/>
      </c>
      <c r="I27" s="545" t="str">
        <f t="shared" si="3"/>
        <v/>
      </c>
      <c r="J27" s="545" t="str">
        <f t="shared" si="3"/>
        <v/>
      </c>
      <c r="K27" s="546"/>
      <c r="L27" s="605">
        <f t="shared" si="5"/>
        <v>43891</v>
      </c>
      <c r="M27" s="834" t="s">
        <v>1549</v>
      </c>
      <c r="N27" s="261" t="s">
        <v>1168</v>
      </c>
    </row>
    <row r="28" spans="1:14" ht="38.25" customHeight="1" x14ac:dyDescent="0.2">
      <c r="A28" s="261" t="s">
        <v>1141</v>
      </c>
      <c r="B28" s="548">
        <f t="shared" si="6"/>
        <v>24</v>
      </c>
      <c r="C28" s="549" t="str">
        <f>IF(A28="","",VLOOKUP($A28,Plan3!$A$1524:$I$1975,3,0))</f>
        <v xml:space="preserve">Vaso Sanitario - NBR 8160:1999  </v>
      </c>
      <c r="D28" s="549" t="str">
        <f>IF(A28="","",VLOOKUP($A28,Plan3!$A$1524:$I$1975,8,0))</f>
        <v>Materiais complementares de Canteiro</v>
      </c>
      <c r="E28" s="550" t="str">
        <f t="shared" si="7"/>
        <v/>
      </c>
      <c r="F28" s="550" t="str">
        <f t="shared" si="8"/>
        <v/>
      </c>
      <c r="G28" s="550" t="str">
        <f t="shared" si="9"/>
        <v/>
      </c>
      <c r="H28" s="551" t="str">
        <f t="shared" si="3"/>
        <v/>
      </c>
      <c r="I28" s="551" t="str">
        <f t="shared" si="3"/>
        <v/>
      </c>
      <c r="J28" s="551" t="str">
        <f t="shared" si="3"/>
        <v/>
      </c>
      <c r="K28" s="552"/>
      <c r="L28" s="605">
        <f t="shared" si="5"/>
        <v>43891</v>
      </c>
      <c r="M28" s="834" t="s">
        <v>1549</v>
      </c>
      <c r="N28" s="261" t="s">
        <v>1169</v>
      </c>
    </row>
    <row r="29" spans="1:14" ht="38.25" customHeight="1" x14ac:dyDescent="0.2">
      <c r="A29" s="261" t="s">
        <v>1763</v>
      </c>
      <c r="B29" s="543">
        <f t="shared" si="6"/>
        <v>25</v>
      </c>
      <c r="C29" s="542" t="str">
        <f>IF(A29="","",VLOOKUP($A29,Plan3!$A$1524:$I$1975,3,0))</f>
        <v xml:space="preserve">Prego 17x21 - 2x11- NBR 6627:1981 </v>
      </c>
      <c r="D29" s="542" t="str">
        <f>IF(A29="","",VLOOKUP($A29,Plan3!$A$1524:$I$1975,8,0))</f>
        <v>Almoxarifado (12 x5 m) - Sob laje</v>
      </c>
      <c r="E29" s="544" t="str">
        <f t="shared" si="7"/>
        <v/>
      </c>
      <c r="F29" s="544" t="str">
        <f t="shared" si="8"/>
        <v/>
      </c>
      <c r="G29" s="544" t="str">
        <f t="shared" si="9"/>
        <v/>
      </c>
      <c r="H29" s="545" t="str">
        <f t="shared" si="3"/>
        <v/>
      </c>
      <c r="I29" s="545" t="str">
        <f t="shared" si="3"/>
        <v/>
      </c>
      <c r="J29" s="545" t="str">
        <f t="shared" si="3"/>
        <v/>
      </c>
      <c r="K29" s="546"/>
      <c r="L29" s="605">
        <f t="shared" si="5"/>
        <v>43891</v>
      </c>
      <c r="M29" s="811" t="s">
        <v>1549</v>
      </c>
      <c r="N29" s="261" t="s">
        <v>1170</v>
      </c>
    </row>
    <row r="30" spans="1:14" ht="38.25" customHeight="1" x14ac:dyDescent="0.2">
      <c r="A30" s="261" t="s">
        <v>1209</v>
      </c>
      <c r="B30" s="548">
        <f t="shared" si="6"/>
        <v>26</v>
      </c>
      <c r="C30" s="549" t="str">
        <f>IF(A30="","",VLOOKUP($A30,Plan3!$A$1524:$I$1975,3,0))</f>
        <v xml:space="preserve">Tijolo Ceramico Furado 09x19x29 - NBR 15270-3:2005  </v>
      </c>
      <c r="D30" s="549" t="str">
        <f>IF(A30="","",VLOOKUP($A30,Plan3!$A$1524:$I$1975,8,0))</f>
        <v>Alvenaria em tijolo cerâmico - 09x19x29 cm</v>
      </c>
      <c r="E30" s="550" t="str">
        <f t="shared" si="7"/>
        <v/>
      </c>
      <c r="F30" s="550" t="str">
        <f t="shared" si="8"/>
        <v/>
      </c>
      <c r="G30" s="550" t="str">
        <f t="shared" si="9"/>
        <v/>
      </c>
      <c r="H30" s="551" t="str">
        <f t="shared" si="3"/>
        <v/>
      </c>
      <c r="I30" s="551" t="str">
        <f t="shared" si="3"/>
        <v/>
      </c>
      <c r="J30" s="551" t="str">
        <f t="shared" si="3"/>
        <v/>
      </c>
      <c r="K30" s="552"/>
      <c r="L30" s="605">
        <f t="shared" si="5"/>
        <v>43891</v>
      </c>
      <c r="M30" s="811" t="s">
        <v>1549</v>
      </c>
      <c r="N30" s="261" t="s">
        <v>1171</v>
      </c>
    </row>
    <row r="31" spans="1:14" ht="38.25" customHeight="1" x14ac:dyDescent="0.2">
      <c r="A31" s="261" t="s">
        <v>1212</v>
      </c>
      <c r="B31" s="543">
        <f t="shared" si="6"/>
        <v>27</v>
      </c>
      <c r="C31" s="542" t="str">
        <f>IF(A31="","",VLOOKUP($A31,Plan3!$A$1524:$I$1975,3,0))</f>
        <v>Argamassa Expansiva para Alvenaria - NBR 7200</v>
      </c>
      <c r="D31" s="542" t="str">
        <f>IF(A31="","",VLOOKUP($A31,Plan3!$A$1524:$I$1975,8,0))</f>
        <v>Encunhamento</v>
      </c>
      <c r="E31" s="544" t="str">
        <f t="shared" si="7"/>
        <v/>
      </c>
      <c r="F31" s="544" t="str">
        <f t="shared" si="8"/>
        <v/>
      </c>
      <c r="G31" s="544" t="str">
        <f t="shared" si="9"/>
        <v/>
      </c>
      <c r="H31" s="545" t="str">
        <f t="shared" si="3"/>
        <v/>
      </c>
      <c r="I31" s="545" t="str">
        <f t="shared" si="3"/>
        <v/>
      </c>
      <c r="J31" s="545" t="str">
        <f t="shared" si="3"/>
        <v/>
      </c>
      <c r="K31" s="546"/>
      <c r="L31" s="605">
        <f t="shared" si="5"/>
        <v>43891</v>
      </c>
      <c r="M31" s="811" t="s">
        <v>1549</v>
      </c>
      <c r="N31" s="261" t="s">
        <v>1172</v>
      </c>
    </row>
    <row r="32" spans="1:14" ht="38.25" customHeight="1" x14ac:dyDescent="0.2">
      <c r="A32" s="261" t="s">
        <v>1764</v>
      </c>
      <c r="B32" s="548">
        <f t="shared" si="6"/>
        <v>28</v>
      </c>
      <c r="C32" s="549" t="str">
        <f>IF(A32="","",VLOOKUP($A32,Plan3!$A$1524:$I$1975,3,0))</f>
        <v>Tela Fachadeiro 3x50m Branca - NBR 13041:2004</v>
      </c>
      <c r="D32" s="549" t="str">
        <f>IF(A32="","",VLOOKUP($A32,Plan3!$A$1524:$I$1975,8,0))</f>
        <v>Refeitório ( 6 x 10 m ) sob laje</v>
      </c>
      <c r="E32" s="550" t="str">
        <f t="shared" si="7"/>
        <v/>
      </c>
      <c r="F32" s="550" t="str">
        <f t="shared" si="8"/>
        <v/>
      </c>
      <c r="G32" s="550" t="str">
        <f t="shared" si="9"/>
        <v/>
      </c>
      <c r="H32" s="551" t="str">
        <f t="shared" si="3"/>
        <v/>
      </c>
      <c r="I32" s="551" t="str">
        <f t="shared" si="3"/>
        <v/>
      </c>
      <c r="J32" s="551" t="str">
        <f t="shared" si="3"/>
        <v/>
      </c>
      <c r="K32" s="552"/>
      <c r="L32" s="605">
        <f t="shared" si="5"/>
        <v>43891</v>
      </c>
      <c r="M32" s="811" t="s">
        <v>1549</v>
      </c>
      <c r="N32" s="261" t="s">
        <v>1173</v>
      </c>
    </row>
    <row r="33" spans="1:14" ht="38.25" customHeight="1" x14ac:dyDescent="0.2">
      <c r="A33" s="261" t="s">
        <v>1765</v>
      </c>
      <c r="B33" s="543">
        <f t="shared" si="6"/>
        <v>29</v>
      </c>
      <c r="C33" s="542" t="str">
        <f>IF(A33="","",VLOOKUP($A33,Plan3!$A$1524:$I$1975,3,0))</f>
        <v>Tabua Pinus 300x15x2,5 - NBR 7190:1997</v>
      </c>
      <c r="D33" s="542" t="str">
        <f>IF(A33="","",VLOOKUP($A33,Plan3!$A$1524:$I$1975,8,0))</f>
        <v>Almoxarifado (12 x5 m) - Sob laje</v>
      </c>
      <c r="E33" s="544" t="str">
        <f t="shared" si="7"/>
        <v/>
      </c>
      <c r="F33" s="544" t="str">
        <f t="shared" si="8"/>
        <v/>
      </c>
      <c r="G33" s="544" t="str">
        <f t="shared" si="9"/>
        <v/>
      </c>
      <c r="H33" s="545" t="str">
        <f t="shared" si="3"/>
        <v/>
      </c>
      <c r="I33" s="545" t="str">
        <f t="shared" si="3"/>
        <v/>
      </c>
      <c r="J33" s="545" t="str">
        <f t="shared" si="3"/>
        <v/>
      </c>
      <c r="K33" s="546"/>
      <c r="L33" s="605">
        <f t="shared" si="5"/>
        <v>43891</v>
      </c>
      <c r="M33" s="811" t="s">
        <v>1549</v>
      </c>
      <c r="N33" s="261" t="s">
        <v>1174</v>
      </c>
    </row>
    <row r="34" spans="1:14" ht="38.25" customHeight="1" x14ac:dyDescent="0.2">
      <c r="A34" s="261" t="s">
        <v>1766</v>
      </c>
      <c r="B34" s="548">
        <f t="shared" si="6"/>
        <v>30</v>
      </c>
      <c r="C34" s="549" t="str">
        <f>IF(A34="","",VLOOKUP($A34,Plan3!$A$1524:$I$1975,3,0))</f>
        <v>Esmalte Sintético Brilhante - Cor Branco Neve - NBR 15494:2010</v>
      </c>
      <c r="D34" s="549" t="str">
        <f>IF(A34="","",VLOOKUP($A34,Plan3!$A$1524:$I$1975,8,0))</f>
        <v>Almoxarifado (12 x5 m) - Sob laje</v>
      </c>
      <c r="E34" s="550" t="str">
        <f t="shared" si="7"/>
        <v/>
      </c>
      <c r="F34" s="550" t="str">
        <f t="shared" si="8"/>
        <v/>
      </c>
      <c r="G34" s="550" t="str">
        <f t="shared" si="9"/>
        <v/>
      </c>
      <c r="H34" s="551" t="str">
        <f t="shared" si="3"/>
        <v/>
      </c>
      <c r="I34" s="551" t="str">
        <f t="shared" si="3"/>
        <v/>
      </c>
      <c r="J34" s="551" t="str">
        <f t="shared" si="3"/>
        <v/>
      </c>
      <c r="K34" s="552"/>
      <c r="L34" s="605">
        <f t="shared" si="5"/>
        <v>43891</v>
      </c>
      <c r="M34" s="811" t="s">
        <v>1549</v>
      </c>
      <c r="N34" s="261" t="s">
        <v>1175</v>
      </c>
    </row>
    <row r="35" spans="1:14" ht="38.25" customHeight="1" x14ac:dyDescent="0.2">
      <c r="A35" s="261" t="s">
        <v>1767</v>
      </c>
      <c r="B35" s="543">
        <f t="shared" si="6"/>
        <v>31</v>
      </c>
      <c r="C35" s="542" t="str">
        <f>IF(A35="","",VLOOKUP($A35,Plan3!$A$1524:$I$1975,3,0))</f>
        <v>Torneira Jardim 1/2 - NBR 6452</v>
      </c>
      <c r="D35" s="542" t="str">
        <f>IF(A35="","",VLOOKUP($A35,Plan3!$A$1524:$I$1975,8,0))</f>
        <v>Materiais complementares de Canteiro</v>
      </c>
      <c r="E35" s="544" t="str">
        <f t="shared" si="7"/>
        <v/>
      </c>
      <c r="F35" s="544" t="str">
        <f t="shared" si="8"/>
        <v/>
      </c>
      <c r="G35" s="544" t="str">
        <f t="shared" si="9"/>
        <v/>
      </c>
      <c r="H35" s="545" t="str">
        <f t="shared" si="3"/>
        <v/>
      </c>
      <c r="I35" s="545" t="str">
        <f t="shared" si="3"/>
        <v/>
      </c>
      <c r="J35" s="545" t="str">
        <f t="shared" si="3"/>
        <v/>
      </c>
      <c r="K35" s="546"/>
      <c r="L35" s="605">
        <f t="shared" si="5"/>
        <v>43891</v>
      </c>
      <c r="M35" s="811" t="s">
        <v>1549</v>
      </c>
      <c r="N35" s="261" t="s">
        <v>1176</v>
      </c>
    </row>
    <row r="36" spans="1:14" ht="38.25" customHeight="1" x14ac:dyDescent="0.2">
      <c r="A36" s="261" t="s">
        <v>1768</v>
      </c>
      <c r="B36" s="548">
        <f t="shared" si="6"/>
        <v>32</v>
      </c>
      <c r="C36" s="549" t="str">
        <f>IF(A36="","",VLOOKUP($A36,Plan3!$A$1524:$I$1975,3,0))</f>
        <v xml:space="preserve">Compensado 220x110x15 Plastificado </v>
      </c>
      <c r="D36" s="549" t="str">
        <f>IF(A36="","",VLOOKUP($A36,Plan3!$A$1524:$I$1975,8,0))</f>
        <v>Almoxarifado (12 x5 m) - Sob laje</v>
      </c>
      <c r="E36" s="550" t="str">
        <f t="shared" si="7"/>
        <v/>
      </c>
      <c r="F36" s="550" t="str">
        <f t="shared" si="8"/>
        <v/>
      </c>
      <c r="G36" s="550" t="str">
        <f t="shared" si="9"/>
        <v/>
      </c>
      <c r="H36" s="551" t="str">
        <f t="shared" si="3"/>
        <v/>
      </c>
      <c r="I36" s="551" t="str">
        <f t="shared" si="3"/>
        <v/>
      </c>
      <c r="J36" s="551" t="str">
        <f t="shared" si="3"/>
        <v/>
      </c>
      <c r="K36" s="552"/>
      <c r="L36" s="605">
        <f t="shared" si="5"/>
        <v>43891</v>
      </c>
      <c r="M36" s="811" t="s">
        <v>1549</v>
      </c>
      <c r="N36" s="261" t="s">
        <v>1177</v>
      </c>
    </row>
    <row r="37" spans="1:14" ht="38.25" customHeight="1" x14ac:dyDescent="0.2">
      <c r="A37" s="261" t="s">
        <v>1769</v>
      </c>
      <c r="B37" s="543">
        <f t="shared" si="6"/>
        <v>33</v>
      </c>
      <c r="C37" s="542" t="str">
        <f>IF(A37="","",VLOOKUP($A37,Plan3!$A$1524:$I$1975,3,0))</f>
        <v>Servente</v>
      </c>
      <c r="D37" s="542" t="str">
        <f>IF(A37="","",VLOOKUP($A37,Plan3!$A$1524:$I$1975,8,0))</f>
        <v>Almoxarifado (12 x5 m) - Sob laje</v>
      </c>
      <c r="E37" s="544" t="str">
        <f t="shared" si="7"/>
        <v/>
      </c>
      <c r="F37" s="544" t="str">
        <f t="shared" si="8"/>
        <v/>
      </c>
      <c r="G37" s="544" t="str">
        <f t="shared" si="9"/>
        <v/>
      </c>
      <c r="H37" s="545" t="str">
        <f t="shared" ref="H37:J100" si="10">IF($A37="","",IF(MONTH($L37)=MONTH(H$4),"Insumo na Obra",""))</f>
        <v/>
      </c>
      <c r="I37" s="545" t="str">
        <f t="shared" si="10"/>
        <v/>
      </c>
      <c r="J37" s="545" t="str">
        <f t="shared" si="10"/>
        <v/>
      </c>
      <c r="K37" s="546"/>
      <c r="L37" s="605">
        <f t="shared" si="5"/>
        <v>43891</v>
      </c>
      <c r="M37" s="811" t="s">
        <v>1549</v>
      </c>
      <c r="N37" s="261" t="s">
        <v>1178</v>
      </c>
    </row>
    <row r="38" spans="1:14" ht="38.25" customHeight="1" x14ac:dyDescent="0.2">
      <c r="A38" s="261" t="s">
        <v>1143</v>
      </c>
      <c r="B38" s="548">
        <f t="shared" si="6"/>
        <v>34</v>
      </c>
      <c r="C38" s="549" t="str">
        <f>IF(A38="","",VLOOKUP($A38,Plan3!$A$1524:$I$1975,3,0))</f>
        <v>Caixa Descarga Externa C-4S Sobrepor</v>
      </c>
      <c r="D38" s="549" t="str">
        <f>IF(A38="","",VLOOKUP($A38,Plan3!$A$1524:$I$1975,8,0))</f>
        <v>Materiais complementares de Canteiro</v>
      </c>
      <c r="E38" s="550" t="str">
        <f t="shared" si="7"/>
        <v/>
      </c>
      <c r="F38" s="550" t="str">
        <f t="shared" si="8"/>
        <v/>
      </c>
      <c r="G38" s="550" t="str">
        <f t="shared" si="9"/>
        <v/>
      </c>
      <c r="H38" s="551" t="str">
        <f t="shared" si="10"/>
        <v/>
      </c>
      <c r="I38" s="551" t="str">
        <f t="shared" si="10"/>
        <v/>
      </c>
      <c r="J38" s="551" t="str">
        <f t="shared" si="10"/>
        <v/>
      </c>
      <c r="K38" s="552"/>
      <c r="L38" s="605">
        <f t="shared" si="5"/>
        <v>43891</v>
      </c>
      <c r="M38" s="811" t="s">
        <v>1549</v>
      </c>
      <c r="N38" s="261" t="s">
        <v>1179</v>
      </c>
    </row>
    <row r="39" spans="1:14" ht="38.25" customHeight="1" x14ac:dyDescent="0.2">
      <c r="A39" s="261" t="s">
        <v>1770</v>
      </c>
      <c r="B39" s="543">
        <f t="shared" si="6"/>
        <v>35</v>
      </c>
      <c r="C39" s="542" t="str">
        <f>IF(A39="","",VLOOKUP($A39,Plan3!$A$1524:$I$1975,3,0))</f>
        <v>Sarrafo Pinho 1x4"</v>
      </c>
      <c r="D39" s="542" t="str">
        <f>IF(A39="","",VLOOKUP($A39,Plan3!$A$1524:$I$1975,8,0))</f>
        <v>Refeitório ( 6 x 10 m ) sob laje</v>
      </c>
      <c r="E39" s="544" t="str">
        <f t="shared" si="7"/>
        <v/>
      </c>
      <c r="F39" s="544" t="str">
        <f t="shared" si="8"/>
        <v/>
      </c>
      <c r="G39" s="544" t="str">
        <f t="shared" si="9"/>
        <v/>
      </c>
      <c r="H39" s="545" t="str">
        <f t="shared" si="10"/>
        <v/>
      </c>
      <c r="I39" s="545" t="str">
        <f t="shared" si="10"/>
        <v/>
      </c>
      <c r="J39" s="545" t="str">
        <f t="shared" si="10"/>
        <v/>
      </c>
      <c r="K39" s="546"/>
      <c r="L39" s="605">
        <f t="shared" si="5"/>
        <v>43891</v>
      </c>
      <c r="M39" s="811" t="s">
        <v>1549</v>
      </c>
      <c r="N39" s="261" t="s">
        <v>1180</v>
      </c>
    </row>
    <row r="40" spans="1:14" ht="38.25" customHeight="1" x14ac:dyDescent="0.2">
      <c r="A40" s="261" t="s">
        <v>1144</v>
      </c>
      <c r="B40" s="548">
        <f t="shared" si="6"/>
        <v>36</v>
      </c>
      <c r="C40" s="549" t="str">
        <f>IF(A40="","",VLOOKUP($A40,Plan3!$A$1524:$I$1975,3,0))</f>
        <v>Dobradica 4"x2.1/2"</v>
      </c>
      <c r="D40" s="549" t="str">
        <f>IF(A40="","",VLOOKUP($A40,Plan3!$A$1524:$I$1975,8,0))</f>
        <v>Materiais complementares de Canteiro</v>
      </c>
      <c r="E40" s="550" t="str">
        <f t="shared" si="7"/>
        <v/>
      </c>
      <c r="F40" s="550" t="str">
        <f t="shared" si="8"/>
        <v/>
      </c>
      <c r="G40" s="550" t="str">
        <f t="shared" si="9"/>
        <v/>
      </c>
      <c r="H40" s="551" t="str">
        <f t="shared" si="10"/>
        <v/>
      </c>
      <c r="I40" s="551" t="str">
        <f t="shared" si="10"/>
        <v/>
      </c>
      <c r="J40" s="551" t="str">
        <f t="shared" si="10"/>
        <v/>
      </c>
      <c r="K40" s="552"/>
      <c r="L40" s="605">
        <f t="shared" si="5"/>
        <v>43891</v>
      </c>
      <c r="M40" s="811" t="s">
        <v>1549</v>
      </c>
      <c r="N40" s="261" t="s">
        <v>1181</v>
      </c>
    </row>
    <row r="41" spans="1:14" ht="38.25" customHeight="1" x14ac:dyDescent="0.2">
      <c r="A41" s="261" t="s">
        <v>1771</v>
      </c>
      <c r="B41" s="543">
        <f t="shared" si="6"/>
        <v>37</v>
      </c>
      <c r="C41" s="542" t="str">
        <f>IF(A41="","",VLOOKUP($A41,Plan3!$A$1524:$I$1975,3,0))</f>
        <v>Lavatorio Popular</v>
      </c>
      <c r="D41" s="542" t="str">
        <f>IF(A41="","",VLOOKUP($A41,Plan3!$A$1524:$I$1975,8,0))</f>
        <v>Materiais complementares de Canteiro</v>
      </c>
      <c r="E41" s="544" t="str">
        <f t="shared" si="7"/>
        <v/>
      </c>
      <c r="F41" s="544" t="str">
        <f t="shared" si="8"/>
        <v/>
      </c>
      <c r="G41" s="544" t="str">
        <f t="shared" si="9"/>
        <v/>
      </c>
      <c r="H41" s="545" t="str">
        <f t="shared" si="10"/>
        <v/>
      </c>
      <c r="I41" s="545" t="str">
        <f t="shared" si="10"/>
        <v/>
      </c>
      <c r="J41" s="545" t="str">
        <f t="shared" si="10"/>
        <v/>
      </c>
      <c r="K41" s="546"/>
      <c r="L41" s="605">
        <f t="shared" si="5"/>
        <v>43891</v>
      </c>
      <c r="M41" s="811" t="s">
        <v>1549</v>
      </c>
      <c r="N41" s="261" t="s">
        <v>1182</v>
      </c>
    </row>
    <row r="42" spans="1:14" ht="38.25" customHeight="1" x14ac:dyDescent="0.2">
      <c r="A42" s="261" t="s">
        <v>1772</v>
      </c>
      <c r="B42" s="548">
        <f t="shared" si="6"/>
        <v>38</v>
      </c>
      <c r="C42" s="549" t="str">
        <f>IF(A42="","",VLOOKUP($A42,Plan3!$A$1524:$I$1975,3,0))</f>
        <v>Serviços de Empreitada  / Forma para Barração de obra</v>
      </c>
      <c r="D42" s="549" t="str">
        <f>IF(A42="","",VLOOKUP($A42,Plan3!$A$1524:$I$1975,8,0))</f>
        <v>Almoxarifado (12 x5 m) - Sob laje</v>
      </c>
      <c r="E42" s="550" t="str">
        <f t="shared" si="7"/>
        <v/>
      </c>
      <c r="F42" s="550" t="str">
        <f t="shared" si="8"/>
        <v/>
      </c>
      <c r="G42" s="550" t="str">
        <f t="shared" si="9"/>
        <v/>
      </c>
      <c r="H42" s="551" t="str">
        <f t="shared" si="10"/>
        <v/>
      </c>
      <c r="I42" s="551" t="str">
        <f t="shared" si="10"/>
        <v/>
      </c>
      <c r="J42" s="551" t="str">
        <f t="shared" si="10"/>
        <v/>
      </c>
      <c r="K42" s="552"/>
      <c r="L42" s="605">
        <f t="shared" si="5"/>
        <v>43891</v>
      </c>
      <c r="M42" s="811" t="s">
        <v>1549</v>
      </c>
      <c r="N42" s="261" t="s">
        <v>1183</v>
      </c>
    </row>
    <row r="43" spans="1:14" ht="38.25" customHeight="1" x14ac:dyDescent="0.2">
      <c r="A43" s="261"/>
      <c r="B43" s="543" t="str">
        <f t="shared" si="6"/>
        <v/>
      </c>
      <c r="C43" s="542" t="str">
        <f>IF(A43="","",VLOOKUP($A43,Plan3!$A$1524:$I$1975,3,0))</f>
        <v/>
      </c>
      <c r="D43" s="542" t="str">
        <f>IF(A43="","",VLOOKUP($A43,Plan3!$A$1524:$I$1975,8,0))</f>
        <v/>
      </c>
      <c r="E43" s="544" t="str">
        <f t="shared" si="7"/>
        <v/>
      </c>
      <c r="F43" s="544" t="str">
        <f t="shared" si="8"/>
        <v/>
      </c>
      <c r="G43" s="544" t="str">
        <f t="shared" si="9"/>
        <v/>
      </c>
      <c r="H43" s="545" t="str">
        <f t="shared" si="10"/>
        <v/>
      </c>
      <c r="I43" s="545" t="str">
        <f t="shared" si="10"/>
        <v/>
      </c>
      <c r="J43" s="545" t="str">
        <f t="shared" si="10"/>
        <v/>
      </c>
      <c r="K43" s="546"/>
      <c r="L43" s="605" t="e">
        <f t="shared" si="5"/>
        <v>#VALUE!</v>
      </c>
      <c r="M43" s="811"/>
      <c r="N43" s="261" t="s">
        <v>1184</v>
      </c>
    </row>
    <row r="44" spans="1:14" ht="38.25" customHeight="1" x14ac:dyDescent="0.2">
      <c r="A44" s="261"/>
      <c r="B44" s="548" t="str">
        <f t="shared" si="6"/>
        <v/>
      </c>
      <c r="C44" s="549" t="str">
        <f>IF(A44="","",VLOOKUP($A44,Plan3!$A$1524:$I$1975,3,0))</f>
        <v/>
      </c>
      <c r="D44" s="549" t="str">
        <f>IF(A44="","",VLOOKUP($A44,Plan3!$A$1524:$I$1975,8,0))</f>
        <v/>
      </c>
      <c r="E44" s="550" t="str">
        <f t="shared" si="7"/>
        <v/>
      </c>
      <c r="F44" s="550" t="str">
        <f t="shared" si="8"/>
        <v/>
      </c>
      <c r="G44" s="550" t="str">
        <f t="shared" si="9"/>
        <v/>
      </c>
      <c r="H44" s="551" t="str">
        <f t="shared" si="10"/>
        <v/>
      </c>
      <c r="I44" s="551" t="str">
        <f t="shared" si="10"/>
        <v/>
      </c>
      <c r="J44" s="551" t="str">
        <f t="shared" si="10"/>
        <v/>
      </c>
      <c r="K44" s="552"/>
      <c r="L44" s="605" t="e">
        <f t="shared" si="5"/>
        <v>#VALUE!</v>
      </c>
      <c r="M44" s="811"/>
      <c r="N44" s="261" t="s">
        <v>1185</v>
      </c>
    </row>
    <row r="45" spans="1:14" ht="38.25" customHeight="1" x14ac:dyDescent="0.2">
      <c r="A45" s="261"/>
      <c r="B45" s="543" t="str">
        <f t="shared" si="6"/>
        <v/>
      </c>
      <c r="C45" s="542" t="str">
        <f>IF(A45="","",VLOOKUP($A45,Plan3!$A$1524:$I$1975,3,0))</f>
        <v/>
      </c>
      <c r="D45" s="542" t="str">
        <f>IF(A45="","",VLOOKUP($A45,Plan3!$A$1524:$I$1975,8,0))</f>
        <v/>
      </c>
      <c r="E45" s="544" t="str">
        <f t="shared" si="7"/>
        <v/>
      </c>
      <c r="F45" s="544" t="str">
        <f t="shared" si="8"/>
        <v/>
      </c>
      <c r="G45" s="544" t="str">
        <f t="shared" si="9"/>
        <v/>
      </c>
      <c r="H45" s="545" t="str">
        <f t="shared" si="10"/>
        <v/>
      </c>
      <c r="I45" s="545" t="str">
        <f t="shared" si="10"/>
        <v/>
      </c>
      <c r="J45" s="545" t="str">
        <f t="shared" si="10"/>
        <v/>
      </c>
      <c r="K45" s="546"/>
      <c r="L45" s="605" t="e">
        <f t="shared" si="5"/>
        <v>#VALUE!</v>
      </c>
      <c r="M45" s="811"/>
      <c r="N45" s="261" t="s">
        <v>1186</v>
      </c>
    </row>
    <row r="46" spans="1:14" ht="38.25" customHeight="1" x14ac:dyDescent="0.2">
      <c r="A46" s="261"/>
      <c r="B46" s="548" t="str">
        <f t="shared" si="6"/>
        <v/>
      </c>
      <c r="C46" s="549" t="str">
        <f>IF(A46="","",VLOOKUP($A46,Plan3!$A$1524:$I$1975,3,0))</f>
        <v/>
      </c>
      <c r="D46" s="549" t="str">
        <f>IF(A46="","",VLOOKUP($A46,Plan3!$A$1524:$I$1975,8,0))</f>
        <v/>
      </c>
      <c r="E46" s="550" t="str">
        <f t="shared" si="7"/>
        <v/>
      </c>
      <c r="F46" s="550" t="str">
        <f t="shared" si="8"/>
        <v/>
      </c>
      <c r="G46" s="550" t="str">
        <f t="shared" si="9"/>
        <v/>
      </c>
      <c r="H46" s="551" t="str">
        <f t="shared" si="10"/>
        <v/>
      </c>
      <c r="I46" s="551" t="str">
        <f t="shared" si="10"/>
        <v/>
      </c>
      <c r="J46" s="551" t="str">
        <f t="shared" si="10"/>
        <v/>
      </c>
      <c r="K46" s="552"/>
      <c r="L46" s="605" t="e">
        <f t="shared" si="5"/>
        <v>#VALUE!</v>
      </c>
      <c r="M46" s="811"/>
      <c r="N46" s="261" t="s">
        <v>1187</v>
      </c>
    </row>
    <row r="47" spans="1:14" ht="38.25" customHeight="1" x14ac:dyDescent="0.2">
      <c r="A47" s="261"/>
      <c r="B47" s="543" t="str">
        <f t="shared" si="6"/>
        <v/>
      </c>
      <c r="C47" s="542" t="str">
        <f>IF(A47="","",VLOOKUP($A47,Plan3!$A$1524:$I$1975,3,0))</f>
        <v/>
      </c>
      <c r="D47" s="542" t="str">
        <f>IF(A47="","",VLOOKUP($A47,Plan3!$A$1524:$I$1975,8,0))</f>
        <v/>
      </c>
      <c r="E47" s="544" t="str">
        <f t="shared" si="7"/>
        <v/>
      </c>
      <c r="F47" s="544" t="str">
        <f t="shared" si="8"/>
        <v/>
      </c>
      <c r="G47" s="544" t="str">
        <f t="shared" si="9"/>
        <v/>
      </c>
      <c r="H47" s="545" t="str">
        <f t="shared" si="10"/>
        <v/>
      </c>
      <c r="I47" s="545" t="str">
        <f t="shared" si="10"/>
        <v/>
      </c>
      <c r="J47" s="545" t="str">
        <f t="shared" si="10"/>
        <v/>
      </c>
      <c r="K47" s="546"/>
      <c r="L47" s="605" t="e">
        <f t="shared" si="5"/>
        <v>#VALUE!</v>
      </c>
      <c r="M47" s="811"/>
      <c r="N47" s="261" t="s">
        <v>1188</v>
      </c>
    </row>
    <row r="48" spans="1:14" ht="38.25" customHeight="1" x14ac:dyDescent="0.2">
      <c r="A48" s="261"/>
      <c r="B48" s="548" t="str">
        <f t="shared" si="6"/>
        <v/>
      </c>
      <c r="C48" s="549" t="str">
        <f>IF(A48="","",VLOOKUP($A48,Plan3!$A$1524:$I$1975,3,0))</f>
        <v/>
      </c>
      <c r="D48" s="549" t="str">
        <f>IF(A48="","",VLOOKUP($A48,Plan3!$A$1524:$I$1975,8,0))</f>
        <v/>
      </c>
      <c r="E48" s="550" t="str">
        <f t="shared" si="7"/>
        <v/>
      </c>
      <c r="F48" s="550" t="str">
        <f t="shared" si="8"/>
        <v/>
      </c>
      <c r="G48" s="550" t="str">
        <f t="shared" si="9"/>
        <v/>
      </c>
      <c r="H48" s="551" t="str">
        <f t="shared" si="10"/>
        <v/>
      </c>
      <c r="I48" s="551" t="str">
        <f t="shared" si="10"/>
        <v/>
      </c>
      <c r="J48" s="551" t="str">
        <f t="shared" si="10"/>
        <v/>
      </c>
      <c r="K48" s="552"/>
      <c r="L48" s="605" t="e">
        <f t="shared" si="5"/>
        <v>#VALUE!</v>
      </c>
      <c r="M48" s="811"/>
      <c r="N48" s="261" t="s">
        <v>1189</v>
      </c>
    </row>
    <row r="49" spans="1:14" ht="38.25" customHeight="1" x14ac:dyDescent="0.2">
      <c r="A49" s="261"/>
      <c r="B49" s="543" t="str">
        <f t="shared" si="6"/>
        <v/>
      </c>
      <c r="C49" s="542" t="str">
        <f>IF(A49="","",VLOOKUP($A49,Plan3!$A$1524:$I$1975,3,0))</f>
        <v/>
      </c>
      <c r="D49" s="542" t="str">
        <f>IF(A49="","",VLOOKUP($A49,Plan3!$A$1524:$I$1975,8,0))</f>
        <v/>
      </c>
      <c r="E49" s="544" t="str">
        <f t="shared" si="7"/>
        <v/>
      </c>
      <c r="F49" s="544" t="str">
        <f t="shared" si="8"/>
        <v/>
      </c>
      <c r="G49" s="544" t="str">
        <f t="shared" si="9"/>
        <v/>
      </c>
      <c r="H49" s="545" t="str">
        <f t="shared" si="10"/>
        <v/>
      </c>
      <c r="I49" s="545" t="str">
        <f t="shared" si="10"/>
        <v/>
      </c>
      <c r="J49" s="545" t="str">
        <f t="shared" si="10"/>
        <v/>
      </c>
      <c r="K49" s="546"/>
      <c r="L49" s="605" t="e">
        <f t="shared" si="5"/>
        <v>#VALUE!</v>
      </c>
      <c r="M49" s="811"/>
      <c r="N49" s="261" t="s">
        <v>1190</v>
      </c>
    </row>
    <row r="50" spans="1:14" ht="38.25" customHeight="1" x14ac:dyDescent="0.2">
      <c r="A50" s="261"/>
      <c r="B50" s="548" t="str">
        <f t="shared" si="6"/>
        <v/>
      </c>
      <c r="C50" s="549" t="str">
        <f>IF(A50="","",VLOOKUP($A50,Plan3!$A$1524:$I$1975,3,0))</f>
        <v/>
      </c>
      <c r="D50" s="549" t="str">
        <f>IF(A50="","",VLOOKUP($A50,Plan3!$A$1524:$I$1975,8,0))</f>
        <v/>
      </c>
      <c r="E50" s="550" t="str">
        <f t="shared" si="7"/>
        <v/>
      </c>
      <c r="F50" s="550" t="str">
        <f t="shared" si="8"/>
        <v/>
      </c>
      <c r="G50" s="550" t="str">
        <f t="shared" si="9"/>
        <v/>
      </c>
      <c r="H50" s="551" t="str">
        <f t="shared" si="10"/>
        <v/>
      </c>
      <c r="I50" s="551" t="str">
        <f t="shared" si="10"/>
        <v/>
      </c>
      <c r="J50" s="551" t="str">
        <f t="shared" si="10"/>
        <v/>
      </c>
      <c r="K50" s="552"/>
      <c r="L50" s="605" t="e">
        <f t="shared" si="5"/>
        <v>#VALUE!</v>
      </c>
      <c r="M50" s="811"/>
      <c r="N50" s="261" t="s">
        <v>1191</v>
      </c>
    </row>
    <row r="51" spans="1:14" ht="38.25" customHeight="1" x14ac:dyDescent="0.2">
      <c r="A51" s="261"/>
      <c r="B51" s="543" t="str">
        <f t="shared" si="6"/>
        <v/>
      </c>
      <c r="C51" s="542" t="str">
        <f>IF(A51="","",VLOOKUP($A51,Plan3!$A$1524:$I$1975,3,0))</f>
        <v/>
      </c>
      <c r="D51" s="542" t="str">
        <f>IF(A51="","",VLOOKUP($A51,Plan3!$A$1524:$I$1975,8,0))</f>
        <v/>
      </c>
      <c r="E51" s="544" t="str">
        <f t="shared" si="7"/>
        <v/>
      </c>
      <c r="F51" s="544" t="str">
        <f t="shared" si="8"/>
        <v/>
      </c>
      <c r="G51" s="544" t="str">
        <f t="shared" si="9"/>
        <v/>
      </c>
      <c r="H51" s="545" t="str">
        <f t="shared" si="10"/>
        <v/>
      </c>
      <c r="I51" s="545" t="str">
        <f t="shared" si="10"/>
        <v/>
      </c>
      <c r="J51" s="545" t="str">
        <f t="shared" si="10"/>
        <v/>
      </c>
      <c r="K51" s="546"/>
      <c r="L51" s="605" t="e">
        <f t="shared" si="5"/>
        <v>#VALUE!</v>
      </c>
      <c r="M51" s="811"/>
      <c r="N51" s="261" t="s">
        <v>1192</v>
      </c>
    </row>
    <row r="52" spans="1:14" ht="38.25" customHeight="1" x14ac:dyDescent="0.2">
      <c r="A52" s="261"/>
      <c r="B52" s="548" t="str">
        <f t="shared" si="6"/>
        <v/>
      </c>
      <c r="C52" s="549" t="str">
        <f>IF(A52="","",VLOOKUP($A52,Plan3!$A$1524:$I$1975,3,0))</f>
        <v/>
      </c>
      <c r="D52" s="549" t="str">
        <f>IF(A52="","",VLOOKUP($A52,Plan3!$A$1524:$I$1975,8,0))</f>
        <v/>
      </c>
      <c r="E52" s="550" t="str">
        <f t="shared" si="7"/>
        <v/>
      </c>
      <c r="F52" s="550" t="str">
        <f t="shared" si="8"/>
        <v/>
      </c>
      <c r="G52" s="550" t="str">
        <f t="shared" si="9"/>
        <v/>
      </c>
      <c r="H52" s="551" t="str">
        <f t="shared" si="10"/>
        <v/>
      </c>
      <c r="I52" s="551" t="str">
        <f t="shared" si="10"/>
        <v/>
      </c>
      <c r="J52" s="551" t="str">
        <f t="shared" si="10"/>
        <v/>
      </c>
      <c r="K52" s="552"/>
      <c r="L52" s="605" t="e">
        <f t="shared" si="5"/>
        <v>#VALUE!</v>
      </c>
      <c r="M52" s="811"/>
      <c r="N52" s="261" t="s">
        <v>1193</v>
      </c>
    </row>
    <row r="53" spans="1:14" ht="38.25" customHeight="1" x14ac:dyDescent="0.2">
      <c r="A53" s="261"/>
      <c r="B53" s="543" t="str">
        <f t="shared" si="6"/>
        <v/>
      </c>
      <c r="C53" s="542" t="str">
        <f>IF(A53="","",VLOOKUP($A53,Plan3!$A$1524:$I$1975,3,0))</f>
        <v/>
      </c>
      <c r="D53" s="542" t="str">
        <f>IF(A53="","",VLOOKUP($A53,Plan3!$A$1524:$I$1975,8,0))</f>
        <v/>
      </c>
      <c r="E53" s="544" t="str">
        <f t="shared" si="7"/>
        <v/>
      </c>
      <c r="F53" s="544" t="str">
        <f t="shared" si="8"/>
        <v/>
      </c>
      <c r="G53" s="544" t="str">
        <f t="shared" si="9"/>
        <v/>
      </c>
      <c r="H53" s="545" t="str">
        <f t="shared" si="10"/>
        <v/>
      </c>
      <c r="I53" s="545" t="str">
        <f t="shared" si="10"/>
        <v/>
      </c>
      <c r="J53" s="545" t="str">
        <f t="shared" si="10"/>
        <v/>
      </c>
      <c r="K53" s="546"/>
      <c r="L53" s="605" t="e">
        <f t="shared" si="5"/>
        <v>#VALUE!</v>
      </c>
      <c r="M53" s="811"/>
      <c r="N53" s="261" t="s">
        <v>1194</v>
      </c>
    </row>
    <row r="54" spans="1:14" ht="38.25" customHeight="1" x14ac:dyDescent="0.2">
      <c r="A54" s="261"/>
      <c r="B54" s="548" t="str">
        <f t="shared" si="6"/>
        <v/>
      </c>
      <c r="C54" s="549" t="str">
        <f>IF(A54="","",VLOOKUP($A54,Plan3!$A$1524:$I$1975,3,0))</f>
        <v/>
      </c>
      <c r="D54" s="549" t="str">
        <f>IF(A54="","",VLOOKUP($A54,Plan3!$A$1524:$I$1975,8,0))</f>
        <v/>
      </c>
      <c r="E54" s="550" t="str">
        <f t="shared" si="7"/>
        <v/>
      </c>
      <c r="F54" s="550" t="str">
        <f t="shared" si="8"/>
        <v/>
      </c>
      <c r="G54" s="550" t="str">
        <f t="shared" si="9"/>
        <v/>
      </c>
      <c r="H54" s="551" t="str">
        <f t="shared" si="10"/>
        <v/>
      </c>
      <c r="I54" s="551" t="str">
        <f t="shared" si="10"/>
        <v/>
      </c>
      <c r="J54" s="551" t="str">
        <f t="shared" si="10"/>
        <v/>
      </c>
      <c r="K54" s="552"/>
      <c r="L54" s="605" t="e">
        <f t="shared" si="5"/>
        <v>#VALUE!</v>
      </c>
      <c r="M54" s="811"/>
      <c r="N54" s="261" t="s">
        <v>1195</v>
      </c>
    </row>
    <row r="55" spans="1:14" ht="38.25" customHeight="1" x14ac:dyDescent="0.2">
      <c r="A55" s="261"/>
      <c r="B55" s="543" t="str">
        <f t="shared" si="6"/>
        <v/>
      </c>
      <c r="C55" s="542" t="str">
        <f>IF(A55="","",VLOOKUP($A55,Plan3!$A$1524:$I$1975,3,0))</f>
        <v/>
      </c>
      <c r="D55" s="542" t="str">
        <f>IF(A55="","",VLOOKUP($A55,Plan3!$A$1524:$I$1975,8,0))</f>
        <v/>
      </c>
      <c r="E55" s="544" t="str">
        <f t="shared" si="7"/>
        <v/>
      </c>
      <c r="F55" s="544" t="str">
        <f t="shared" si="8"/>
        <v/>
      </c>
      <c r="G55" s="544" t="str">
        <f t="shared" si="9"/>
        <v/>
      </c>
      <c r="H55" s="545" t="str">
        <f t="shared" si="10"/>
        <v/>
      </c>
      <c r="I55" s="545" t="str">
        <f t="shared" si="10"/>
        <v/>
      </c>
      <c r="J55" s="545" t="str">
        <f t="shared" si="10"/>
        <v/>
      </c>
      <c r="K55" s="546"/>
      <c r="L55" s="605" t="e">
        <f t="shared" si="5"/>
        <v>#VALUE!</v>
      </c>
      <c r="M55" s="811"/>
      <c r="N55" s="261" t="s">
        <v>1196</v>
      </c>
    </row>
    <row r="56" spans="1:14" ht="38.25" customHeight="1" x14ac:dyDescent="0.2">
      <c r="A56" s="261"/>
      <c r="B56" s="548" t="str">
        <f t="shared" si="6"/>
        <v/>
      </c>
      <c r="C56" s="549" t="str">
        <f>IF(A56="","",VLOOKUP($A56,Plan3!$A$1524:$I$1975,3,0))</f>
        <v/>
      </c>
      <c r="D56" s="549" t="str">
        <f>IF(A56="","",VLOOKUP($A56,Plan3!$A$1524:$I$1975,8,0))</f>
        <v/>
      </c>
      <c r="E56" s="550" t="str">
        <f t="shared" si="7"/>
        <v/>
      </c>
      <c r="F56" s="550" t="str">
        <f t="shared" si="8"/>
        <v/>
      </c>
      <c r="G56" s="550" t="str">
        <f t="shared" si="9"/>
        <v/>
      </c>
      <c r="H56" s="551" t="str">
        <f t="shared" si="10"/>
        <v/>
      </c>
      <c r="I56" s="551" t="str">
        <f t="shared" si="10"/>
        <v/>
      </c>
      <c r="J56" s="551" t="str">
        <f t="shared" si="10"/>
        <v/>
      </c>
      <c r="K56" s="552"/>
      <c r="L56" s="605" t="e">
        <f t="shared" si="5"/>
        <v>#VALUE!</v>
      </c>
      <c r="M56" s="811"/>
      <c r="N56" s="261" t="s">
        <v>1197</v>
      </c>
    </row>
    <row r="57" spans="1:14" ht="38.25" customHeight="1" x14ac:dyDescent="0.2">
      <c r="A57" s="261"/>
      <c r="B57" s="543" t="str">
        <f t="shared" si="6"/>
        <v/>
      </c>
      <c r="C57" s="542" t="str">
        <f>IF(A57="","",VLOOKUP($A57,Plan3!$A$1524:$I$1975,3,0))</f>
        <v/>
      </c>
      <c r="D57" s="542" t="str">
        <f>IF(A57="","",VLOOKUP($A57,Plan3!$A$1524:$I$1975,8,0))</f>
        <v/>
      </c>
      <c r="E57" s="544" t="str">
        <f t="shared" si="7"/>
        <v/>
      </c>
      <c r="F57" s="544" t="str">
        <f t="shared" si="8"/>
        <v/>
      </c>
      <c r="G57" s="544" t="str">
        <f t="shared" si="9"/>
        <v/>
      </c>
      <c r="H57" s="545" t="str">
        <f t="shared" si="10"/>
        <v/>
      </c>
      <c r="I57" s="545" t="str">
        <f t="shared" si="10"/>
        <v/>
      </c>
      <c r="J57" s="545" t="str">
        <f t="shared" si="10"/>
        <v/>
      </c>
      <c r="K57" s="546"/>
      <c r="L57" s="605" t="e">
        <f t="shared" si="5"/>
        <v>#VALUE!</v>
      </c>
      <c r="M57" s="811"/>
      <c r="N57" s="261" t="s">
        <v>1198</v>
      </c>
    </row>
    <row r="58" spans="1:14" ht="38.25" customHeight="1" x14ac:dyDescent="0.2">
      <c r="A58" s="261"/>
      <c r="B58" s="548" t="str">
        <f t="shared" si="6"/>
        <v/>
      </c>
      <c r="C58" s="549" t="str">
        <f>IF(A58="","",VLOOKUP($A58,Plan3!$A$1524:$I$1975,3,0))</f>
        <v/>
      </c>
      <c r="D58" s="549" t="str">
        <f>IF(A58="","",VLOOKUP($A58,Plan3!$A$1524:$I$1975,8,0))</f>
        <v/>
      </c>
      <c r="E58" s="550" t="str">
        <f t="shared" si="7"/>
        <v/>
      </c>
      <c r="F58" s="550" t="str">
        <f t="shared" si="8"/>
        <v/>
      </c>
      <c r="G58" s="550" t="str">
        <f t="shared" si="9"/>
        <v/>
      </c>
      <c r="H58" s="551" t="str">
        <f t="shared" si="10"/>
        <v/>
      </c>
      <c r="I58" s="551" t="str">
        <f t="shared" si="10"/>
        <v/>
      </c>
      <c r="J58" s="551" t="str">
        <f t="shared" si="10"/>
        <v/>
      </c>
      <c r="K58" s="552"/>
      <c r="L58" s="605" t="e">
        <f t="shared" si="5"/>
        <v>#VALUE!</v>
      </c>
      <c r="M58" s="811"/>
      <c r="N58" s="261" t="s">
        <v>1199</v>
      </c>
    </row>
    <row r="59" spans="1:14" ht="38.25" customHeight="1" x14ac:dyDescent="0.2">
      <c r="A59" s="261"/>
      <c r="B59" s="543" t="str">
        <f t="shared" si="6"/>
        <v/>
      </c>
      <c r="C59" s="542" t="str">
        <f>IF(A59="","",VLOOKUP($A59,Plan3!$A$1524:$I$1975,3,0))</f>
        <v/>
      </c>
      <c r="D59" s="542" t="str">
        <f>IF(A59="","",VLOOKUP($A59,Plan3!$A$1524:$I$1975,8,0))</f>
        <v/>
      </c>
      <c r="E59" s="544" t="str">
        <f t="shared" si="7"/>
        <v/>
      </c>
      <c r="F59" s="544" t="str">
        <f t="shared" si="8"/>
        <v/>
      </c>
      <c r="G59" s="544" t="str">
        <f t="shared" si="9"/>
        <v/>
      </c>
      <c r="H59" s="545" t="str">
        <f t="shared" si="10"/>
        <v/>
      </c>
      <c r="I59" s="545" t="str">
        <f t="shared" si="10"/>
        <v/>
      </c>
      <c r="J59" s="545" t="str">
        <f t="shared" si="10"/>
        <v/>
      </c>
      <c r="K59" s="546"/>
      <c r="L59" s="605" t="e">
        <f t="shared" si="5"/>
        <v>#VALUE!</v>
      </c>
      <c r="M59" s="811"/>
      <c r="N59" s="261" t="s">
        <v>1200</v>
      </c>
    </row>
    <row r="60" spans="1:14" ht="38.25" customHeight="1" x14ac:dyDescent="0.2">
      <c r="A60" s="261"/>
      <c r="B60" s="548" t="str">
        <f t="shared" si="6"/>
        <v/>
      </c>
      <c r="C60" s="549" t="str">
        <f>IF(A60="","",VLOOKUP($A60,Plan3!$A$1524:$I$1975,3,0))</f>
        <v/>
      </c>
      <c r="D60" s="549" t="str">
        <f>IF(A60="","",VLOOKUP($A60,Plan3!$A$1524:$I$1975,8,0))</f>
        <v/>
      </c>
      <c r="E60" s="550" t="str">
        <f t="shared" si="7"/>
        <v/>
      </c>
      <c r="F60" s="550" t="str">
        <f t="shared" si="8"/>
        <v/>
      </c>
      <c r="G60" s="550" t="str">
        <f t="shared" si="9"/>
        <v/>
      </c>
      <c r="H60" s="551" t="str">
        <f t="shared" si="10"/>
        <v/>
      </c>
      <c r="I60" s="551" t="str">
        <f t="shared" si="10"/>
        <v/>
      </c>
      <c r="J60" s="551" t="str">
        <f t="shared" si="10"/>
        <v/>
      </c>
      <c r="K60" s="552"/>
      <c r="L60" s="605" t="e">
        <f t="shared" si="5"/>
        <v>#VALUE!</v>
      </c>
      <c r="M60" s="811"/>
      <c r="N60" s="261" t="s">
        <v>1201</v>
      </c>
    </row>
    <row r="61" spans="1:14" ht="38.25" customHeight="1" x14ac:dyDescent="0.2">
      <c r="A61" s="261"/>
      <c r="B61" s="543" t="str">
        <f t="shared" si="6"/>
        <v/>
      </c>
      <c r="C61" s="542" t="str">
        <f>IF(A61="","",VLOOKUP($A61,Plan3!$A$1524:$I$1975,3,0))</f>
        <v/>
      </c>
      <c r="D61" s="542" t="str">
        <f>IF(A61="","",VLOOKUP($A61,Plan3!$A$1524:$I$1975,8,0))</f>
        <v/>
      </c>
      <c r="E61" s="544" t="str">
        <f t="shared" si="7"/>
        <v/>
      </c>
      <c r="F61" s="544" t="str">
        <f t="shared" si="8"/>
        <v/>
      </c>
      <c r="G61" s="544" t="str">
        <f t="shared" si="9"/>
        <v/>
      </c>
      <c r="H61" s="545" t="str">
        <f t="shared" si="10"/>
        <v/>
      </c>
      <c r="I61" s="545" t="str">
        <f t="shared" si="10"/>
        <v/>
      </c>
      <c r="J61" s="545" t="str">
        <f t="shared" si="10"/>
        <v/>
      </c>
      <c r="K61" s="546"/>
      <c r="L61" s="605" t="e">
        <f t="shared" si="5"/>
        <v>#VALUE!</v>
      </c>
      <c r="M61" s="811"/>
      <c r="N61" s="261" t="s">
        <v>1202</v>
      </c>
    </row>
    <row r="62" spans="1:14" ht="38.25" customHeight="1" x14ac:dyDescent="0.2">
      <c r="A62" s="261"/>
      <c r="B62" s="548" t="str">
        <f t="shared" si="6"/>
        <v/>
      </c>
      <c r="C62" s="549" t="str">
        <f>IF(A62="","",VLOOKUP($A62,Plan3!$A$1524:$I$1975,3,0))</f>
        <v/>
      </c>
      <c r="D62" s="549" t="str">
        <f>IF(A62="","",VLOOKUP($A62,Plan3!$A$1524:$I$1975,8,0))</f>
        <v/>
      </c>
      <c r="E62" s="550" t="str">
        <f t="shared" si="7"/>
        <v/>
      </c>
      <c r="F62" s="550" t="str">
        <f t="shared" si="8"/>
        <v/>
      </c>
      <c r="G62" s="550" t="str">
        <f t="shared" si="9"/>
        <v/>
      </c>
      <c r="H62" s="551" t="str">
        <f t="shared" si="10"/>
        <v/>
      </c>
      <c r="I62" s="551" t="str">
        <f t="shared" si="10"/>
        <v/>
      </c>
      <c r="J62" s="551" t="str">
        <f t="shared" si="10"/>
        <v/>
      </c>
      <c r="K62" s="552"/>
      <c r="L62" s="605" t="e">
        <f t="shared" si="5"/>
        <v>#VALUE!</v>
      </c>
      <c r="M62" s="811"/>
      <c r="N62" s="261" t="s">
        <v>1203</v>
      </c>
    </row>
    <row r="63" spans="1:14" ht="38.25" customHeight="1" x14ac:dyDescent="0.2">
      <c r="A63" s="261"/>
      <c r="B63" s="543" t="str">
        <f t="shared" si="6"/>
        <v/>
      </c>
      <c r="C63" s="542" t="str">
        <f>IF(A63="","",VLOOKUP($A63,Plan3!$A$1524:$I$1975,3,0))</f>
        <v/>
      </c>
      <c r="D63" s="542" t="str">
        <f>IF(A63="","",VLOOKUP($A63,Plan3!$A$1524:$I$1975,8,0))</f>
        <v/>
      </c>
      <c r="E63" s="544" t="str">
        <f t="shared" si="7"/>
        <v/>
      </c>
      <c r="F63" s="544" t="str">
        <f t="shared" si="8"/>
        <v/>
      </c>
      <c r="G63" s="544" t="str">
        <f t="shared" si="9"/>
        <v/>
      </c>
      <c r="H63" s="545" t="str">
        <f t="shared" si="10"/>
        <v/>
      </c>
      <c r="I63" s="545" t="str">
        <f t="shared" si="10"/>
        <v/>
      </c>
      <c r="J63" s="545" t="str">
        <f t="shared" si="10"/>
        <v/>
      </c>
      <c r="K63" s="546"/>
      <c r="L63" s="605" t="e">
        <f t="shared" si="5"/>
        <v>#VALUE!</v>
      </c>
      <c r="M63" s="811"/>
      <c r="N63" s="261" t="s">
        <v>1204</v>
      </c>
    </row>
    <row r="64" spans="1:14" ht="38.25" customHeight="1" x14ac:dyDescent="0.2">
      <c r="A64" s="261"/>
      <c r="B64" s="548" t="str">
        <f t="shared" si="6"/>
        <v/>
      </c>
      <c r="C64" s="549" t="str">
        <f>IF(A64="","",VLOOKUP($A64,Plan3!$A$1524:$I$1975,3,0))</f>
        <v/>
      </c>
      <c r="D64" s="549" t="str">
        <f>IF(A64="","",VLOOKUP($A64,Plan3!$A$1524:$I$1975,8,0))</f>
        <v/>
      </c>
      <c r="E64" s="550" t="str">
        <f t="shared" si="7"/>
        <v/>
      </c>
      <c r="F64" s="550" t="str">
        <f t="shared" si="8"/>
        <v/>
      </c>
      <c r="G64" s="550" t="str">
        <f t="shared" si="9"/>
        <v/>
      </c>
      <c r="H64" s="551" t="str">
        <f t="shared" si="10"/>
        <v/>
      </c>
      <c r="I64" s="551" t="str">
        <f t="shared" si="10"/>
        <v/>
      </c>
      <c r="J64" s="551" t="str">
        <f t="shared" si="10"/>
        <v/>
      </c>
      <c r="K64" s="552"/>
      <c r="L64" s="605" t="e">
        <f t="shared" si="5"/>
        <v>#VALUE!</v>
      </c>
      <c r="M64" s="811"/>
      <c r="N64" s="261" t="s">
        <v>1205</v>
      </c>
    </row>
    <row r="65" spans="1:14" ht="38.25" customHeight="1" x14ac:dyDescent="0.2">
      <c r="A65" s="261"/>
      <c r="B65" s="543" t="str">
        <f t="shared" si="6"/>
        <v/>
      </c>
      <c r="C65" s="542" t="str">
        <f>IF(A65="","",VLOOKUP($A65,Plan3!$A$1524:$I$1975,3,0))</f>
        <v/>
      </c>
      <c r="D65" s="542" t="str">
        <f>IF(A65="","",VLOOKUP($A65,Plan3!$A$1524:$I$1975,8,0))</f>
        <v/>
      </c>
      <c r="E65" s="544" t="str">
        <f t="shared" si="7"/>
        <v/>
      </c>
      <c r="F65" s="544" t="str">
        <f t="shared" si="8"/>
        <v/>
      </c>
      <c r="G65" s="544" t="str">
        <f t="shared" si="9"/>
        <v/>
      </c>
      <c r="H65" s="545" t="str">
        <f t="shared" si="10"/>
        <v/>
      </c>
      <c r="I65" s="545" t="str">
        <f t="shared" si="10"/>
        <v/>
      </c>
      <c r="J65" s="545" t="str">
        <f t="shared" si="10"/>
        <v/>
      </c>
      <c r="K65" s="546"/>
      <c r="L65" s="605" t="e">
        <f t="shared" si="5"/>
        <v>#VALUE!</v>
      </c>
      <c r="M65" s="811"/>
      <c r="N65" s="261" t="s">
        <v>1206</v>
      </c>
    </row>
    <row r="66" spans="1:14" ht="38.25" customHeight="1" x14ac:dyDescent="0.2">
      <c r="A66" s="261"/>
      <c r="B66" s="548" t="str">
        <f t="shared" si="6"/>
        <v/>
      </c>
      <c r="C66" s="549" t="str">
        <f>IF(A66="","",VLOOKUP($A66,Plan3!$A$1524:$I$1975,3,0))</f>
        <v/>
      </c>
      <c r="D66" s="549" t="str">
        <f>IF(A66="","",VLOOKUP($A66,Plan3!$A$1524:$I$1975,8,0))</f>
        <v/>
      </c>
      <c r="E66" s="550" t="str">
        <f t="shared" si="7"/>
        <v/>
      </c>
      <c r="F66" s="550" t="str">
        <f t="shared" si="8"/>
        <v/>
      </c>
      <c r="G66" s="550" t="str">
        <f t="shared" si="9"/>
        <v/>
      </c>
      <c r="H66" s="551" t="str">
        <f t="shared" si="10"/>
        <v/>
      </c>
      <c r="I66" s="551" t="str">
        <f t="shared" si="10"/>
        <v/>
      </c>
      <c r="J66" s="551" t="str">
        <f t="shared" si="10"/>
        <v/>
      </c>
      <c r="K66" s="552"/>
      <c r="L66" s="605" t="e">
        <f t="shared" si="5"/>
        <v>#VALUE!</v>
      </c>
      <c r="M66" s="811"/>
      <c r="N66" s="261" t="s">
        <v>1207</v>
      </c>
    </row>
    <row r="67" spans="1:14" ht="38.25" customHeight="1" x14ac:dyDescent="0.2">
      <c r="A67" s="261"/>
      <c r="B67" s="543" t="str">
        <f t="shared" si="6"/>
        <v/>
      </c>
      <c r="C67" s="542" t="str">
        <f>IF(A67="","",VLOOKUP($A67,Plan3!$A$1524:$I$1975,3,0))</f>
        <v/>
      </c>
      <c r="D67" s="542" t="str">
        <f>IF(A67="","",VLOOKUP($A67,Plan3!$A$1524:$I$1975,8,0))</f>
        <v/>
      </c>
      <c r="E67" s="544" t="str">
        <f t="shared" si="7"/>
        <v/>
      </c>
      <c r="F67" s="544" t="str">
        <f t="shared" si="8"/>
        <v/>
      </c>
      <c r="G67" s="544" t="str">
        <f t="shared" si="9"/>
        <v/>
      </c>
      <c r="H67" s="545" t="str">
        <f t="shared" si="10"/>
        <v/>
      </c>
      <c r="I67" s="545" t="str">
        <f t="shared" si="10"/>
        <v/>
      </c>
      <c r="J67" s="545" t="str">
        <f t="shared" si="10"/>
        <v/>
      </c>
      <c r="K67" s="546"/>
      <c r="L67" s="605" t="e">
        <f t="shared" si="5"/>
        <v>#VALUE!</v>
      </c>
      <c r="M67" s="811"/>
      <c r="N67" s="261" t="s">
        <v>1208</v>
      </c>
    </row>
    <row r="68" spans="1:14" ht="38.25" customHeight="1" x14ac:dyDescent="0.2">
      <c r="A68" s="261"/>
      <c r="B68" s="548" t="str">
        <f t="shared" si="6"/>
        <v/>
      </c>
      <c r="C68" s="549" t="str">
        <f>IF(A68="","",VLOOKUP($A68,Plan3!$A$1524:$I$1975,3,0))</f>
        <v/>
      </c>
      <c r="D68" s="549" t="str">
        <f>IF(A68="","",VLOOKUP($A68,Plan3!$A$1524:$I$1975,8,0))</f>
        <v/>
      </c>
      <c r="E68" s="550" t="str">
        <f t="shared" si="7"/>
        <v/>
      </c>
      <c r="F68" s="550" t="str">
        <f t="shared" si="8"/>
        <v/>
      </c>
      <c r="G68" s="550" t="str">
        <f t="shared" si="9"/>
        <v/>
      </c>
      <c r="H68" s="551" t="str">
        <f t="shared" si="10"/>
        <v/>
      </c>
      <c r="I68" s="551" t="str">
        <f t="shared" si="10"/>
        <v/>
      </c>
      <c r="J68" s="551" t="str">
        <f t="shared" si="10"/>
        <v/>
      </c>
      <c r="K68" s="552"/>
      <c r="L68" s="605" t="e">
        <f t="shared" si="5"/>
        <v>#VALUE!</v>
      </c>
      <c r="M68" s="811"/>
      <c r="N68" s="261" t="s">
        <v>1209</v>
      </c>
    </row>
    <row r="69" spans="1:14" ht="38.25" customHeight="1" x14ac:dyDescent="0.2">
      <c r="A69" s="261"/>
      <c r="B69" s="543" t="str">
        <f t="shared" si="6"/>
        <v/>
      </c>
      <c r="C69" s="542" t="str">
        <f>IF(A69="","",VLOOKUP($A69,Plan3!$A$1524:$I$1975,3,0))</f>
        <v/>
      </c>
      <c r="D69" s="542" t="str">
        <f>IF(A69="","",VLOOKUP($A69,Plan3!$A$1524:$I$1975,8,0))</f>
        <v/>
      </c>
      <c r="E69" s="544" t="str">
        <f t="shared" si="7"/>
        <v/>
      </c>
      <c r="F69" s="544" t="str">
        <f t="shared" si="8"/>
        <v/>
      </c>
      <c r="G69" s="544" t="str">
        <f t="shared" si="9"/>
        <v/>
      </c>
      <c r="H69" s="545" t="str">
        <f t="shared" si="10"/>
        <v/>
      </c>
      <c r="I69" s="545" t="str">
        <f t="shared" si="10"/>
        <v/>
      </c>
      <c r="J69" s="545" t="str">
        <f t="shared" si="10"/>
        <v/>
      </c>
      <c r="K69" s="546"/>
      <c r="L69" s="605" t="e">
        <f t="shared" si="5"/>
        <v>#VALUE!</v>
      </c>
      <c r="M69" s="811"/>
      <c r="N69" s="261" t="s">
        <v>1210</v>
      </c>
    </row>
    <row r="70" spans="1:14" ht="38.25" customHeight="1" x14ac:dyDescent="0.2">
      <c r="A70" s="261"/>
      <c r="B70" s="548" t="str">
        <f t="shared" si="6"/>
        <v/>
      </c>
      <c r="C70" s="549" t="str">
        <f>IF(A70="","",VLOOKUP($A70,Plan3!$A$1524:$I$1975,3,0))</f>
        <v/>
      </c>
      <c r="D70" s="549" t="str">
        <f>IF(A70="","",VLOOKUP($A70,Plan3!$A$1524:$I$1975,8,0))</f>
        <v/>
      </c>
      <c r="E70" s="550" t="str">
        <f t="shared" si="7"/>
        <v/>
      </c>
      <c r="F70" s="550" t="str">
        <f t="shared" si="8"/>
        <v/>
      </c>
      <c r="G70" s="550" t="str">
        <f t="shared" si="9"/>
        <v/>
      </c>
      <c r="H70" s="551" t="str">
        <f t="shared" si="10"/>
        <v/>
      </c>
      <c r="I70" s="551" t="str">
        <f t="shared" si="10"/>
        <v/>
      </c>
      <c r="J70" s="551" t="str">
        <f t="shared" si="10"/>
        <v/>
      </c>
      <c r="K70" s="552"/>
      <c r="L70" s="605" t="e">
        <f t="shared" ref="L70:L105" si="11">DATEVALUE(M70)</f>
        <v>#VALUE!</v>
      </c>
      <c r="M70" s="811"/>
      <c r="N70" s="261" t="s">
        <v>1211</v>
      </c>
    </row>
    <row r="71" spans="1:14" ht="38.25" customHeight="1" x14ac:dyDescent="0.2">
      <c r="A71" s="261"/>
      <c r="B71" s="543" t="str">
        <f t="shared" si="6"/>
        <v/>
      </c>
      <c r="C71" s="542" t="str">
        <f>IF(A71="","",VLOOKUP($A71,Plan3!$A$1524:$I$1975,3,0))</f>
        <v/>
      </c>
      <c r="D71" s="542" t="str">
        <f>IF(A71="","",VLOOKUP($A71,Plan3!$A$1524:$I$1975,8,0))</f>
        <v/>
      </c>
      <c r="E71" s="544" t="str">
        <f t="shared" si="7"/>
        <v/>
      </c>
      <c r="F71" s="544" t="str">
        <f t="shared" si="8"/>
        <v/>
      </c>
      <c r="G71" s="544" t="str">
        <f t="shared" si="9"/>
        <v/>
      </c>
      <c r="H71" s="545" t="str">
        <f t="shared" si="10"/>
        <v/>
      </c>
      <c r="I71" s="545" t="str">
        <f t="shared" si="10"/>
        <v/>
      </c>
      <c r="J71" s="545" t="str">
        <f t="shared" si="10"/>
        <v/>
      </c>
      <c r="K71" s="546"/>
      <c r="L71" s="605" t="e">
        <f t="shared" si="11"/>
        <v>#VALUE!</v>
      </c>
      <c r="M71" s="811"/>
      <c r="N71" s="261" t="s">
        <v>1212</v>
      </c>
    </row>
    <row r="72" spans="1:14" ht="38.25" customHeight="1" x14ac:dyDescent="0.2">
      <c r="A72" s="261"/>
      <c r="B72" s="548" t="str">
        <f t="shared" ref="B72:B105" si="12">IF(C72&lt;&gt;"",B71+1,"")</f>
        <v/>
      </c>
      <c r="C72" s="549" t="str">
        <f>IF(A72="","",VLOOKUP($A72,Plan3!$A$1524:$I$1975,3,0))</f>
        <v/>
      </c>
      <c r="D72" s="549" t="str">
        <f>IF(A72="","",VLOOKUP($A72,Plan3!$A$1524:$I$1975,8,0))</f>
        <v/>
      </c>
      <c r="E72" s="550" t="str">
        <f t="shared" ref="E72:E105" si="13">IF($A72="","",IF(H72&lt;&gt;"","Fazer Pedido",""))</f>
        <v/>
      </c>
      <c r="F72" s="550" t="str">
        <f t="shared" ref="F72:F105" si="14">IF($A72="","",IF(I72&lt;&gt;"","Fazer Pedido",""))</f>
        <v/>
      </c>
      <c r="G72" s="550" t="str">
        <f t="shared" ref="G72:G105" si="15">IF($A72="","",IF(J72&lt;&gt;"","Fazer Pedido",""))</f>
        <v/>
      </c>
      <c r="H72" s="551" t="str">
        <f t="shared" si="10"/>
        <v/>
      </c>
      <c r="I72" s="551" t="str">
        <f t="shared" si="10"/>
        <v/>
      </c>
      <c r="J72" s="551" t="str">
        <f t="shared" si="10"/>
        <v/>
      </c>
      <c r="K72" s="552"/>
      <c r="L72" s="605" t="e">
        <f t="shared" si="11"/>
        <v>#VALUE!</v>
      </c>
      <c r="M72" s="811"/>
      <c r="N72" s="261" t="s">
        <v>1213</v>
      </c>
    </row>
    <row r="73" spans="1:14" ht="38.25" customHeight="1" x14ac:dyDescent="0.2">
      <c r="A73" s="261"/>
      <c r="B73" s="543" t="str">
        <f t="shared" si="12"/>
        <v/>
      </c>
      <c r="C73" s="542" t="str">
        <f>IF(A73="","",VLOOKUP($A73,Plan3!$A$1524:$I$1975,3,0))</f>
        <v/>
      </c>
      <c r="D73" s="542" t="str">
        <f>IF(A73="","",VLOOKUP($A73,Plan3!$A$1524:$I$1975,8,0))</f>
        <v/>
      </c>
      <c r="E73" s="544" t="str">
        <f t="shared" si="13"/>
        <v/>
      </c>
      <c r="F73" s="544" t="str">
        <f t="shared" si="14"/>
        <v/>
      </c>
      <c r="G73" s="544" t="str">
        <f t="shared" si="15"/>
        <v/>
      </c>
      <c r="H73" s="545" t="str">
        <f t="shared" si="10"/>
        <v/>
      </c>
      <c r="I73" s="545" t="str">
        <f t="shared" si="10"/>
        <v/>
      </c>
      <c r="J73" s="545" t="str">
        <f t="shared" si="10"/>
        <v/>
      </c>
      <c r="K73" s="546"/>
      <c r="L73" s="605" t="e">
        <f t="shared" si="11"/>
        <v>#VALUE!</v>
      </c>
      <c r="M73" s="811"/>
      <c r="N73" s="261" t="s">
        <v>1214</v>
      </c>
    </row>
    <row r="74" spans="1:14" ht="38.25" customHeight="1" x14ac:dyDescent="0.2">
      <c r="A74" s="261"/>
      <c r="B74" s="548" t="str">
        <f t="shared" si="12"/>
        <v/>
      </c>
      <c r="C74" s="549" t="str">
        <f>IF(A74="","",VLOOKUP($A74,Plan3!$A$1524:$I$1975,3,0))</f>
        <v/>
      </c>
      <c r="D74" s="549" t="str">
        <f>IF(A74="","",VLOOKUP($A74,Plan3!$A$1524:$I$1975,8,0))</f>
        <v/>
      </c>
      <c r="E74" s="550" t="str">
        <f t="shared" si="13"/>
        <v/>
      </c>
      <c r="F74" s="550" t="str">
        <f t="shared" si="14"/>
        <v/>
      </c>
      <c r="G74" s="550" t="str">
        <f t="shared" si="15"/>
        <v/>
      </c>
      <c r="H74" s="551" t="str">
        <f t="shared" si="10"/>
        <v/>
      </c>
      <c r="I74" s="551" t="str">
        <f t="shared" si="10"/>
        <v/>
      </c>
      <c r="J74" s="551" t="str">
        <f t="shared" si="10"/>
        <v/>
      </c>
      <c r="K74" s="552"/>
      <c r="L74" s="605" t="e">
        <f t="shared" si="11"/>
        <v>#VALUE!</v>
      </c>
      <c r="M74" s="811"/>
      <c r="N74" s="261" t="s">
        <v>1215</v>
      </c>
    </row>
    <row r="75" spans="1:14" ht="38.25" customHeight="1" x14ac:dyDescent="0.2">
      <c r="A75" s="261"/>
      <c r="B75" s="543" t="str">
        <f t="shared" si="12"/>
        <v/>
      </c>
      <c r="C75" s="542" t="str">
        <f>IF(A75="","",VLOOKUP($A75,Plan3!$A$1524:$I$1975,3,0))</f>
        <v/>
      </c>
      <c r="D75" s="542" t="str">
        <f>IF(A75="","",VLOOKUP($A75,Plan3!$A$1524:$I$1975,8,0))</f>
        <v/>
      </c>
      <c r="E75" s="544" t="str">
        <f t="shared" si="13"/>
        <v/>
      </c>
      <c r="F75" s="544" t="str">
        <f t="shared" si="14"/>
        <v/>
      </c>
      <c r="G75" s="544" t="str">
        <f t="shared" si="15"/>
        <v/>
      </c>
      <c r="H75" s="545" t="str">
        <f t="shared" si="10"/>
        <v/>
      </c>
      <c r="I75" s="545" t="str">
        <f t="shared" si="10"/>
        <v/>
      </c>
      <c r="J75" s="545" t="str">
        <f t="shared" si="10"/>
        <v/>
      </c>
      <c r="K75" s="546"/>
      <c r="L75" s="605" t="e">
        <f t="shared" si="11"/>
        <v>#VALUE!</v>
      </c>
      <c r="M75" s="811"/>
      <c r="N75" s="261" t="s">
        <v>1216</v>
      </c>
    </row>
    <row r="76" spans="1:14" ht="38.25" customHeight="1" x14ac:dyDescent="0.2">
      <c r="A76" s="261"/>
      <c r="B76" s="548" t="str">
        <f t="shared" si="12"/>
        <v/>
      </c>
      <c r="C76" s="549" t="str">
        <f>IF(A76="","",VLOOKUP($A76,Plan3!$A$1524:$I$1975,3,0))</f>
        <v/>
      </c>
      <c r="D76" s="549" t="str">
        <f>IF(A76="","",VLOOKUP($A76,Plan3!$A$1524:$I$1975,8,0))</f>
        <v/>
      </c>
      <c r="E76" s="550" t="str">
        <f t="shared" si="13"/>
        <v/>
      </c>
      <c r="F76" s="550" t="str">
        <f t="shared" si="14"/>
        <v/>
      </c>
      <c r="G76" s="550" t="str">
        <f t="shared" si="15"/>
        <v/>
      </c>
      <c r="H76" s="551" t="str">
        <f t="shared" si="10"/>
        <v/>
      </c>
      <c r="I76" s="551" t="str">
        <f t="shared" si="10"/>
        <v/>
      </c>
      <c r="J76" s="551" t="str">
        <f t="shared" si="10"/>
        <v/>
      </c>
      <c r="K76" s="552"/>
      <c r="L76" s="605" t="e">
        <f t="shared" si="11"/>
        <v>#VALUE!</v>
      </c>
      <c r="M76" s="811"/>
      <c r="N76" s="261" t="s">
        <v>1217</v>
      </c>
    </row>
    <row r="77" spans="1:14" ht="38.25" customHeight="1" x14ac:dyDescent="0.2">
      <c r="A77" s="261"/>
      <c r="B77" s="543" t="str">
        <f t="shared" si="12"/>
        <v/>
      </c>
      <c r="C77" s="542" t="str">
        <f>IF(A77="","",VLOOKUP($A77,Plan3!$A$1524:$I$1975,3,0))</f>
        <v/>
      </c>
      <c r="D77" s="542" t="str">
        <f>IF(A77="","",VLOOKUP($A77,Plan3!$A$1524:$I$1975,8,0))</f>
        <v/>
      </c>
      <c r="E77" s="544" t="str">
        <f t="shared" si="13"/>
        <v/>
      </c>
      <c r="F77" s="544" t="str">
        <f t="shared" si="14"/>
        <v/>
      </c>
      <c r="G77" s="544" t="str">
        <f t="shared" si="15"/>
        <v/>
      </c>
      <c r="H77" s="545" t="str">
        <f t="shared" si="10"/>
        <v/>
      </c>
      <c r="I77" s="545" t="str">
        <f t="shared" si="10"/>
        <v/>
      </c>
      <c r="J77" s="545" t="str">
        <f t="shared" si="10"/>
        <v/>
      </c>
      <c r="K77" s="546"/>
      <c r="L77" s="605" t="e">
        <f t="shared" si="11"/>
        <v>#VALUE!</v>
      </c>
      <c r="M77" s="811"/>
      <c r="N77" s="261" t="s">
        <v>1218</v>
      </c>
    </row>
    <row r="78" spans="1:14" ht="38.25" customHeight="1" x14ac:dyDescent="0.2">
      <c r="A78" s="261"/>
      <c r="B78" s="548" t="str">
        <f t="shared" si="12"/>
        <v/>
      </c>
      <c r="C78" s="549" t="str">
        <f>IF(A78="","",VLOOKUP($A78,Plan3!$A$1524:$I$1975,3,0))</f>
        <v/>
      </c>
      <c r="D78" s="549" t="str">
        <f>IF(A78="","",VLOOKUP($A78,Plan3!$A$1524:$I$1975,8,0))</f>
        <v/>
      </c>
      <c r="E78" s="550" t="str">
        <f t="shared" si="13"/>
        <v/>
      </c>
      <c r="F78" s="550" t="str">
        <f t="shared" si="14"/>
        <v/>
      </c>
      <c r="G78" s="550" t="str">
        <f t="shared" si="15"/>
        <v/>
      </c>
      <c r="H78" s="551" t="str">
        <f t="shared" si="10"/>
        <v/>
      </c>
      <c r="I78" s="551" t="str">
        <f t="shared" si="10"/>
        <v/>
      </c>
      <c r="J78" s="551" t="str">
        <f t="shared" si="10"/>
        <v/>
      </c>
      <c r="K78" s="552"/>
      <c r="L78" s="605" t="e">
        <f t="shared" si="11"/>
        <v>#VALUE!</v>
      </c>
      <c r="M78" s="811"/>
      <c r="N78" s="261" t="s">
        <v>1219</v>
      </c>
    </row>
    <row r="79" spans="1:14" ht="38.25" customHeight="1" x14ac:dyDescent="0.2">
      <c r="A79" s="261"/>
      <c r="B79" s="543" t="str">
        <f t="shared" si="12"/>
        <v/>
      </c>
      <c r="C79" s="542" t="str">
        <f>IF(A79="","",VLOOKUP($A79,Plan3!$A$1524:$I$1975,3,0))</f>
        <v/>
      </c>
      <c r="D79" s="542" t="str">
        <f>IF(A79="","",VLOOKUP($A79,Plan3!$A$1524:$I$1975,8,0))</f>
        <v/>
      </c>
      <c r="E79" s="544" t="str">
        <f t="shared" si="13"/>
        <v/>
      </c>
      <c r="F79" s="544" t="str">
        <f t="shared" si="14"/>
        <v/>
      </c>
      <c r="G79" s="544" t="str">
        <f t="shared" si="15"/>
        <v/>
      </c>
      <c r="H79" s="545" t="str">
        <f t="shared" si="10"/>
        <v/>
      </c>
      <c r="I79" s="545" t="str">
        <f t="shared" si="10"/>
        <v/>
      </c>
      <c r="J79" s="545" t="str">
        <f t="shared" si="10"/>
        <v/>
      </c>
      <c r="K79" s="546"/>
      <c r="L79" s="605" t="e">
        <f t="shared" si="11"/>
        <v>#VALUE!</v>
      </c>
      <c r="M79" s="811"/>
      <c r="N79" s="261" t="s">
        <v>1220</v>
      </c>
    </row>
    <row r="80" spans="1:14" ht="38.25" customHeight="1" x14ac:dyDescent="0.2">
      <c r="A80" s="261"/>
      <c r="B80" s="548" t="str">
        <f t="shared" si="12"/>
        <v/>
      </c>
      <c r="C80" s="549" t="str">
        <f>IF(A80="","",VLOOKUP($A80,Plan3!$A$1524:$I$1975,3,0))</f>
        <v/>
      </c>
      <c r="D80" s="549" t="str">
        <f>IF(A80="","",VLOOKUP($A80,Plan3!$A$1524:$I$1975,8,0))</f>
        <v/>
      </c>
      <c r="E80" s="550" t="str">
        <f t="shared" si="13"/>
        <v/>
      </c>
      <c r="F80" s="550" t="str">
        <f t="shared" si="14"/>
        <v/>
      </c>
      <c r="G80" s="550" t="str">
        <f t="shared" si="15"/>
        <v/>
      </c>
      <c r="H80" s="551" t="str">
        <f t="shared" si="10"/>
        <v/>
      </c>
      <c r="I80" s="551" t="str">
        <f t="shared" si="10"/>
        <v/>
      </c>
      <c r="J80" s="551" t="str">
        <f t="shared" si="10"/>
        <v/>
      </c>
      <c r="K80" s="552"/>
      <c r="L80" s="605" t="e">
        <f t="shared" si="11"/>
        <v>#VALUE!</v>
      </c>
      <c r="M80" s="811"/>
      <c r="N80" s="261" t="s">
        <v>1221</v>
      </c>
    </row>
    <row r="81" spans="1:14" ht="38.25" customHeight="1" x14ac:dyDescent="0.2">
      <c r="A81" s="261"/>
      <c r="B81" s="543" t="str">
        <f t="shared" si="12"/>
        <v/>
      </c>
      <c r="C81" s="542" t="str">
        <f>IF(A81="","",VLOOKUP($A81,Plan3!$A$1524:$I$1975,3,0))</f>
        <v/>
      </c>
      <c r="D81" s="542" t="str">
        <f>IF(A81="","",VLOOKUP($A81,Plan3!$A$1524:$I$1975,8,0))</f>
        <v/>
      </c>
      <c r="E81" s="544" t="str">
        <f t="shared" si="13"/>
        <v/>
      </c>
      <c r="F81" s="544" t="str">
        <f t="shared" si="14"/>
        <v/>
      </c>
      <c r="G81" s="544" t="str">
        <f t="shared" si="15"/>
        <v/>
      </c>
      <c r="H81" s="545" t="str">
        <f t="shared" si="10"/>
        <v/>
      </c>
      <c r="I81" s="545" t="str">
        <f t="shared" si="10"/>
        <v/>
      </c>
      <c r="J81" s="545" t="str">
        <f t="shared" si="10"/>
        <v/>
      </c>
      <c r="K81" s="546"/>
      <c r="L81" s="605" t="e">
        <f t="shared" si="11"/>
        <v>#VALUE!</v>
      </c>
      <c r="M81" s="811"/>
      <c r="N81" s="261" t="s">
        <v>1222</v>
      </c>
    </row>
    <row r="82" spans="1:14" ht="38.25" customHeight="1" x14ac:dyDescent="0.2">
      <c r="A82" s="261"/>
      <c r="B82" s="548" t="str">
        <f t="shared" si="12"/>
        <v/>
      </c>
      <c r="C82" s="549" t="str">
        <f>IF(A82="","",VLOOKUP($A82,Plan3!$A$1524:$I$1975,3,0))</f>
        <v/>
      </c>
      <c r="D82" s="549" t="str">
        <f>IF(A82="","",VLOOKUP($A82,Plan3!$A$1524:$I$1975,8,0))</f>
        <v/>
      </c>
      <c r="E82" s="550" t="str">
        <f t="shared" si="13"/>
        <v/>
      </c>
      <c r="F82" s="550" t="str">
        <f t="shared" si="14"/>
        <v/>
      </c>
      <c r="G82" s="550" t="str">
        <f t="shared" si="15"/>
        <v/>
      </c>
      <c r="H82" s="551" t="str">
        <f t="shared" si="10"/>
        <v/>
      </c>
      <c r="I82" s="551" t="str">
        <f t="shared" si="10"/>
        <v/>
      </c>
      <c r="J82" s="551" t="str">
        <f t="shared" si="10"/>
        <v/>
      </c>
      <c r="K82" s="552"/>
      <c r="L82" s="605" t="e">
        <f t="shared" si="11"/>
        <v>#VALUE!</v>
      </c>
      <c r="M82" s="811"/>
      <c r="N82" s="261" t="s">
        <v>1223</v>
      </c>
    </row>
    <row r="83" spans="1:14" ht="38.25" customHeight="1" x14ac:dyDescent="0.2">
      <c r="A83" s="261"/>
      <c r="B83" s="543" t="str">
        <f t="shared" si="12"/>
        <v/>
      </c>
      <c r="C83" s="542" t="str">
        <f>IF(A83="","",VLOOKUP($A83,Plan3!$A$1524:$I$1975,3,0))</f>
        <v/>
      </c>
      <c r="D83" s="542" t="str">
        <f>IF(A83="","",VLOOKUP($A83,Plan3!$A$1524:$I$1975,8,0))</f>
        <v/>
      </c>
      <c r="E83" s="544" t="str">
        <f t="shared" si="13"/>
        <v/>
      </c>
      <c r="F83" s="544" t="str">
        <f t="shared" si="14"/>
        <v/>
      </c>
      <c r="G83" s="544" t="str">
        <f t="shared" si="15"/>
        <v/>
      </c>
      <c r="H83" s="545" t="str">
        <f t="shared" si="10"/>
        <v/>
      </c>
      <c r="I83" s="545" t="str">
        <f t="shared" si="10"/>
        <v/>
      </c>
      <c r="J83" s="545" t="str">
        <f t="shared" si="10"/>
        <v/>
      </c>
      <c r="K83" s="546"/>
      <c r="L83" s="605" t="e">
        <f t="shared" si="11"/>
        <v>#VALUE!</v>
      </c>
      <c r="M83" s="811"/>
      <c r="N83" s="261" t="s">
        <v>1224</v>
      </c>
    </row>
    <row r="84" spans="1:14" ht="38.25" customHeight="1" x14ac:dyDescent="0.2">
      <c r="A84" s="261"/>
      <c r="B84" s="548" t="str">
        <f t="shared" si="12"/>
        <v/>
      </c>
      <c r="C84" s="549" t="str">
        <f>IF(A84="","",VLOOKUP($A84,Plan3!$A$1524:$I$1975,3,0))</f>
        <v/>
      </c>
      <c r="D84" s="549" t="str">
        <f>IF(A84="","",VLOOKUP($A84,Plan3!$A$1524:$I$1975,8,0))</f>
        <v/>
      </c>
      <c r="E84" s="550" t="str">
        <f t="shared" si="13"/>
        <v/>
      </c>
      <c r="F84" s="550" t="str">
        <f t="shared" si="14"/>
        <v/>
      </c>
      <c r="G84" s="550" t="str">
        <f t="shared" si="15"/>
        <v/>
      </c>
      <c r="H84" s="551" t="str">
        <f t="shared" si="10"/>
        <v/>
      </c>
      <c r="I84" s="551" t="str">
        <f t="shared" si="10"/>
        <v/>
      </c>
      <c r="J84" s="551" t="str">
        <f t="shared" si="10"/>
        <v/>
      </c>
      <c r="K84" s="552"/>
      <c r="L84" s="605" t="e">
        <f t="shared" si="11"/>
        <v>#VALUE!</v>
      </c>
      <c r="M84" s="811"/>
      <c r="N84" s="261" t="s">
        <v>1225</v>
      </c>
    </row>
    <row r="85" spans="1:14" ht="38.25" customHeight="1" x14ac:dyDescent="0.2">
      <c r="A85" s="261"/>
      <c r="B85" s="543" t="str">
        <f t="shared" si="12"/>
        <v/>
      </c>
      <c r="C85" s="542" t="str">
        <f>IF(A85="","",VLOOKUP($A85,Plan3!$A$1524:$I$1975,3,0))</f>
        <v/>
      </c>
      <c r="D85" s="542" t="str">
        <f>IF(A85="","",VLOOKUP($A85,Plan3!$A$1524:$I$1975,8,0))</f>
        <v/>
      </c>
      <c r="E85" s="544" t="str">
        <f t="shared" si="13"/>
        <v/>
      </c>
      <c r="F85" s="544" t="str">
        <f t="shared" si="14"/>
        <v/>
      </c>
      <c r="G85" s="544" t="str">
        <f t="shared" si="15"/>
        <v/>
      </c>
      <c r="H85" s="545" t="str">
        <f t="shared" si="10"/>
        <v/>
      </c>
      <c r="I85" s="545" t="str">
        <f t="shared" si="10"/>
        <v/>
      </c>
      <c r="J85" s="545" t="str">
        <f t="shared" si="10"/>
        <v/>
      </c>
      <c r="K85" s="546"/>
      <c r="L85" s="605" t="e">
        <f t="shared" si="11"/>
        <v>#VALUE!</v>
      </c>
      <c r="M85" s="811"/>
      <c r="N85" s="261" t="s">
        <v>1226</v>
      </c>
    </row>
    <row r="86" spans="1:14" ht="38.25" customHeight="1" x14ac:dyDescent="0.2">
      <c r="A86" s="261"/>
      <c r="B86" s="548" t="str">
        <f t="shared" si="12"/>
        <v/>
      </c>
      <c r="C86" s="549" t="str">
        <f>IF(A86="","",VLOOKUP($A86,Plan3!$A$1524:$I$1975,3,0))</f>
        <v/>
      </c>
      <c r="D86" s="549" t="str">
        <f>IF(A86="","",VLOOKUP($A86,Plan3!$A$1524:$I$1975,8,0))</f>
        <v/>
      </c>
      <c r="E86" s="550" t="str">
        <f t="shared" si="13"/>
        <v/>
      </c>
      <c r="F86" s="550" t="str">
        <f t="shared" si="14"/>
        <v/>
      </c>
      <c r="G86" s="550" t="str">
        <f t="shared" si="15"/>
        <v/>
      </c>
      <c r="H86" s="551" t="str">
        <f t="shared" si="10"/>
        <v/>
      </c>
      <c r="I86" s="551" t="str">
        <f t="shared" si="10"/>
        <v/>
      </c>
      <c r="J86" s="551" t="str">
        <f t="shared" si="10"/>
        <v/>
      </c>
      <c r="K86" s="552"/>
      <c r="L86" s="605" t="e">
        <f t="shared" si="11"/>
        <v>#VALUE!</v>
      </c>
      <c r="M86" s="811"/>
      <c r="N86" s="261" t="s">
        <v>1227</v>
      </c>
    </row>
    <row r="87" spans="1:14" ht="38.25" customHeight="1" x14ac:dyDescent="0.2">
      <c r="A87" s="261"/>
      <c r="B87" s="543" t="str">
        <f t="shared" si="12"/>
        <v/>
      </c>
      <c r="C87" s="542" t="str">
        <f>IF(A87="","",VLOOKUP($A87,Plan3!$A$1524:$I$1975,3,0))</f>
        <v/>
      </c>
      <c r="D87" s="542" t="str">
        <f>IF(A87="","",VLOOKUP($A87,Plan3!$A$1524:$I$1975,8,0))</f>
        <v/>
      </c>
      <c r="E87" s="544" t="str">
        <f t="shared" si="13"/>
        <v/>
      </c>
      <c r="F87" s="544" t="str">
        <f t="shared" si="14"/>
        <v/>
      </c>
      <c r="G87" s="544" t="str">
        <f t="shared" si="15"/>
        <v/>
      </c>
      <c r="H87" s="545" t="str">
        <f t="shared" si="10"/>
        <v/>
      </c>
      <c r="I87" s="545" t="str">
        <f t="shared" si="10"/>
        <v/>
      </c>
      <c r="J87" s="545" t="str">
        <f t="shared" si="10"/>
        <v/>
      </c>
      <c r="K87" s="546"/>
      <c r="L87" s="605" t="e">
        <f t="shared" si="11"/>
        <v>#VALUE!</v>
      </c>
      <c r="M87" s="811"/>
      <c r="N87" s="261" t="s">
        <v>1228</v>
      </c>
    </row>
    <row r="88" spans="1:14" ht="38.25" customHeight="1" x14ac:dyDescent="0.2">
      <c r="A88" s="261"/>
      <c r="B88" s="548" t="str">
        <f t="shared" si="12"/>
        <v/>
      </c>
      <c r="C88" s="549" t="str">
        <f>IF(A88="","",VLOOKUP($A88,Plan3!$A$1524:$I$1975,3,0))</f>
        <v/>
      </c>
      <c r="D88" s="549" t="str">
        <f>IF(A88="","",VLOOKUP($A88,Plan3!$A$1524:$I$1975,8,0))</f>
        <v/>
      </c>
      <c r="E88" s="550" t="str">
        <f t="shared" si="13"/>
        <v/>
      </c>
      <c r="F88" s="550" t="str">
        <f t="shared" si="14"/>
        <v/>
      </c>
      <c r="G88" s="550" t="str">
        <f t="shared" si="15"/>
        <v/>
      </c>
      <c r="H88" s="551" t="str">
        <f t="shared" si="10"/>
        <v/>
      </c>
      <c r="I88" s="551" t="str">
        <f t="shared" si="10"/>
        <v/>
      </c>
      <c r="J88" s="551" t="str">
        <f t="shared" si="10"/>
        <v/>
      </c>
      <c r="K88" s="552"/>
      <c r="L88" s="605" t="e">
        <f t="shared" si="11"/>
        <v>#VALUE!</v>
      </c>
      <c r="M88" s="811"/>
      <c r="N88" s="261" t="s">
        <v>1229</v>
      </c>
    </row>
    <row r="89" spans="1:14" ht="38.25" customHeight="1" x14ac:dyDescent="0.2">
      <c r="A89" s="261"/>
      <c r="B89" s="543" t="str">
        <f t="shared" si="12"/>
        <v/>
      </c>
      <c r="C89" s="542" t="str">
        <f>IF(A89="","",VLOOKUP($A89,Plan3!$A$1524:$I$1975,3,0))</f>
        <v/>
      </c>
      <c r="D89" s="542" t="str">
        <f>IF(A89="","",VLOOKUP($A89,Plan3!$A$1524:$I$1975,8,0))</f>
        <v/>
      </c>
      <c r="E89" s="544" t="str">
        <f t="shared" si="13"/>
        <v/>
      </c>
      <c r="F89" s="544" t="str">
        <f t="shared" si="14"/>
        <v/>
      </c>
      <c r="G89" s="544" t="str">
        <f t="shared" si="15"/>
        <v/>
      </c>
      <c r="H89" s="545" t="str">
        <f t="shared" si="10"/>
        <v/>
      </c>
      <c r="I89" s="545" t="str">
        <f t="shared" si="10"/>
        <v/>
      </c>
      <c r="J89" s="545" t="str">
        <f t="shared" si="10"/>
        <v/>
      </c>
      <c r="K89" s="546"/>
      <c r="L89" s="605" t="e">
        <f t="shared" si="11"/>
        <v>#VALUE!</v>
      </c>
      <c r="M89" s="811"/>
      <c r="N89" s="261" t="s">
        <v>1230</v>
      </c>
    </row>
    <row r="90" spans="1:14" ht="38.25" customHeight="1" x14ac:dyDescent="0.2">
      <c r="A90" s="261"/>
      <c r="B90" s="548" t="str">
        <f t="shared" si="12"/>
        <v/>
      </c>
      <c r="C90" s="549" t="str">
        <f>IF(A90="","",VLOOKUP($A90,Plan3!$A$1524:$I$1975,3,0))</f>
        <v/>
      </c>
      <c r="D90" s="549" t="str">
        <f>IF(A90="","",VLOOKUP($A90,Plan3!$A$1524:$I$1975,8,0))</f>
        <v/>
      </c>
      <c r="E90" s="550" t="str">
        <f t="shared" si="13"/>
        <v/>
      </c>
      <c r="F90" s="550" t="str">
        <f t="shared" si="14"/>
        <v/>
      </c>
      <c r="G90" s="550" t="str">
        <f t="shared" si="15"/>
        <v/>
      </c>
      <c r="H90" s="551" t="str">
        <f t="shared" si="10"/>
        <v/>
      </c>
      <c r="I90" s="551" t="str">
        <f t="shared" si="10"/>
        <v/>
      </c>
      <c r="J90" s="551" t="str">
        <f t="shared" si="10"/>
        <v/>
      </c>
      <c r="K90" s="552"/>
      <c r="L90" s="605" t="e">
        <f t="shared" si="11"/>
        <v>#VALUE!</v>
      </c>
      <c r="M90" s="811"/>
      <c r="N90" s="261" t="s">
        <v>1231</v>
      </c>
    </row>
    <row r="91" spans="1:14" ht="38.25" customHeight="1" x14ac:dyDescent="0.2">
      <c r="A91" s="261"/>
      <c r="B91" s="543" t="str">
        <f t="shared" si="12"/>
        <v/>
      </c>
      <c r="C91" s="542" t="str">
        <f>IF(A91="","",VLOOKUP($A91,Plan3!$A$1524:$I$1975,3,0))</f>
        <v/>
      </c>
      <c r="D91" s="542" t="str">
        <f>IF(A91="","",VLOOKUP($A91,Plan3!$A$1524:$I$1975,8,0))</f>
        <v/>
      </c>
      <c r="E91" s="544" t="str">
        <f t="shared" si="13"/>
        <v/>
      </c>
      <c r="F91" s="544" t="str">
        <f t="shared" si="14"/>
        <v/>
      </c>
      <c r="G91" s="544" t="str">
        <f t="shared" si="15"/>
        <v/>
      </c>
      <c r="H91" s="545" t="str">
        <f t="shared" si="10"/>
        <v/>
      </c>
      <c r="I91" s="545" t="str">
        <f t="shared" si="10"/>
        <v/>
      </c>
      <c r="J91" s="545" t="str">
        <f t="shared" si="10"/>
        <v/>
      </c>
      <c r="K91" s="546"/>
      <c r="L91" s="605" t="e">
        <f t="shared" si="11"/>
        <v>#VALUE!</v>
      </c>
      <c r="M91" s="811"/>
      <c r="N91" s="261" t="s">
        <v>1230</v>
      </c>
    </row>
    <row r="92" spans="1:14" ht="38.25" customHeight="1" x14ac:dyDescent="0.2">
      <c r="A92" s="261"/>
      <c r="B92" s="548" t="str">
        <f t="shared" si="12"/>
        <v/>
      </c>
      <c r="C92" s="549" t="str">
        <f>IF(A92="","",VLOOKUP($A92,Plan3!$A$1524:$I$1975,3,0))</f>
        <v/>
      </c>
      <c r="D92" s="549" t="str">
        <f>IF(A92="","",VLOOKUP($A92,Plan3!$A$1524:$I$1975,8,0))</f>
        <v/>
      </c>
      <c r="E92" s="550" t="str">
        <f t="shared" si="13"/>
        <v/>
      </c>
      <c r="F92" s="550" t="str">
        <f t="shared" si="14"/>
        <v/>
      </c>
      <c r="G92" s="550" t="str">
        <f t="shared" si="15"/>
        <v/>
      </c>
      <c r="H92" s="551" t="str">
        <f t="shared" si="10"/>
        <v/>
      </c>
      <c r="I92" s="551" t="str">
        <f t="shared" si="10"/>
        <v/>
      </c>
      <c r="J92" s="551" t="str">
        <f t="shared" si="10"/>
        <v/>
      </c>
      <c r="K92" s="552"/>
      <c r="L92" s="605" t="e">
        <f t="shared" si="11"/>
        <v>#VALUE!</v>
      </c>
      <c r="M92" s="811"/>
      <c r="N92" s="261" t="s">
        <v>1232</v>
      </c>
    </row>
    <row r="93" spans="1:14" ht="38.25" customHeight="1" x14ac:dyDescent="0.2">
      <c r="A93" s="261"/>
      <c r="B93" s="543" t="str">
        <f t="shared" si="12"/>
        <v/>
      </c>
      <c r="C93" s="542" t="str">
        <f>IF(A93="","",VLOOKUP($A93,Plan3!$A$1524:$I$1975,3,0))</f>
        <v/>
      </c>
      <c r="D93" s="542" t="str">
        <f>IF(A93="","",VLOOKUP($A93,Plan3!$A$1524:$I$1975,8,0))</f>
        <v/>
      </c>
      <c r="E93" s="544" t="str">
        <f t="shared" si="13"/>
        <v/>
      </c>
      <c r="F93" s="544" t="str">
        <f t="shared" si="14"/>
        <v/>
      </c>
      <c r="G93" s="544" t="str">
        <f t="shared" si="15"/>
        <v/>
      </c>
      <c r="H93" s="545" t="str">
        <f t="shared" si="10"/>
        <v/>
      </c>
      <c r="I93" s="545" t="str">
        <f t="shared" si="10"/>
        <v/>
      </c>
      <c r="J93" s="545" t="str">
        <f t="shared" si="10"/>
        <v/>
      </c>
      <c r="K93" s="546"/>
      <c r="L93" s="605" t="e">
        <f t="shared" si="11"/>
        <v>#VALUE!</v>
      </c>
      <c r="M93" s="811"/>
      <c r="N93" s="261" t="s">
        <v>1233</v>
      </c>
    </row>
    <row r="94" spans="1:14" ht="38.25" customHeight="1" x14ac:dyDescent="0.2">
      <c r="A94" s="261"/>
      <c r="B94" s="548" t="str">
        <f t="shared" si="12"/>
        <v/>
      </c>
      <c r="C94" s="549" t="str">
        <f>IF(A94="","",VLOOKUP($A94,Plan3!$A$1524:$I$1975,3,0))</f>
        <v/>
      </c>
      <c r="D94" s="549" t="str">
        <f>IF(A94="","",VLOOKUP($A94,Plan3!$A$1524:$I$1975,8,0))</f>
        <v/>
      </c>
      <c r="E94" s="550" t="str">
        <f t="shared" si="13"/>
        <v/>
      </c>
      <c r="F94" s="550" t="str">
        <f t="shared" si="14"/>
        <v/>
      </c>
      <c r="G94" s="550" t="str">
        <f t="shared" si="15"/>
        <v/>
      </c>
      <c r="H94" s="551" t="str">
        <f t="shared" si="10"/>
        <v/>
      </c>
      <c r="I94" s="551" t="str">
        <f t="shared" si="10"/>
        <v/>
      </c>
      <c r="J94" s="551" t="str">
        <f t="shared" si="10"/>
        <v/>
      </c>
      <c r="K94" s="552"/>
      <c r="L94" s="605" t="e">
        <f t="shared" si="11"/>
        <v>#VALUE!</v>
      </c>
      <c r="M94" s="811"/>
      <c r="N94" s="261" t="s">
        <v>1234</v>
      </c>
    </row>
    <row r="95" spans="1:14" ht="38.25" customHeight="1" x14ac:dyDescent="0.2">
      <c r="A95" s="261"/>
      <c r="B95" s="543" t="str">
        <f t="shared" si="12"/>
        <v/>
      </c>
      <c r="C95" s="542" t="str">
        <f>IF(A95="","",VLOOKUP($A95,Plan3!$A$1524:$I$1975,3,0))</f>
        <v/>
      </c>
      <c r="D95" s="542" t="str">
        <f>IF(A95="","",VLOOKUP($A95,Plan3!$A$1524:$I$1975,8,0))</f>
        <v/>
      </c>
      <c r="E95" s="544" t="str">
        <f t="shared" si="13"/>
        <v/>
      </c>
      <c r="F95" s="544" t="str">
        <f t="shared" si="14"/>
        <v/>
      </c>
      <c r="G95" s="544" t="str">
        <f t="shared" si="15"/>
        <v/>
      </c>
      <c r="H95" s="545" t="str">
        <f t="shared" si="10"/>
        <v/>
      </c>
      <c r="I95" s="545" t="str">
        <f t="shared" si="10"/>
        <v/>
      </c>
      <c r="J95" s="545" t="str">
        <f t="shared" si="10"/>
        <v/>
      </c>
      <c r="K95" s="546"/>
      <c r="L95" s="605" t="e">
        <f t="shared" si="11"/>
        <v>#VALUE!</v>
      </c>
      <c r="M95" s="811"/>
      <c r="N95" s="261" t="s">
        <v>1235</v>
      </c>
    </row>
    <row r="96" spans="1:14" ht="38.25" customHeight="1" x14ac:dyDescent="0.2">
      <c r="A96" s="261"/>
      <c r="B96" s="548" t="str">
        <f t="shared" si="12"/>
        <v/>
      </c>
      <c r="C96" s="549" t="str">
        <f>IF(A96="","",VLOOKUP($A96,Plan3!$A$1524:$I$1975,3,0))</f>
        <v/>
      </c>
      <c r="D96" s="549" t="str">
        <f>IF(A96="","",VLOOKUP($A96,Plan3!$A$1524:$I$1975,8,0))</f>
        <v/>
      </c>
      <c r="E96" s="550" t="str">
        <f t="shared" si="13"/>
        <v/>
      </c>
      <c r="F96" s="550" t="str">
        <f t="shared" si="14"/>
        <v/>
      </c>
      <c r="G96" s="550" t="str">
        <f t="shared" si="15"/>
        <v/>
      </c>
      <c r="H96" s="551" t="str">
        <f t="shared" si="10"/>
        <v/>
      </c>
      <c r="I96" s="551" t="str">
        <f t="shared" si="10"/>
        <v/>
      </c>
      <c r="J96" s="551" t="str">
        <f t="shared" si="10"/>
        <v/>
      </c>
      <c r="K96" s="552"/>
      <c r="L96" s="605" t="e">
        <f t="shared" si="11"/>
        <v>#VALUE!</v>
      </c>
      <c r="M96" s="811"/>
      <c r="N96" s="261" t="s">
        <v>1236</v>
      </c>
    </row>
    <row r="97" spans="1:17" ht="38.25" customHeight="1" x14ac:dyDescent="0.2">
      <c r="A97" s="261"/>
      <c r="B97" s="543" t="str">
        <f t="shared" si="12"/>
        <v/>
      </c>
      <c r="C97" s="542" t="str">
        <f>IF(A97="","",VLOOKUP($A97,Plan3!$A$1524:$I$1975,3,0))</f>
        <v/>
      </c>
      <c r="D97" s="542" t="str">
        <f>IF(A97="","",VLOOKUP($A97,Plan3!$A$1524:$I$1975,8,0))</f>
        <v/>
      </c>
      <c r="E97" s="544" t="str">
        <f t="shared" si="13"/>
        <v/>
      </c>
      <c r="F97" s="544" t="str">
        <f t="shared" si="14"/>
        <v/>
      </c>
      <c r="G97" s="544" t="str">
        <f t="shared" si="15"/>
        <v/>
      </c>
      <c r="H97" s="545" t="str">
        <f t="shared" si="10"/>
        <v/>
      </c>
      <c r="I97" s="545" t="str">
        <f t="shared" si="10"/>
        <v/>
      </c>
      <c r="J97" s="545" t="str">
        <f t="shared" si="10"/>
        <v/>
      </c>
      <c r="K97" s="546"/>
      <c r="L97" s="605" t="e">
        <f t="shared" si="11"/>
        <v>#VALUE!</v>
      </c>
      <c r="M97" s="811"/>
      <c r="N97" s="261" t="s">
        <v>1237</v>
      </c>
    </row>
    <row r="98" spans="1:17" ht="38.25" customHeight="1" x14ac:dyDescent="0.2">
      <c r="A98" s="261"/>
      <c r="B98" s="548" t="str">
        <f t="shared" si="12"/>
        <v/>
      </c>
      <c r="C98" s="549" t="str">
        <f>IF(A98="","",VLOOKUP($A98,Plan3!$A$1524:$I$1975,3,0))</f>
        <v/>
      </c>
      <c r="D98" s="549" t="str">
        <f>IF(A98="","",VLOOKUP($A98,Plan3!$A$1524:$I$1975,8,0))</f>
        <v/>
      </c>
      <c r="E98" s="550" t="str">
        <f t="shared" si="13"/>
        <v/>
      </c>
      <c r="F98" s="550" t="str">
        <f t="shared" si="14"/>
        <v/>
      </c>
      <c r="G98" s="550" t="str">
        <f t="shared" si="15"/>
        <v/>
      </c>
      <c r="H98" s="551" t="str">
        <f t="shared" si="10"/>
        <v/>
      </c>
      <c r="I98" s="551" t="str">
        <f t="shared" si="10"/>
        <v/>
      </c>
      <c r="J98" s="551" t="str">
        <f t="shared" si="10"/>
        <v/>
      </c>
      <c r="K98" s="552"/>
      <c r="L98" s="605" t="e">
        <f t="shared" si="11"/>
        <v>#VALUE!</v>
      </c>
      <c r="M98" s="811"/>
      <c r="N98" s="261" t="s">
        <v>1238</v>
      </c>
    </row>
    <row r="99" spans="1:17" ht="38.25" customHeight="1" x14ac:dyDescent="0.2">
      <c r="A99" s="261"/>
      <c r="B99" s="543" t="str">
        <f t="shared" si="12"/>
        <v/>
      </c>
      <c r="C99" s="542" t="str">
        <f>IF(A99="","",VLOOKUP($A99,Plan3!$A$1524:$I$1975,3,0))</f>
        <v/>
      </c>
      <c r="D99" s="542" t="str">
        <f>IF(A99="","",VLOOKUP($A99,Plan3!$A$1524:$I$1975,8,0))</f>
        <v/>
      </c>
      <c r="E99" s="544" t="str">
        <f t="shared" si="13"/>
        <v/>
      </c>
      <c r="F99" s="544" t="str">
        <f t="shared" si="14"/>
        <v/>
      </c>
      <c r="G99" s="544" t="str">
        <f t="shared" si="15"/>
        <v/>
      </c>
      <c r="H99" s="545" t="str">
        <f t="shared" si="10"/>
        <v/>
      </c>
      <c r="I99" s="545" t="str">
        <f t="shared" si="10"/>
        <v/>
      </c>
      <c r="J99" s="545" t="str">
        <f t="shared" si="10"/>
        <v/>
      </c>
      <c r="K99" s="546"/>
      <c r="L99" s="605" t="e">
        <f t="shared" si="11"/>
        <v>#VALUE!</v>
      </c>
      <c r="M99" s="811"/>
      <c r="N99" s="261" t="s">
        <v>1239</v>
      </c>
    </row>
    <row r="100" spans="1:17" ht="38.25" customHeight="1" x14ac:dyDescent="0.2">
      <c r="A100" s="261"/>
      <c r="B100" s="548" t="str">
        <f t="shared" si="12"/>
        <v/>
      </c>
      <c r="C100" s="549" t="str">
        <f>IF(A100="","",VLOOKUP($A100,Plan3!$A$1524:$I$1975,3,0))</f>
        <v/>
      </c>
      <c r="D100" s="549" t="str">
        <f>IF(A100="","",VLOOKUP($A100,Plan3!$A$1524:$I$1975,8,0))</f>
        <v/>
      </c>
      <c r="E100" s="550" t="str">
        <f t="shared" si="13"/>
        <v/>
      </c>
      <c r="F100" s="550" t="str">
        <f t="shared" si="14"/>
        <v/>
      </c>
      <c r="G100" s="550" t="str">
        <f t="shared" si="15"/>
        <v/>
      </c>
      <c r="H100" s="551" t="str">
        <f t="shared" si="10"/>
        <v/>
      </c>
      <c r="I100" s="551" t="str">
        <f t="shared" si="10"/>
        <v/>
      </c>
      <c r="J100" s="551" t="str">
        <f t="shared" si="10"/>
        <v/>
      </c>
      <c r="K100" s="552"/>
      <c r="L100" s="605" t="e">
        <f t="shared" si="11"/>
        <v>#VALUE!</v>
      </c>
      <c r="M100" s="811"/>
      <c r="N100" s="261" t="s">
        <v>1240</v>
      </c>
    </row>
    <row r="101" spans="1:17" ht="38.25" customHeight="1" x14ac:dyDescent="0.2">
      <c r="A101" s="261"/>
      <c r="B101" s="543" t="str">
        <f t="shared" si="12"/>
        <v/>
      </c>
      <c r="C101" s="542" t="str">
        <f>IF(A101="","",VLOOKUP($A101,Plan3!$A$1524:$I$1975,3,0))</f>
        <v/>
      </c>
      <c r="D101" s="542" t="str">
        <f>IF(A101="","",VLOOKUP($A101,Plan3!$A$1524:$I$1975,8,0))</f>
        <v/>
      </c>
      <c r="E101" s="544" t="str">
        <f t="shared" si="13"/>
        <v/>
      </c>
      <c r="F101" s="544" t="str">
        <f t="shared" si="14"/>
        <v/>
      </c>
      <c r="G101" s="544" t="str">
        <f t="shared" si="15"/>
        <v/>
      </c>
      <c r="H101" s="545" t="str">
        <f t="shared" ref="H101:J105" si="16">IF($A101="","",IF(MONTH($L101)=MONTH(H$4),"Insumo na Obra",""))</f>
        <v/>
      </c>
      <c r="I101" s="545" t="str">
        <f t="shared" si="16"/>
        <v/>
      </c>
      <c r="J101" s="545" t="str">
        <f t="shared" si="16"/>
        <v/>
      </c>
      <c r="K101" s="546"/>
      <c r="L101" s="605" t="e">
        <f t="shared" si="11"/>
        <v>#VALUE!</v>
      </c>
      <c r="M101" s="811"/>
      <c r="N101" s="261" t="s">
        <v>1241</v>
      </c>
    </row>
    <row r="102" spans="1:17" ht="38.25" customHeight="1" x14ac:dyDescent="0.2">
      <c r="A102" s="261"/>
      <c r="B102" s="548" t="str">
        <f t="shared" si="12"/>
        <v/>
      </c>
      <c r="C102" s="549" t="str">
        <f>IF(A102="","",VLOOKUP($A102,Plan3!$A$1524:$I$1975,3,0))</f>
        <v/>
      </c>
      <c r="D102" s="549" t="str">
        <f>IF(A102="","",VLOOKUP($A102,Plan3!$A$1524:$I$1975,8,0))</f>
        <v/>
      </c>
      <c r="E102" s="550" t="str">
        <f t="shared" si="13"/>
        <v/>
      </c>
      <c r="F102" s="550" t="str">
        <f t="shared" si="14"/>
        <v/>
      </c>
      <c r="G102" s="550" t="str">
        <f t="shared" si="15"/>
        <v/>
      </c>
      <c r="H102" s="551" t="str">
        <f t="shared" si="16"/>
        <v/>
      </c>
      <c r="I102" s="551" t="str">
        <f t="shared" si="16"/>
        <v/>
      </c>
      <c r="J102" s="551" t="str">
        <f t="shared" si="16"/>
        <v/>
      </c>
      <c r="K102" s="552"/>
      <c r="L102" s="605" t="e">
        <f t="shared" si="11"/>
        <v>#VALUE!</v>
      </c>
      <c r="M102" s="811"/>
      <c r="N102" s="261" t="s">
        <v>1242</v>
      </c>
    </row>
    <row r="103" spans="1:17" ht="38.25" customHeight="1" x14ac:dyDescent="0.2">
      <c r="A103" s="261"/>
      <c r="B103" s="543" t="str">
        <f t="shared" si="12"/>
        <v/>
      </c>
      <c r="C103" s="542" t="str">
        <f>IF(A103="","",VLOOKUP($A103,Plan3!$A$1524:$I$1975,3,0))</f>
        <v/>
      </c>
      <c r="D103" s="542" t="str">
        <f>IF(A103="","",VLOOKUP($A103,Plan3!$A$1524:$I$1975,8,0))</f>
        <v/>
      </c>
      <c r="E103" s="544" t="str">
        <f t="shared" si="13"/>
        <v/>
      </c>
      <c r="F103" s="544" t="str">
        <f t="shared" si="14"/>
        <v/>
      </c>
      <c r="G103" s="544" t="str">
        <f t="shared" si="15"/>
        <v/>
      </c>
      <c r="H103" s="545" t="str">
        <f t="shared" si="16"/>
        <v/>
      </c>
      <c r="I103" s="545" t="str">
        <f t="shared" si="16"/>
        <v/>
      </c>
      <c r="J103" s="545" t="str">
        <f t="shared" si="16"/>
        <v/>
      </c>
      <c r="K103" s="546"/>
      <c r="L103" s="605" t="e">
        <f t="shared" si="11"/>
        <v>#VALUE!</v>
      </c>
      <c r="M103" s="811"/>
      <c r="N103" s="261" t="s">
        <v>1243</v>
      </c>
    </row>
    <row r="104" spans="1:17" ht="38.25" customHeight="1" x14ac:dyDescent="0.2">
      <c r="A104" s="261"/>
      <c r="B104" s="548" t="str">
        <f t="shared" si="12"/>
        <v/>
      </c>
      <c r="C104" s="549" t="str">
        <f>IF(A104="","",VLOOKUP($A104,Plan3!$A$1524:$I$1975,3,0))</f>
        <v/>
      </c>
      <c r="D104" s="549" t="str">
        <f>IF(A104="","",VLOOKUP($A104,Plan3!$A$1524:$I$1975,8,0))</f>
        <v/>
      </c>
      <c r="E104" s="550" t="str">
        <f t="shared" si="13"/>
        <v/>
      </c>
      <c r="F104" s="550" t="str">
        <f t="shared" si="14"/>
        <v/>
      </c>
      <c r="G104" s="550" t="str">
        <f t="shared" si="15"/>
        <v/>
      </c>
      <c r="H104" s="551" t="str">
        <f t="shared" si="16"/>
        <v/>
      </c>
      <c r="I104" s="551" t="str">
        <f t="shared" si="16"/>
        <v/>
      </c>
      <c r="J104" s="551" t="str">
        <f t="shared" si="16"/>
        <v/>
      </c>
      <c r="K104" s="552"/>
      <c r="L104" s="605" t="e">
        <f t="shared" si="11"/>
        <v>#VALUE!</v>
      </c>
      <c r="M104" s="811"/>
      <c r="N104" s="261" t="s">
        <v>1244</v>
      </c>
    </row>
    <row r="105" spans="1:17" ht="38.25" customHeight="1" x14ac:dyDescent="0.2">
      <c r="A105" s="261"/>
      <c r="B105" s="543" t="str">
        <f t="shared" si="12"/>
        <v/>
      </c>
      <c r="C105" s="542" t="str">
        <f>IF(A105="","",VLOOKUP($A105,Plan3!$A$1524:$I$1975,3,0))</f>
        <v/>
      </c>
      <c r="D105" s="542" t="str">
        <f>IF(A105="","",VLOOKUP($A105,Plan3!$A$1524:$I$1975,8,0))</f>
        <v/>
      </c>
      <c r="E105" s="544" t="str">
        <f t="shared" si="13"/>
        <v/>
      </c>
      <c r="F105" s="544" t="str">
        <f t="shared" si="14"/>
        <v/>
      </c>
      <c r="G105" s="544" t="str">
        <f t="shared" si="15"/>
        <v/>
      </c>
      <c r="H105" s="545" t="str">
        <f t="shared" si="16"/>
        <v/>
      </c>
      <c r="I105" s="545" t="str">
        <f t="shared" si="16"/>
        <v/>
      </c>
      <c r="J105" s="545" t="str">
        <f t="shared" si="16"/>
        <v/>
      </c>
      <c r="K105" s="546"/>
      <c r="L105" s="605" t="e">
        <f t="shared" si="11"/>
        <v>#VALUE!</v>
      </c>
      <c r="M105" s="811"/>
      <c r="N105" s="261" t="s">
        <v>1245</v>
      </c>
    </row>
    <row r="106" spans="1:17" ht="38.25" customHeight="1" x14ac:dyDescent="0.2">
      <c r="A106" s="261"/>
      <c r="B106" s="548"/>
      <c r="C106" s="549"/>
      <c r="D106" s="549"/>
      <c r="E106" s="550"/>
      <c r="F106" s="550"/>
      <c r="G106" s="550"/>
      <c r="H106" s="551"/>
      <c r="I106" s="551"/>
      <c r="J106" s="551"/>
      <c r="K106" s="552"/>
      <c r="L106" s="605"/>
      <c r="M106" s="811"/>
      <c r="N106" s="261"/>
    </row>
    <row r="107" spans="1:17" ht="38.25" customHeight="1" x14ac:dyDescent="0.2">
      <c r="A107" s="261"/>
      <c r="B107" s="543"/>
      <c r="C107" s="542"/>
      <c r="D107" s="542"/>
      <c r="E107" s="544"/>
      <c r="F107" s="544"/>
      <c r="G107" s="544"/>
      <c r="H107" s="545"/>
      <c r="I107" s="545"/>
      <c r="J107" s="545"/>
      <c r="K107" s="546"/>
      <c r="L107" s="605"/>
      <c r="M107" s="811"/>
      <c r="N107" s="261"/>
    </row>
    <row r="108" spans="1:17" ht="38.25" customHeight="1" x14ac:dyDescent="0.2">
      <c r="A108" s="261"/>
      <c r="B108" s="548"/>
      <c r="C108" s="549"/>
      <c r="D108" s="549"/>
      <c r="E108" s="550"/>
      <c r="F108" s="550"/>
      <c r="G108" s="550"/>
      <c r="H108" s="551"/>
      <c r="I108" s="551"/>
      <c r="J108" s="551"/>
      <c r="K108" s="552"/>
      <c r="L108" s="605"/>
      <c r="M108" s="811"/>
      <c r="N108" s="261"/>
    </row>
    <row r="109" spans="1:17" ht="38.25" customHeight="1" x14ac:dyDescent="0.2">
      <c r="A109" s="261"/>
      <c r="B109" s="543"/>
      <c r="C109" s="542"/>
      <c r="D109" s="542"/>
      <c r="E109" s="544"/>
      <c r="F109" s="544"/>
      <c r="G109" s="544"/>
      <c r="H109" s="545"/>
      <c r="I109" s="545"/>
      <c r="J109" s="545"/>
      <c r="K109" s="546"/>
      <c r="L109" s="605"/>
      <c r="M109" s="811"/>
      <c r="N109" s="261"/>
    </row>
    <row r="110" spans="1:17" ht="38.25" customHeight="1" x14ac:dyDescent="0.2">
      <c r="A110" s="261"/>
      <c r="B110" s="1194" t="s">
        <v>728</v>
      </c>
      <c r="C110" s="1195"/>
      <c r="D110" s="1195"/>
      <c r="E110" s="1195"/>
      <c r="F110" s="1195"/>
      <c r="G110" s="1195"/>
      <c r="H110" s="1195"/>
      <c r="I110" s="1195"/>
      <c r="J110" s="1195"/>
      <c r="K110" s="1196"/>
      <c r="M110" s="811"/>
      <c r="N110" s="791"/>
      <c r="O110" s="539"/>
      <c r="P110" s="539"/>
      <c r="Q110" s="539"/>
    </row>
    <row r="111" spans="1:17" ht="38.25" customHeight="1" x14ac:dyDescent="0.2">
      <c r="A111" s="261"/>
      <c r="B111" s="562" t="s">
        <v>5</v>
      </c>
      <c r="C111" s="563" t="s">
        <v>4</v>
      </c>
      <c r="D111" s="1197" t="s">
        <v>39</v>
      </c>
      <c r="E111" s="1198"/>
      <c r="F111" s="1198"/>
      <c r="G111" s="1198"/>
      <c r="H111" s="1198"/>
      <c r="I111" s="1198"/>
      <c r="J111" s="1198"/>
      <c r="K111" s="1199"/>
      <c r="M111" s="811"/>
      <c r="N111" s="791"/>
      <c r="O111" s="539"/>
      <c r="P111" s="539"/>
      <c r="Q111" s="539"/>
    </row>
    <row r="112" spans="1:17" ht="38.25" customHeight="1" x14ac:dyDescent="0.2">
      <c r="A112" s="261"/>
      <c r="B112" s="548">
        <v>1</v>
      </c>
      <c r="C112" s="549"/>
      <c r="D112" s="1200"/>
      <c r="E112" s="1201"/>
      <c r="F112" s="1201"/>
      <c r="G112" s="1201"/>
      <c r="H112" s="1201"/>
      <c r="I112" s="1201"/>
      <c r="J112" s="1201"/>
      <c r="K112" s="1202"/>
      <c r="M112" s="811"/>
      <c r="N112" s="791"/>
      <c r="O112" s="539"/>
      <c r="P112" s="539"/>
      <c r="Q112" s="539"/>
    </row>
    <row r="113" spans="1:17" ht="38.25" customHeight="1" x14ac:dyDescent="0.2">
      <c r="A113" s="261"/>
      <c r="B113" s="543">
        <v>2</v>
      </c>
      <c r="C113" s="542"/>
      <c r="D113" s="1188"/>
      <c r="E113" s="1189"/>
      <c r="F113" s="1189"/>
      <c r="G113" s="1189"/>
      <c r="H113" s="1189"/>
      <c r="I113" s="1189"/>
      <c r="J113" s="1189"/>
      <c r="K113" s="1190"/>
      <c r="M113" s="811"/>
      <c r="N113" s="791"/>
      <c r="O113" s="539"/>
      <c r="P113" s="539"/>
      <c r="Q113" s="539"/>
    </row>
    <row r="114" spans="1:17" ht="38.25" customHeight="1" x14ac:dyDescent="0.2">
      <c r="A114" s="261"/>
      <c r="B114" s="548">
        <v>3</v>
      </c>
      <c r="C114" s="549"/>
      <c r="D114" s="1203"/>
      <c r="E114" s="1204"/>
      <c r="F114" s="1204"/>
      <c r="G114" s="1204"/>
      <c r="H114" s="1204"/>
      <c r="I114" s="1204"/>
      <c r="J114" s="1204"/>
      <c r="K114" s="1205"/>
      <c r="M114" s="811"/>
      <c r="N114" s="791"/>
      <c r="O114" s="539"/>
      <c r="P114" s="539"/>
      <c r="Q114" s="539"/>
    </row>
    <row r="115" spans="1:17" ht="38.25" customHeight="1" x14ac:dyDescent="0.2">
      <c r="A115" s="261"/>
      <c r="B115" s="543">
        <v>4</v>
      </c>
      <c r="C115" s="542"/>
      <c r="D115" s="1188"/>
      <c r="E115" s="1189"/>
      <c r="F115" s="1189"/>
      <c r="G115" s="1189"/>
      <c r="H115" s="1189"/>
      <c r="I115" s="1189"/>
      <c r="J115" s="1189"/>
      <c r="K115" s="1190"/>
      <c r="M115" s="811"/>
      <c r="N115" s="791"/>
      <c r="O115" s="539"/>
      <c r="P115" s="539"/>
      <c r="Q115" s="539"/>
    </row>
    <row r="116" spans="1:17" ht="38.25" customHeight="1" thickBot="1" x14ac:dyDescent="0.25">
      <c r="A116" s="261"/>
      <c r="B116" s="553">
        <v>5</v>
      </c>
      <c r="C116" s="554"/>
      <c r="D116" s="1191"/>
      <c r="E116" s="1192"/>
      <c r="F116" s="1192"/>
      <c r="G116" s="1192"/>
      <c r="H116" s="1192"/>
      <c r="I116" s="1192"/>
      <c r="J116" s="1192"/>
      <c r="K116" s="1193"/>
      <c r="M116" s="811"/>
      <c r="N116" s="791"/>
      <c r="O116" s="539"/>
      <c r="P116" s="539"/>
      <c r="Q116" s="539"/>
    </row>
    <row r="117" spans="1:17" ht="13.5" thickTop="1" x14ac:dyDescent="0.2">
      <c r="A117" s="261"/>
      <c r="M117" s="811"/>
      <c r="N117" s="791"/>
      <c r="O117" s="539"/>
      <c r="P117" s="539"/>
      <c r="Q117" s="539"/>
    </row>
    <row r="118" spans="1:17" ht="12.75" x14ac:dyDescent="0.2">
      <c r="A118" s="261"/>
      <c r="M118" s="811"/>
      <c r="N118" s="791"/>
      <c r="O118" s="539"/>
      <c r="P118" s="539"/>
      <c r="Q118" s="539"/>
    </row>
    <row r="119" spans="1:17" ht="12.75" x14ac:dyDescent="0.2">
      <c r="A119" s="261"/>
      <c r="M119" s="811"/>
      <c r="N119" s="791"/>
      <c r="O119" s="539"/>
      <c r="P119" s="539"/>
      <c r="Q119" s="539"/>
    </row>
    <row r="120" spans="1:17" ht="12.75" x14ac:dyDescent="0.2">
      <c r="A120" s="261"/>
      <c r="M120" s="811"/>
    </row>
    <row r="121" spans="1:17" ht="12.75" x14ac:dyDescent="0.2">
      <c r="A121" s="261"/>
      <c r="M121" s="811"/>
    </row>
    <row r="122" spans="1:17" ht="12.75" x14ac:dyDescent="0.2">
      <c r="A122" s="261"/>
      <c r="M122" s="811"/>
    </row>
    <row r="123" spans="1:17" ht="12.75" x14ac:dyDescent="0.2">
      <c r="A123" s="261"/>
      <c r="M123" s="811"/>
    </row>
    <row r="124" spans="1:17" ht="12.75" x14ac:dyDescent="0.2">
      <c r="A124" s="261"/>
      <c r="M124" s="811"/>
    </row>
    <row r="125" spans="1:17" ht="12.75" x14ac:dyDescent="0.2">
      <c r="A125" s="261"/>
      <c r="M125" s="811"/>
    </row>
    <row r="126" spans="1:17" ht="12.75" x14ac:dyDescent="0.2">
      <c r="A126" s="261"/>
      <c r="M126" s="811"/>
    </row>
    <row r="127" spans="1:17" ht="12.75" x14ac:dyDescent="0.2">
      <c r="A127" s="261"/>
      <c r="M127" s="811"/>
    </row>
    <row r="128" spans="1:17" ht="12.75" x14ac:dyDescent="0.2">
      <c r="A128" s="261"/>
      <c r="M128" s="811"/>
    </row>
    <row r="129" spans="1:13" ht="12.75" x14ac:dyDescent="0.2">
      <c r="A129" s="261"/>
      <c r="M129" s="811"/>
    </row>
    <row r="130" spans="1:13" ht="12.75" x14ac:dyDescent="0.2">
      <c r="A130" s="261"/>
      <c r="M130" s="811"/>
    </row>
    <row r="131" spans="1:13" ht="12.75" x14ac:dyDescent="0.2">
      <c r="A131" s="261"/>
      <c r="M131" s="811"/>
    </row>
    <row r="132" spans="1:13" ht="12.75" x14ac:dyDescent="0.2">
      <c r="A132" s="261"/>
      <c r="M132" s="809"/>
    </row>
    <row r="133" spans="1:13" ht="12.75" x14ac:dyDescent="0.2">
      <c r="A133" s="261"/>
      <c r="M133" s="809"/>
    </row>
    <row r="134" spans="1:13" ht="12.75" x14ac:dyDescent="0.2">
      <c r="A134" s="261"/>
      <c r="M134" s="809"/>
    </row>
    <row r="135" spans="1:13" ht="12.75" x14ac:dyDescent="0.2">
      <c r="A135" s="261"/>
      <c r="M135" s="809"/>
    </row>
    <row r="136" spans="1:13" ht="12.75" x14ac:dyDescent="0.2">
      <c r="A136" s="261"/>
      <c r="M136" s="809"/>
    </row>
    <row r="137" spans="1:13" ht="12.75" x14ac:dyDescent="0.2">
      <c r="A137" s="261"/>
      <c r="M137" s="809"/>
    </row>
    <row r="138" spans="1:13" ht="12.75" x14ac:dyDescent="0.2">
      <c r="A138" s="261"/>
      <c r="M138" s="809"/>
    </row>
    <row r="139" spans="1:13" ht="12.75" x14ac:dyDescent="0.2">
      <c r="A139" s="261"/>
      <c r="M139" s="809"/>
    </row>
    <row r="140" spans="1:13" x14ac:dyDescent="0.2">
      <c r="M140" s="809"/>
    </row>
    <row r="141" spans="1:13" x14ac:dyDescent="0.2">
      <c r="M141" s="809"/>
    </row>
    <row r="142" spans="1:13" x14ac:dyDescent="0.2">
      <c r="M142" s="809"/>
    </row>
    <row r="143" spans="1:13" x14ac:dyDescent="0.2">
      <c r="M143" s="809"/>
    </row>
    <row r="144" spans="1:13" x14ac:dyDescent="0.2">
      <c r="M144" s="809"/>
    </row>
    <row r="145" spans="13:13" x14ac:dyDescent="0.2">
      <c r="M145" s="809"/>
    </row>
    <row r="146" spans="13:13" x14ac:dyDescent="0.2">
      <c r="M146" s="809"/>
    </row>
    <row r="147" spans="13:13" x14ac:dyDescent="0.2">
      <c r="M147" s="809"/>
    </row>
    <row r="148" spans="13:13" x14ac:dyDescent="0.2">
      <c r="M148" s="809"/>
    </row>
    <row r="149" spans="13:13" x14ac:dyDescent="0.2">
      <c r="M149" s="809"/>
    </row>
    <row r="150" spans="13:13" x14ac:dyDescent="0.2">
      <c r="M150" s="809"/>
    </row>
    <row r="151" spans="13:13" x14ac:dyDescent="0.2">
      <c r="M151" s="809"/>
    </row>
    <row r="152" spans="13:13" x14ac:dyDescent="0.2">
      <c r="M152" s="809"/>
    </row>
    <row r="153" spans="13:13" x14ac:dyDescent="0.2">
      <c r="M153" s="809"/>
    </row>
    <row r="154" spans="13:13" x14ac:dyDescent="0.2">
      <c r="M154" s="809"/>
    </row>
    <row r="155" spans="13:13" x14ac:dyDescent="0.2">
      <c r="M155" s="809"/>
    </row>
    <row r="156" spans="13:13" x14ac:dyDescent="0.2">
      <c r="M156" s="809"/>
    </row>
    <row r="157" spans="13:13" x14ac:dyDescent="0.2">
      <c r="M157" s="809"/>
    </row>
    <row r="158" spans="13:13" x14ac:dyDescent="0.2">
      <c r="M158" s="809"/>
    </row>
    <row r="159" spans="13:13" x14ac:dyDescent="0.2">
      <c r="M159" s="809"/>
    </row>
    <row r="160" spans="13:13" x14ac:dyDescent="0.2">
      <c r="M160" s="809"/>
    </row>
    <row r="161" spans="13:13" x14ac:dyDescent="0.2">
      <c r="M161" s="809"/>
    </row>
    <row r="162" spans="13:13" x14ac:dyDescent="0.2">
      <c r="M162" s="809"/>
    </row>
    <row r="163" spans="13:13" x14ac:dyDescent="0.2">
      <c r="M163" s="809"/>
    </row>
    <row r="164" spans="13:13" x14ac:dyDescent="0.2">
      <c r="M164" s="809"/>
    </row>
    <row r="165" spans="13:13" x14ac:dyDescent="0.2">
      <c r="M165" s="809"/>
    </row>
    <row r="166" spans="13:13" x14ac:dyDescent="0.2">
      <c r="M166" s="809"/>
    </row>
    <row r="167" spans="13:13" x14ac:dyDescent="0.2">
      <c r="M167" s="809"/>
    </row>
    <row r="168" spans="13:13" x14ac:dyDescent="0.2">
      <c r="M168" s="809"/>
    </row>
    <row r="169" spans="13:13" x14ac:dyDescent="0.2">
      <c r="M169" s="809"/>
    </row>
    <row r="170" spans="13:13" x14ac:dyDescent="0.2">
      <c r="M170" s="809"/>
    </row>
    <row r="171" spans="13:13" x14ac:dyDescent="0.2">
      <c r="M171" s="809"/>
    </row>
    <row r="172" spans="13:13" x14ac:dyDescent="0.2">
      <c r="M172" s="809"/>
    </row>
    <row r="173" spans="13:13" x14ac:dyDescent="0.2">
      <c r="M173" s="809"/>
    </row>
    <row r="174" spans="13:13" x14ac:dyDescent="0.2">
      <c r="M174" s="809"/>
    </row>
    <row r="175" spans="13:13" x14ac:dyDescent="0.2">
      <c r="M175" s="809"/>
    </row>
    <row r="176" spans="13:13" x14ac:dyDescent="0.2">
      <c r="M176" s="809"/>
    </row>
    <row r="177" spans="13:13" x14ac:dyDescent="0.2">
      <c r="M177" s="809"/>
    </row>
    <row r="178" spans="13:13" x14ac:dyDescent="0.2">
      <c r="M178" s="809"/>
    </row>
    <row r="179" spans="13:13" x14ac:dyDescent="0.2">
      <c r="M179" s="809"/>
    </row>
    <row r="180" spans="13:13" x14ac:dyDescent="0.2">
      <c r="M180" s="809"/>
    </row>
    <row r="181" spans="13:13" x14ac:dyDescent="0.2">
      <c r="M181" s="809"/>
    </row>
    <row r="182" spans="13:13" x14ac:dyDescent="0.2">
      <c r="M182" s="809"/>
    </row>
    <row r="183" spans="13:13" x14ac:dyDescent="0.2">
      <c r="M183" s="809"/>
    </row>
    <row r="184" spans="13:13" x14ac:dyDescent="0.2">
      <c r="M184" s="809"/>
    </row>
    <row r="185" spans="13:13" x14ac:dyDescent="0.2">
      <c r="M185" s="809"/>
    </row>
    <row r="186" spans="13:13" x14ac:dyDescent="0.2">
      <c r="M186" s="809"/>
    </row>
    <row r="187" spans="13:13" x14ac:dyDescent="0.2">
      <c r="M187" s="809"/>
    </row>
  </sheetData>
  <mergeCells count="14">
    <mergeCell ref="K3:K4"/>
    <mergeCell ref="D3:D4"/>
    <mergeCell ref="D1:H2"/>
    <mergeCell ref="B3:B4"/>
    <mergeCell ref="C3:C4"/>
    <mergeCell ref="E3:G3"/>
    <mergeCell ref="H3:J3"/>
    <mergeCell ref="D115:K115"/>
    <mergeCell ref="D116:K116"/>
    <mergeCell ref="B110:K110"/>
    <mergeCell ref="D111:K111"/>
    <mergeCell ref="D112:K112"/>
    <mergeCell ref="D113:K113"/>
    <mergeCell ref="D114:K114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B12" sqref="B12"/>
    </sheetView>
  </sheetViews>
  <sheetFormatPr defaultRowHeight="12.75" x14ac:dyDescent="0.2"/>
  <cols>
    <col min="1" max="1" width="9.140625" style="130"/>
  </cols>
  <sheetData>
    <row r="1" spans="1:2" x14ac:dyDescent="0.2">
      <c r="A1" s="862" t="s">
        <v>1553</v>
      </c>
      <c r="B1" s="261" t="s">
        <v>1750</v>
      </c>
    </row>
    <row r="2" spans="1:2" x14ac:dyDescent="0.2">
      <c r="A2" s="862" t="s">
        <v>1553</v>
      </c>
      <c r="B2" s="261" t="s">
        <v>1751</v>
      </c>
    </row>
    <row r="3" spans="1:2" x14ac:dyDescent="0.2">
      <c r="A3" s="862" t="s">
        <v>1553</v>
      </c>
      <c r="B3" s="261" t="s">
        <v>1752</v>
      </c>
    </row>
    <row r="4" spans="1:2" x14ac:dyDescent="0.2">
      <c r="A4" s="862" t="s">
        <v>1549</v>
      </c>
      <c r="B4" s="261" t="s">
        <v>1753</v>
      </c>
    </row>
    <row r="5" spans="1:2" x14ac:dyDescent="0.2">
      <c r="A5" s="862" t="s">
        <v>1553</v>
      </c>
      <c r="B5" s="261" t="s">
        <v>1169</v>
      </c>
    </row>
    <row r="6" spans="1:2" x14ac:dyDescent="0.2">
      <c r="A6" s="862" t="s">
        <v>1553</v>
      </c>
      <c r="B6" s="261" t="s">
        <v>1754</v>
      </c>
    </row>
    <row r="7" spans="1:2" x14ac:dyDescent="0.2">
      <c r="A7" s="862" t="s">
        <v>1553</v>
      </c>
      <c r="B7" s="261" t="s">
        <v>1156</v>
      </c>
    </row>
    <row r="8" spans="1:2" x14ac:dyDescent="0.2">
      <c r="A8" s="862" t="s">
        <v>1553</v>
      </c>
      <c r="B8" s="261" t="s">
        <v>1755</v>
      </c>
    </row>
    <row r="9" spans="1:2" x14ac:dyDescent="0.2">
      <c r="A9" s="862" t="s">
        <v>1553</v>
      </c>
      <c r="B9" s="261" t="s">
        <v>1158</v>
      </c>
    </row>
    <row r="10" spans="1:2" x14ac:dyDescent="0.2">
      <c r="A10" s="862" t="s">
        <v>1553</v>
      </c>
      <c r="B10" s="261" t="s">
        <v>1756</v>
      </c>
    </row>
    <row r="11" spans="1:2" x14ac:dyDescent="0.2">
      <c r="A11" s="862" t="s">
        <v>1553</v>
      </c>
      <c r="B11" s="261" t="s">
        <v>1171</v>
      </c>
    </row>
    <row r="12" spans="1:2" x14ac:dyDescent="0.2">
      <c r="A12" s="862" t="s">
        <v>1553</v>
      </c>
      <c r="B12" s="261" t="s">
        <v>1175</v>
      </c>
    </row>
    <row r="13" spans="1:2" x14ac:dyDescent="0.2">
      <c r="A13" s="862" t="s">
        <v>1553</v>
      </c>
      <c r="B13" s="261" t="s">
        <v>1178</v>
      </c>
    </row>
    <row r="14" spans="1:2" x14ac:dyDescent="0.2">
      <c r="A14" s="862" t="s">
        <v>1553</v>
      </c>
      <c r="B14" s="261" t="s">
        <v>1179</v>
      </c>
    </row>
    <row r="15" spans="1:2" x14ac:dyDescent="0.2">
      <c r="A15" s="862" t="s">
        <v>1553</v>
      </c>
      <c r="B15" s="261" t="s">
        <v>1757</v>
      </c>
    </row>
    <row r="16" spans="1:2" x14ac:dyDescent="0.2">
      <c r="A16" s="862" t="s">
        <v>1553</v>
      </c>
      <c r="B16" s="261" t="s">
        <v>1758</v>
      </c>
    </row>
    <row r="17" spans="1:2" x14ac:dyDescent="0.2">
      <c r="A17" s="862" t="s">
        <v>1549</v>
      </c>
      <c r="B17" s="261" t="s">
        <v>1759</v>
      </c>
    </row>
    <row r="18" spans="1:2" x14ac:dyDescent="0.2">
      <c r="A18" s="862" t="s">
        <v>1549</v>
      </c>
      <c r="B18" s="261" t="s">
        <v>1760</v>
      </c>
    </row>
    <row r="19" spans="1:2" x14ac:dyDescent="0.2">
      <c r="A19" s="862" t="s">
        <v>1549</v>
      </c>
      <c r="B19" s="261" t="s">
        <v>1761</v>
      </c>
    </row>
    <row r="20" spans="1:2" x14ac:dyDescent="0.2">
      <c r="A20" s="862" t="s">
        <v>1549</v>
      </c>
      <c r="B20" s="261" t="s">
        <v>1139</v>
      </c>
    </row>
    <row r="21" spans="1:2" x14ac:dyDescent="0.2">
      <c r="A21" s="862" t="s">
        <v>1549</v>
      </c>
      <c r="B21" s="261" t="s">
        <v>1140</v>
      </c>
    </row>
    <row r="22" spans="1:2" x14ac:dyDescent="0.2">
      <c r="A22" s="862" t="s">
        <v>1549</v>
      </c>
      <c r="B22" s="261" t="s">
        <v>1762</v>
      </c>
    </row>
    <row r="23" spans="1:2" x14ac:dyDescent="0.2">
      <c r="A23" s="862" t="s">
        <v>1549</v>
      </c>
      <c r="B23" s="261" t="s">
        <v>1204</v>
      </c>
    </row>
    <row r="24" spans="1:2" x14ac:dyDescent="0.2">
      <c r="A24" s="862" t="s">
        <v>1549</v>
      </c>
      <c r="B24" s="261" t="s">
        <v>1141</v>
      </c>
    </row>
    <row r="25" spans="1:2" x14ac:dyDescent="0.2">
      <c r="A25" s="862" t="s">
        <v>1549</v>
      </c>
      <c r="B25" s="261" t="s">
        <v>1763</v>
      </c>
    </row>
    <row r="26" spans="1:2" x14ac:dyDescent="0.2">
      <c r="A26" s="862" t="s">
        <v>1549</v>
      </c>
      <c r="B26" s="261" t="s">
        <v>1209</v>
      </c>
    </row>
    <row r="27" spans="1:2" x14ac:dyDescent="0.2">
      <c r="A27" s="862" t="s">
        <v>1549</v>
      </c>
      <c r="B27" s="261" t="s">
        <v>1212</v>
      </c>
    </row>
    <row r="28" spans="1:2" x14ac:dyDescent="0.2">
      <c r="A28" s="862" t="s">
        <v>1549</v>
      </c>
      <c r="B28" s="261" t="s">
        <v>1764</v>
      </c>
    </row>
    <row r="29" spans="1:2" x14ac:dyDescent="0.2">
      <c r="A29" s="862" t="s">
        <v>1549</v>
      </c>
      <c r="B29" s="261" t="s">
        <v>1765</v>
      </c>
    </row>
    <row r="30" spans="1:2" x14ac:dyDescent="0.2">
      <c r="A30" s="862" t="s">
        <v>1549</v>
      </c>
      <c r="B30" s="261" t="s">
        <v>1766</v>
      </c>
    </row>
    <row r="31" spans="1:2" x14ac:dyDescent="0.2">
      <c r="A31" s="862" t="s">
        <v>1549</v>
      </c>
      <c r="B31" s="261" t="s">
        <v>1767</v>
      </c>
    </row>
    <row r="32" spans="1:2" x14ac:dyDescent="0.2">
      <c r="A32" s="862" t="s">
        <v>1549</v>
      </c>
      <c r="B32" s="261" t="s">
        <v>1768</v>
      </c>
    </row>
    <row r="33" spans="1:2" x14ac:dyDescent="0.2">
      <c r="A33" s="862" t="s">
        <v>1549</v>
      </c>
      <c r="B33" s="261" t="s">
        <v>1769</v>
      </c>
    </row>
    <row r="34" spans="1:2" x14ac:dyDescent="0.2">
      <c r="A34" s="862" t="s">
        <v>1549</v>
      </c>
      <c r="B34" s="261" t="s">
        <v>1143</v>
      </c>
    </row>
    <row r="35" spans="1:2" x14ac:dyDescent="0.2">
      <c r="A35" s="862" t="s">
        <v>1549</v>
      </c>
      <c r="B35" s="261" t="s">
        <v>1770</v>
      </c>
    </row>
    <row r="36" spans="1:2" x14ac:dyDescent="0.2">
      <c r="A36" s="862" t="s">
        <v>1549</v>
      </c>
      <c r="B36" s="261" t="s">
        <v>1144</v>
      </c>
    </row>
    <row r="37" spans="1:2" x14ac:dyDescent="0.2">
      <c r="A37" s="862" t="s">
        <v>1549</v>
      </c>
      <c r="B37" s="261" t="s">
        <v>1771</v>
      </c>
    </row>
    <row r="38" spans="1:2" x14ac:dyDescent="0.2">
      <c r="A38" s="862" t="s">
        <v>1549</v>
      </c>
      <c r="B38" s="261" t="s">
        <v>1772</v>
      </c>
    </row>
    <row r="39" spans="1:2" x14ac:dyDescent="0.2">
      <c r="A39" s="845"/>
      <c r="B39" s="261"/>
    </row>
    <row r="40" spans="1:2" x14ac:dyDescent="0.2">
      <c r="A40" s="845"/>
      <c r="B40" s="261"/>
    </row>
    <row r="41" spans="1:2" x14ac:dyDescent="0.2">
      <c r="A41" s="845"/>
      <c r="B41" s="261"/>
    </row>
    <row r="42" spans="1:2" x14ac:dyDescent="0.2">
      <c r="A42" s="845"/>
      <c r="B42" s="261"/>
    </row>
    <row r="43" spans="1:2" x14ac:dyDescent="0.2">
      <c r="A43" s="845"/>
      <c r="B43" s="261"/>
    </row>
    <row r="44" spans="1:2" x14ac:dyDescent="0.2">
      <c r="A44" s="845"/>
      <c r="B44" s="261"/>
    </row>
    <row r="45" spans="1:2" x14ac:dyDescent="0.2">
      <c r="A45" s="845"/>
      <c r="B45" s="261"/>
    </row>
    <row r="46" spans="1:2" x14ac:dyDescent="0.2">
      <c r="A46" s="845"/>
      <c r="B46" s="261"/>
    </row>
    <row r="47" spans="1:2" x14ac:dyDescent="0.2">
      <c r="A47" s="845"/>
      <c r="B47" s="261"/>
    </row>
    <row r="48" spans="1:2" x14ac:dyDescent="0.2">
      <c r="A48" s="845"/>
      <c r="B48" s="261"/>
    </row>
    <row r="49" spans="1:2" x14ac:dyDescent="0.2">
      <c r="A49" s="845"/>
      <c r="B49" s="261"/>
    </row>
    <row r="50" spans="1:2" x14ac:dyDescent="0.2">
      <c r="A50" s="845"/>
      <c r="B50" s="261"/>
    </row>
    <row r="51" spans="1:2" x14ac:dyDescent="0.2">
      <c r="A51" s="845"/>
      <c r="B51" s="261"/>
    </row>
    <row r="52" spans="1:2" x14ac:dyDescent="0.2">
      <c r="A52" s="845"/>
      <c r="B52" s="261"/>
    </row>
    <row r="53" spans="1:2" x14ac:dyDescent="0.2">
      <c r="A53" s="845"/>
      <c r="B53" s="261"/>
    </row>
    <row r="54" spans="1:2" x14ac:dyDescent="0.2">
      <c r="A54" s="845"/>
      <c r="B54" s="261"/>
    </row>
    <row r="55" spans="1:2" x14ac:dyDescent="0.2">
      <c r="A55" s="845"/>
      <c r="B55" s="261"/>
    </row>
    <row r="56" spans="1:2" x14ac:dyDescent="0.2">
      <c r="A56" s="845"/>
      <c r="B56" s="261"/>
    </row>
    <row r="57" spans="1:2" x14ac:dyDescent="0.2">
      <c r="A57" s="845"/>
      <c r="B57" s="261"/>
    </row>
    <row r="58" spans="1:2" x14ac:dyDescent="0.2">
      <c r="A58" s="845"/>
      <c r="B58" s="261"/>
    </row>
    <row r="59" spans="1:2" x14ac:dyDescent="0.2">
      <c r="A59" s="845"/>
      <c r="B59" s="261"/>
    </row>
    <row r="60" spans="1:2" x14ac:dyDescent="0.2">
      <c r="A60" s="845"/>
      <c r="B60" s="261"/>
    </row>
    <row r="61" spans="1:2" x14ac:dyDescent="0.2">
      <c r="A61" s="845"/>
      <c r="B61" s="261"/>
    </row>
    <row r="62" spans="1:2" x14ac:dyDescent="0.2">
      <c r="A62" s="845"/>
      <c r="B62" s="261"/>
    </row>
    <row r="63" spans="1:2" x14ac:dyDescent="0.2">
      <c r="A63" s="845"/>
      <c r="B63" s="261"/>
    </row>
    <row r="64" spans="1:2" x14ac:dyDescent="0.2">
      <c r="A64" s="845"/>
      <c r="B64" s="261"/>
    </row>
    <row r="65" spans="1:2" x14ac:dyDescent="0.2">
      <c r="A65" s="845"/>
      <c r="B65" s="261"/>
    </row>
    <row r="66" spans="1:2" x14ac:dyDescent="0.2">
      <c r="A66" s="845"/>
      <c r="B66" s="261"/>
    </row>
    <row r="67" spans="1:2" x14ac:dyDescent="0.2">
      <c r="A67" s="845"/>
      <c r="B67" s="261"/>
    </row>
    <row r="68" spans="1:2" x14ac:dyDescent="0.2">
      <c r="A68" s="845"/>
      <c r="B68" s="261"/>
    </row>
    <row r="69" spans="1:2" x14ac:dyDescent="0.2">
      <c r="A69" s="845"/>
      <c r="B69" s="261"/>
    </row>
    <row r="70" spans="1:2" x14ac:dyDescent="0.2">
      <c r="A70" s="845"/>
      <c r="B70" s="261"/>
    </row>
    <row r="71" spans="1:2" x14ac:dyDescent="0.2">
      <c r="A71" s="845"/>
      <c r="B71" s="261"/>
    </row>
    <row r="72" spans="1:2" x14ac:dyDescent="0.2">
      <c r="A72" s="845"/>
      <c r="B72" s="261"/>
    </row>
    <row r="73" spans="1:2" x14ac:dyDescent="0.2">
      <c r="A73" s="845"/>
      <c r="B73" s="261"/>
    </row>
    <row r="74" spans="1:2" x14ac:dyDescent="0.2">
      <c r="A74" s="845"/>
      <c r="B74" s="261"/>
    </row>
    <row r="75" spans="1:2" x14ac:dyDescent="0.2">
      <c r="A75" s="845"/>
      <c r="B75" s="261"/>
    </row>
    <row r="76" spans="1:2" x14ac:dyDescent="0.2">
      <c r="A76" s="845"/>
      <c r="B76" s="261"/>
    </row>
    <row r="77" spans="1:2" x14ac:dyDescent="0.2">
      <c r="A77" s="845"/>
      <c r="B77" s="261"/>
    </row>
    <row r="78" spans="1:2" x14ac:dyDescent="0.2">
      <c r="A78" s="845"/>
      <c r="B78" s="261"/>
    </row>
    <row r="79" spans="1:2" x14ac:dyDescent="0.2">
      <c r="A79" s="845"/>
      <c r="B79" s="261"/>
    </row>
    <row r="80" spans="1:2" x14ac:dyDescent="0.2">
      <c r="A80" s="845"/>
      <c r="B80" s="261"/>
    </row>
    <row r="81" spans="1:2" x14ac:dyDescent="0.2">
      <c r="A81" s="845"/>
      <c r="B81" s="261"/>
    </row>
    <row r="82" spans="1:2" x14ac:dyDescent="0.2">
      <c r="A82" s="845"/>
      <c r="B82" s="261"/>
    </row>
    <row r="83" spans="1:2" x14ac:dyDescent="0.2">
      <c r="A83" s="845"/>
      <c r="B83" s="261"/>
    </row>
    <row r="84" spans="1:2" x14ac:dyDescent="0.2">
      <c r="A84" s="845"/>
      <c r="B84" s="261"/>
    </row>
    <row r="85" spans="1:2" x14ac:dyDescent="0.2">
      <c r="A85" s="845"/>
      <c r="B85" s="261"/>
    </row>
    <row r="86" spans="1:2" x14ac:dyDescent="0.2">
      <c r="A86" s="845"/>
      <c r="B86" s="261"/>
    </row>
    <row r="87" spans="1:2" x14ac:dyDescent="0.2">
      <c r="A87" s="845"/>
      <c r="B87" s="261"/>
    </row>
    <row r="88" spans="1:2" x14ac:dyDescent="0.2">
      <c r="A88" s="845"/>
      <c r="B88" s="261"/>
    </row>
    <row r="89" spans="1:2" x14ac:dyDescent="0.2">
      <c r="A89" s="845"/>
      <c r="B89" s="261"/>
    </row>
    <row r="90" spans="1:2" x14ac:dyDescent="0.2">
      <c r="A90" s="845"/>
      <c r="B90" s="261"/>
    </row>
    <row r="91" spans="1:2" x14ac:dyDescent="0.2">
      <c r="A91" s="845"/>
      <c r="B91" s="261"/>
    </row>
    <row r="92" spans="1:2" x14ac:dyDescent="0.2">
      <c r="A92" s="845"/>
      <c r="B92" s="261"/>
    </row>
    <row r="93" spans="1:2" x14ac:dyDescent="0.2">
      <c r="A93" s="845"/>
      <c r="B93" s="261"/>
    </row>
    <row r="94" spans="1:2" x14ac:dyDescent="0.2">
      <c r="A94" s="845"/>
      <c r="B94" s="261"/>
    </row>
    <row r="95" spans="1:2" x14ac:dyDescent="0.2">
      <c r="A95" s="845"/>
      <c r="B95" s="261"/>
    </row>
    <row r="96" spans="1:2" x14ac:dyDescent="0.2">
      <c r="A96" s="845"/>
      <c r="B96" s="261"/>
    </row>
    <row r="97" spans="1:2" x14ac:dyDescent="0.2">
      <c r="A97" s="845"/>
      <c r="B97" s="261"/>
    </row>
    <row r="98" spans="1:2" x14ac:dyDescent="0.2">
      <c r="A98" s="845"/>
      <c r="B98" s="261"/>
    </row>
    <row r="99" spans="1:2" x14ac:dyDescent="0.2">
      <c r="A99" s="845"/>
      <c r="B99" s="261"/>
    </row>
    <row r="100" spans="1:2" x14ac:dyDescent="0.2">
      <c r="A100" s="845"/>
      <c r="B100" s="261"/>
    </row>
    <row r="101" spans="1:2" x14ac:dyDescent="0.2">
      <c r="A101" s="845"/>
      <c r="B101" s="261"/>
    </row>
    <row r="102" spans="1:2" x14ac:dyDescent="0.2">
      <c r="A102" s="845"/>
      <c r="B102" s="261"/>
    </row>
    <row r="103" spans="1:2" x14ac:dyDescent="0.2">
      <c r="A103" s="843"/>
      <c r="B103" s="261"/>
    </row>
    <row r="104" spans="1:2" x14ac:dyDescent="0.2">
      <c r="A104" s="843"/>
      <c r="B104" s="261"/>
    </row>
    <row r="105" spans="1:2" x14ac:dyDescent="0.2">
      <c r="A105" s="843"/>
      <c r="B105" s="261"/>
    </row>
    <row r="106" spans="1:2" x14ac:dyDescent="0.2">
      <c r="A106" s="843"/>
      <c r="B106" s="261"/>
    </row>
    <row r="107" spans="1:2" x14ac:dyDescent="0.2">
      <c r="A107" s="843"/>
      <c r="B107" s="261"/>
    </row>
    <row r="108" spans="1:2" x14ac:dyDescent="0.2">
      <c r="A108" s="843"/>
      <c r="B108" s="261"/>
    </row>
    <row r="109" spans="1:2" x14ac:dyDescent="0.2">
      <c r="A109" s="843"/>
      <c r="B109" s="261"/>
    </row>
    <row r="110" spans="1:2" x14ac:dyDescent="0.2">
      <c r="A110" s="843"/>
      <c r="B110" s="261"/>
    </row>
    <row r="111" spans="1:2" x14ac:dyDescent="0.2">
      <c r="A111" s="843"/>
      <c r="B111" s="261"/>
    </row>
    <row r="112" spans="1:2" x14ac:dyDescent="0.2">
      <c r="A112" s="843"/>
      <c r="B112" s="261"/>
    </row>
    <row r="113" spans="1:2" x14ac:dyDescent="0.2">
      <c r="A113" s="843"/>
      <c r="B113" s="261"/>
    </row>
    <row r="114" spans="1:2" x14ac:dyDescent="0.2">
      <c r="A114" s="843"/>
      <c r="B114" s="261"/>
    </row>
    <row r="115" spans="1:2" x14ac:dyDescent="0.2">
      <c r="A115" s="843"/>
      <c r="B115" s="261"/>
    </row>
    <row r="116" spans="1:2" x14ac:dyDescent="0.2">
      <c r="A116" s="843"/>
      <c r="B116" s="261"/>
    </row>
    <row r="117" spans="1:2" x14ac:dyDescent="0.2">
      <c r="A117" s="843"/>
      <c r="B117" s="261"/>
    </row>
    <row r="118" spans="1:2" x14ac:dyDescent="0.2">
      <c r="A118" s="843"/>
      <c r="B118" s="261"/>
    </row>
    <row r="119" spans="1:2" x14ac:dyDescent="0.2">
      <c r="A119" s="843"/>
      <c r="B119" s="261"/>
    </row>
    <row r="120" spans="1:2" x14ac:dyDescent="0.2">
      <c r="A120" s="843"/>
      <c r="B120" s="261"/>
    </row>
    <row r="121" spans="1:2" x14ac:dyDescent="0.2">
      <c r="A121" s="843"/>
      <c r="B121" s="261"/>
    </row>
    <row r="122" spans="1:2" x14ac:dyDescent="0.2">
      <c r="A122" s="843"/>
      <c r="B122" s="261"/>
    </row>
    <row r="123" spans="1:2" x14ac:dyDescent="0.2">
      <c r="A123" s="843"/>
      <c r="B123" s="261"/>
    </row>
    <row r="124" spans="1:2" x14ac:dyDescent="0.2">
      <c r="A124" s="843"/>
      <c r="B124" s="261"/>
    </row>
    <row r="125" spans="1:2" x14ac:dyDescent="0.2">
      <c r="A125" s="843"/>
      <c r="B125" s="261"/>
    </row>
    <row r="126" spans="1:2" x14ac:dyDescent="0.2">
      <c r="A126" s="843"/>
      <c r="B126" s="261"/>
    </row>
    <row r="127" spans="1:2" x14ac:dyDescent="0.2">
      <c r="A127" s="843"/>
      <c r="B127" s="261"/>
    </row>
    <row r="128" spans="1:2" x14ac:dyDescent="0.2">
      <c r="A128" s="843"/>
      <c r="B128" s="261"/>
    </row>
    <row r="129" spans="1:2" x14ac:dyDescent="0.2">
      <c r="A129" s="843"/>
      <c r="B129" s="261"/>
    </row>
    <row r="130" spans="1:2" x14ac:dyDescent="0.2">
      <c r="A130" s="843"/>
      <c r="B130" s="261"/>
    </row>
    <row r="131" spans="1:2" x14ac:dyDescent="0.2">
      <c r="A131" s="843"/>
      <c r="B131" s="261"/>
    </row>
    <row r="132" spans="1:2" x14ac:dyDescent="0.2">
      <c r="A132" s="843"/>
      <c r="B132" s="261"/>
    </row>
    <row r="133" spans="1:2" x14ac:dyDescent="0.2">
      <c r="A133" s="843"/>
      <c r="B133" s="261"/>
    </row>
    <row r="134" spans="1:2" x14ac:dyDescent="0.2">
      <c r="A134" s="843"/>
      <c r="B134" s="261"/>
    </row>
    <row r="135" spans="1:2" x14ac:dyDescent="0.2">
      <c r="A135" s="843"/>
      <c r="B135" s="261"/>
    </row>
    <row r="136" spans="1:2" x14ac:dyDescent="0.2">
      <c r="A136" s="843"/>
      <c r="B136" s="261"/>
    </row>
    <row r="137" spans="1:2" x14ac:dyDescent="0.2">
      <c r="A137" s="843"/>
      <c r="B137" s="261"/>
    </row>
    <row r="138" spans="1:2" x14ac:dyDescent="0.2">
      <c r="A138" s="843"/>
      <c r="B138" s="261"/>
    </row>
    <row r="139" spans="1:2" x14ac:dyDescent="0.2">
      <c r="A139" s="843"/>
      <c r="B139" s="261"/>
    </row>
    <row r="140" spans="1:2" x14ac:dyDescent="0.2">
      <c r="A140" s="842"/>
      <c r="B140" s="261"/>
    </row>
    <row r="141" spans="1:2" x14ac:dyDescent="0.2">
      <c r="A141" s="842"/>
      <c r="B141" s="261"/>
    </row>
    <row r="142" spans="1:2" x14ac:dyDescent="0.2">
      <c r="A142" s="842"/>
      <c r="B142" s="261"/>
    </row>
    <row r="143" spans="1:2" x14ac:dyDescent="0.2">
      <c r="A143" s="842"/>
      <c r="B143" s="261"/>
    </row>
    <row r="144" spans="1:2" x14ac:dyDescent="0.2">
      <c r="A144" s="842"/>
      <c r="B144" s="261"/>
    </row>
    <row r="145" spans="1:2" x14ac:dyDescent="0.2">
      <c r="A145" s="842"/>
      <c r="B145" s="261"/>
    </row>
    <row r="146" spans="1:2" x14ac:dyDescent="0.2">
      <c r="A146" s="842"/>
      <c r="B146" s="261"/>
    </row>
    <row r="147" spans="1:2" x14ac:dyDescent="0.2">
      <c r="A147" s="842"/>
      <c r="B147" s="261"/>
    </row>
    <row r="148" spans="1:2" x14ac:dyDescent="0.2">
      <c r="A148" s="842"/>
      <c r="B148" s="261"/>
    </row>
    <row r="149" spans="1:2" x14ac:dyDescent="0.2">
      <c r="A149" s="842"/>
      <c r="B149" s="261"/>
    </row>
    <row r="150" spans="1:2" x14ac:dyDescent="0.2">
      <c r="A150" s="842"/>
      <c r="B150" s="261"/>
    </row>
    <row r="151" spans="1:2" x14ac:dyDescent="0.2">
      <c r="A151" s="842"/>
      <c r="B151" s="261"/>
    </row>
    <row r="152" spans="1:2" x14ac:dyDescent="0.2">
      <c r="A152" s="842"/>
      <c r="B152" s="261"/>
    </row>
    <row r="153" spans="1:2" x14ac:dyDescent="0.2">
      <c r="A153" s="842"/>
      <c r="B153" s="261"/>
    </row>
    <row r="154" spans="1:2" x14ac:dyDescent="0.2">
      <c r="A154" s="842"/>
      <c r="B154" s="261"/>
    </row>
    <row r="155" spans="1:2" x14ac:dyDescent="0.2">
      <c r="A155" s="842"/>
      <c r="B155" s="261"/>
    </row>
    <row r="156" spans="1:2" x14ac:dyDescent="0.2">
      <c r="A156" s="842"/>
      <c r="B156" s="261"/>
    </row>
    <row r="157" spans="1:2" x14ac:dyDescent="0.2">
      <c r="A157" s="842"/>
      <c r="B157" s="261"/>
    </row>
    <row r="158" spans="1:2" x14ac:dyDescent="0.2">
      <c r="A158" s="842"/>
      <c r="B158" s="261"/>
    </row>
    <row r="159" spans="1:2" x14ac:dyDescent="0.2">
      <c r="A159" s="842"/>
      <c r="B159" s="261"/>
    </row>
    <row r="160" spans="1:2" x14ac:dyDescent="0.2">
      <c r="A160" s="842"/>
      <c r="B160" s="261"/>
    </row>
    <row r="161" spans="1:2" x14ac:dyDescent="0.2">
      <c r="A161" s="842"/>
      <c r="B161" s="261"/>
    </row>
    <row r="162" spans="1:2" x14ac:dyDescent="0.2">
      <c r="A162" s="842"/>
      <c r="B162" s="261"/>
    </row>
    <row r="163" spans="1:2" x14ac:dyDescent="0.2">
      <c r="A163" s="842"/>
      <c r="B163" s="261"/>
    </row>
    <row r="164" spans="1:2" x14ac:dyDescent="0.2">
      <c r="A164" s="842"/>
      <c r="B164" s="261"/>
    </row>
    <row r="165" spans="1:2" x14ac:dyDescent="0.2">
      <c r="A165" s="842"/>
      <c r="B165" s="261"/>
    </row>
    <row r="166" spans="1:2" x14ac:dyDescent="0.2">
      <c r="A166" s="842"/>
      <c r="B166" s="261"/>
    </row>
    <row r="167" spans="1:2" x14ac:dyDescent="0.2">
      <c r="A167" s="842"/>
      <c r="B167" s="261"/>
    </row>
    <row r="168" spans="1:2" x14ac:dyDescent="0.2">
      <c r="A168" s="842"/>
      <c r="B168" s="261"/>
    </row>
    <row r="169" spans="1:2" x14ac:dyDescent="0.2">
      <c r="A169" s="842"/>
      <c r="B169" s="261"/>
    </row>
    <row r="170" spans="1:2" x14ac:dyDescent="0.2">
      <c r="A170" s="842"/>
      <c r="B170" s="261"/>
    </row>
    <row r="171" spans="1:2" x14ac:dyDescent="0.2">
      <c r="A171" s="842"/>
      <c r="B171" s="261"/>
    </row>
    <row r="172" spans="1:2" x14ac:dyDescent="0.2">
      <c r="A172" s="842"/>
      <c r="B172" s="261"/>
    </row>
    <row r="173" spans="1:2" x14ac:dyDescent="0.2">
      <c r="A173" s="842"/>
      <c r="B173" s="261"/>
    </row>
    <row r="174" spans="1:2" x14ac:dyDescent="0.2">
      <c r="A174" s="842"/>
      <c r="B174" s="261"/>
    </row>
    <row r="175" spans="1:2" x14ac:dyDescent="0.2">
      <c r="A175" s="842"/>
      <c r="B175" s="261"/>
    </row>
    <row r="176" spans="1:2" x14ac:dyDescent="0.2">
      <c r="A176" s="842"/>
      <c r="B176" s="261"/>
    </row>
  </sheetData>
  <autoFilter ref="A1:B6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4" activePane="bottomRight" state="frozen"/>
      <selection activeCell="C2" sqref="C1:H2"/>
      <selection pane="topRight" activeCell="C2" sqref="C1:H2"/>
      <selection pane="bottomLeft" activeCell="C2" sqref="C1:H2"/>
      <selection pane="bottomRight" activeCell="N5" sqref="N5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6"/>
      <c r="C2" s="607"/>
      <c r="D2" s="607"/>
      <c r="E2" s="607"/>
      <c r="F2" s="607"/>
      <c r="G2" s="607"/>
      <c r="H2" s="1217" t="str">
        <f>'Análise Física Macro'!$B$2</f>
        <v>ED. TREE</v>
      </c>
      <c r="I2" s="1217"/>
      <c r="J2" s="1217"/>
      <c r="K2" s="607"/>
      <c r="L2" s="607"/>
      <c r="M2" s="616"/>
      <c r="N2" s="615"/>
      <c r="O2" s="612"/>
    </row>
    <row r="3" spans="1:15" ht="29.25" customHeight="1" x14ac:dyDescent="0.2">
      <c r="B3" s="608"/>
      <c r="C3" s="609"/>
      <c r="D3" s="609"/>
      <c r="E3" s="609"/>
      <c r="F3" s="609"/>
      <c r="G3" s="609"/>
      <c r="H3" s="610" t="s">
        <v>761</v>
      </c>
      <c r="I3" s="609"/>
      <c r="J3" s="609"/>
      <c r="K3" s="609"/>
      <c r="L3" s="609"/>
      <c r="M3" s="609"/>
      <c r="N3" s="617" t="s">
        <v>747</v>
      </c>
      <c r="O3" s="794">
        <f>'Análise Física Macro'!$O$4</f>
        <v>44135</v>
      </c>
    </row>
    <row r="4" spans="1:15" ht="21.95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599"/>
      <c r="N4" s="599"/>
      <c r="O4" s="614"/>
    </row>
    <row r="5" spans="1:15" ht="21.95" customHeight="1" x14ac:dyDescent="0.2">
      <c r="A5" s="166"/>
      <c r="B5" s="633">
        <f>'Análise Física Macro'!$D$8/'Análise Física Macro'!$D$7</f>
        <v>0.89534526711319229</v>
      </c>
      <c r="C5" s="628"/>
      <c r="D5" s="629"/>
      <c r="E5" s="629" t="str">
        <f>IF($B$5&gt;1,"A OBRA TEVE DESEMPENHO FÍSICO"&amp;" "&amp;$O$5&amp;"%"&amp;" "&amp;"MAIOR QUE O PREVISTO",IF($B$5&lt;1,"A OBRA TEVE DESEMPENHO FÍSICO"&amp;" "&amp;$O$5&amp;"%"&amp;" "&amp;"MENOR QUE O PREVISTO","A OBRA TEVE DESEMPENHO FÍSICO IGUAL AO PREVISTO"))</f>
        <v>A OBRA TEVE DESEMPENHO FÍSICO 10,47% MENOR QUE O PREVISTO</v>
      </c>
      <c r="F5" s="630"/>
      <c r="G5" s="631"/>
      <c r="H5" s="631"/>
      <c r="I5" s="631"/>
      <c r="J5" s="631"/>
      <c r="K5" s="631"/>
      <c r="L5" s="631"/>
      <c r="M5" s="632"/>
      <c r="N5" s="632"/>
      <c r="O5" s="603">
        <f>ROUND(IF($B$5&gt;1,$B$5-1,IF($B$5&lt;1,1-$B$5,"")),4)*100</f>
        <v>10.47</v>
      </c>
    </row>
    <row r="6" spans="1:15" ht="21.95" customHeight="1" x14ac:dyDescent="0.25">
      <c r="A6" s="166"/>
      <c r="B6" s="43"/>
      <c r="C6" s="618"/>
      <c r="D6" s="572"/>
      <c r="E6" s="573"/>
      <c r="F6" s="587"/>
      <c r="G6" s="587"/>
      <c r="H6" s="587"/>
      <c r="I6" s="587"/>
      <c r="J6" s="587"/>
      <c r="K6" s="587"/>
      <c r="L6" s="587"/>
      <c r="M6" s="587"/>
      <c r="N6" s="587"/>
      <c r="O6" s="44"/>
    </row>
    <row r="7" spans="1:15" ht="21.95" customHeight="1" x14ac:dyDescent="0.25">
      <c r="A7" s="166"/>
      <c r="B7" s="43"/>
      <c r="C7" s="619"/>
      <c r="D7" s="574"/>
      <c r="E7" s="575"/>
      <c r="F7" s="592"/>
      <c r="G7" s="594"/>
      <c r="H7" s="595"/>
      <c r="I7" s="595"/>
      <c r="J7" s="595"/>
      <c r="K7" s="595"/>
      <c r="L7" s="595"/>
      <c r="M7" s="592"/>
      <c r="N7" s="592"/>
      <c r="O7" s="44"/>
    </row>
    <row r="8" spans="1:15" ht="21.95" customHeight="1" x14ac:dyDescent="0.25">
      <c r="A8" s="166"/>
      <c r="B8" s="43"/>
      <c r="C8" s="620"/>
      <c r="D8" s="576"/>
      <c r="E8" s="577"/>
      <c r="F8" s="585"/>
      <c r="G8" s="593"/>
      <c r="H8" s="593"/>
      <c r="I8" s="593"/>
      <c r="J8" s="593"/>
      <c r="K8" s="593"/>
      <c r="L8" s="593"/>
      <c r="M8" s="586"/>
      <c r="N8" s="586"/>
      <c r="O8" s="44"/>
    </row>
    <row r="9" spans="1:15" ht="21.95" customHeight="1" x14ac:dyDescent="0.25">
      <c r="A9" s="42"/>
      <c r="B9" s="43"/>
      <c r="C9" s="619"/>
      <c r="D9" s="574"/>
      <c r="E9" s="575"/>
      <c r="F9" s="585"/>
      <c r="G9" s="593"/>
      <c r="H9" s="593"/>
      <c r="I9" s="593"/>
      <c r="J9" s="593"/>
      <c r="K9" s="593"/>
      <c r="L9" s="593"/>
      <c r="M9" s="586"/>
      <c r="N9" s="586"/>
      <c r="O9" s="44"/>
    </row>
    <row r="10" spans="1:15" ht="21.95" customHeight="1" x14ac:dyDescent="0.25">
      <c r="A10" s="166"/>
      <c r="B10" s="43"/>
      <c r="C10" s="620"/>
      <c r="D10" s="576"/>
      <c r="E10" s="577"/>
      <c r="F10" s="585"/>
      <c r="G10" s="593"/>
      <c r="H10" s="593"/>
      <c r="I10" s="593"/>
      <c r="J10" s="593"/>
      <c r="K10" s="593"/>
      <c r="L10" s="593"/>
      <c r="M10" s="586"/>
      <c r="N10" s="586"/>
      <c r="O10" s="44"/>
    </row>
    <row r="11" spans="1:15" ht="21.75" customHeight="1" x14ac:dyDescent="0.25">
      <c r="A11" s="166"/>
      <c r="B11" s="43"/>
      <c r="C11" s="621"/>
      <c r="D11" s="578"/>
      <c r="E11" s="579"/>
      <c r="F11" s="585"/>
      <c r="G11" s="593"/>
      <c r="H11" s="593"/>
      <c r="I11" s="593"/>
      <c r="J11" s="593"/>
      <c r="K11" s="593"/>
      <c r="L11" s="593"/>
      <c r="M11" s="586"/>
      <c r="N11" s="586"/>
      <c r="O11" s="44"/>
    </row>
    <row r="12" spans="1:15" ht="21.95" customHeight="1" x14ac:dyDescent="0.2">
      <c r="A12" s="166"/>
      <c r="B12" s="43"/>
      <c r="C12" s="413"/>
      <c r="D12" s="597"/>
      <c r="E12" s="413"/>
      <c r="F12" s="585"/>
      <c r="G12" s="593"/>
      <c r="H12" s="593"/>
      <c r="I12" s="593"/>
      <c r="J12" s="593"/>
      <c r="K12" s="593"/>
      <c r="L12" s="593"/>
      <c r="M12" s="586"/>
      <c r="N12" s="586"/>
      <c r="O12" s="44"/>
    </row>
    <row r="13" spans="1:15" ht="21.95" customHeight="1" x14ac:dyDescent="0.2">
      <c r="A13" s="166"/>
      <c r="B13" s="43"/>
      <c r="C13" s="622"/>
      <c r="D13" s="336"/>
      <c r="E13" s="335"/>
      <c r="F13" s="585"/>
      <c r="G13" s="593"/>
      <c r="H13" s="593"/>
      <c r="I13" s="593"/>
      <c r="J13" s="593"/>
      <c r="K13" s="593"/>
      <c r="L13" s="593"/>
      <c r="M13" s="586"/>
      <c r="N13" s="586"/>
      <c r="O13" s="44"/>
    </row>
    <row r="14" spans="1:15" ht="21.95" customHeight="1" x14ac:dyDescent="0.2">
      <c r="A14" s="166"/>
      <c r="B14" s="43"/>
      <c r="C14" s="623"/>
      <c r="D14" s="56"/>
      <c r="E14" s="56"/>
      <c r="F14" s="585"/>
      <c r="G14" s="593"/>
      <c r="H14" s="593"/>
      <c r="I14" s="593"/>
      <c r="J14" s="593"/>
      <c r="K14" s="593"/>
      <c r="L14" s="593"/>
      <c r="M14" s="586"/>
      <c r="N14" s="586"/>
      <c r="O14" s="44"/>
    </row>
    <row r="15" spans="1:15" ht="21.95" customHeight="1" x14ac:dyDescent="0.2">
      <c r="A15" s="166"/>
      <c r="B15" s="43"/>
      <c r="C15" s="624"/>
      <c r="D15" s="580"/>
      <c r="E15" s="581"/>
      <c r="F15" s="585"/>
      <c r="G15" s="593"/>
      <c r="H15" s="593"/>
      <c r="I15" s="593"/>
      <c r="J15" s="593"/>
      <c r="K15" s="593"/>
      <c r="L15" s="593"/>
      <c r="M15" s="586"/>
      <c r="N15" s="586"/>
      <c r="O15" s="44"/>
    </row>
    <row r="16" spans="1:15" ht="21.95" customHeight="1" x14ac:dyDescent="0.2">
      <c r="A16" s="166"/>
      <c r="B16" s="43"/>
      <c r="C16" s="623"/>
      <c r="D16" s="582"/>
      <c r="E16" s="583"/>
      <c r="F16" s="585"/>
      <c r="G16" s="593"/>
      <c r="H16" s="593"/>
      <c r="I16" s="593"/>
      <c r="J16" s="593"/>
      <c r="K16" s="593"/>
      <c r="L16" s="593"/>
      <c r="M16" s="586"/>
      <c r="N16" s="586"/>
      <c r="O16" s="44"/>
    </row>
    <row r="17" spans="1:15" ht="21.95" customHeight="1" x14ac:dyDescent="0.2">
      <c r="A17" s="166"/>
      <c r="B17" s="43"/>
      <c r="C17" s="623"/>
      <c r="D17" s="582"/>
      <c r="E17" s="584"/>
      <c r="F17" s="585"/>
      <c r="G17" s="593"/>
      <c r="H17" s="593"/>
      <c r="I17" s="593"/>
      <c r="J17" s="593"/>
      <c r="K17" s="593"/>
      <c r="L17" s="593"/>
      <c r="M17" s="586"/>
      <c r="N17" s="586"/>
      <c r="O17" s="44"/>
    </row>
    <row r="18" spans="1:15" ht="21.95" customHeight="1" x14ac:dyDescent="0.2">
      <c r="A18" s="166"/>
      <c r="B18" s="43"/>
      <c r="C18" s="625"/>
      <c r="D18" s="413"/>
      <c r="E18" s="625"/>
      <c r="F18" s="625"/>
      <c r="G18" s="626"/>
      <c r="H18" s="626"/>
      <c r="I18" s="626"/>
      <c r="J18" s="626"/>
      <c r="K18" s="626"/>
      <c r="L18" s="626"/>
      <c r="M18" s="627"/>
      <c r="N18" s="627"/>
      <c r="O18" s="614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0">
        <f>'Econômico Macro'!$L$48</f>
        <v>0.859279841096113</v>
      </c>
      <c r="C20" s="635"/>
      <c r="D20" s="636"/>
      <c r="E20" s="636" t="str">
        <f>IF($B$20&gt;1,"O CUSTO REAL GLOBAL DA OBRA ESTÁ"&amp;" "&amp;$O$20&amp;"%"&amp;" "&amp;"MAIOR QUE O PREVISTO",IF($B$20&lt;1,"O CUSTO REAL GLOBAL DA OBRA ESTÁ"&amp;" "&amp;$O$20&amp;"%"&amp;" "&amp;"MENOR QUE O PREVISTO","O CUSTO REAL GLOBAL DA OBRA ESTÁ IGUAL AO PREVISTO"))</f>
        <v>O CUSTO REAL GLOBAL DA OBRA ESTÁ 14,07% MENOR QUE O PREVISTO</v>
      </c>
      <c r="F20" s="637"/>
      <c r="G20" s="638"/>
      <c r="H20" s="638"/>
      <c r="I20" s="638"/>
      <c r="J20" s="638"/>
      <c r="K20" s="638"/>
      <c r="L20" s="638"/>
      <c r="M20" s="639"/>
      <c r="N20" s="639"/>
      <c r="O20" s="641">
        <f>ROUND(IF($B$20&gt;1,$B$20-1,IF($B$20&lt;1,1-$B$20,"")),4)*100</f>
        <v>14.069999999999999</v>
      </c>
    </row>
    <row r="21" spans="1:15" ht="21.95" customHeight="1" x14ac:dyDescent="0.2">
      <c r="A21" s="166"/>
      <c r="B21" s="43"/>
      <c r="C21" s="634"/>
      <c r="D21" s="413"/>
      <c r="E21" s="413"/>
      <c r="F21" s="585"/>
      <c r="G21" s="593"/>
      <c r="H21" s="593"/>
      <c r="I21" s="593"/>
      <c r="J21" s="593"/>
      <c r="K21" s="593"/>
      <c r="L21" s="593"/>
      <c r="M21" s="586"/>
      <c r="N21" s="586"/>
      <c r="O21" s="44"/>
    </row>
    <row r="22" spans="1:15" ht="21.95" customHeight="1" x14ac:dyDescent="0.2">
      <c r="A22" s="611"/>
      <c r="B22" s="43"/>
      <c r="C22" s="634"/>
      <c r="D22" s="413"/>
      <c r="E22" s="413"/>
      <c r="F22" s="585"/>
      <c r="G22" s="593"/>
      <c r="H22" s="593"/>
      <c r="I22" s="593"/>
      <c r="J22" s="593"/>
      <c r="K22" s="593"/>
      <c r="L22" s="593"/>
      <c r="M22" s="586"/>
      <c r="N22" s="586"/>
      <c r="O22" s="44"/>
    </row>
    <row r="23" spans="1:15" ht="21.95" customHeight="1" x14ac:dyDescent="0.2">
      <c r="A23" s="42"/>
      <c r="B23" s="43"/>
      <c r="C23" s="413"/>
      <c r="D23" s="413"/>
      <c r="E23" s="413"/>
      <c r="F23" s="585"/>
      <c r="G23" s="593"/>
      <c r="H23" s="593"/>
      <c r="I23" s="593"/>
      <c r="J23" s="593"/>
      <c r="K23" s="593"/>
      <c r="L23" s="593"/>
      <c r="M23" s="586"/>
      <c r="N23" s="586"/>
      <c r="O23" s="44"/>
    </row>
    <row r="24" spans="1:15" ht="21.95" customHeight="1" x14ac:dyDescent="0.2">
      <c r="A24" s="42"/>
      <c r="B24" s="43"/>
      <c r="C24" s="413"/>
      <c r="D24" s="413"/>
      <c r="E24" s="413"/>
      <c r="F24" s="585"/>
      <c r="G24" s="593"/>
      <c r="H24" s="593"/>
      <c r="I24" s="593"/>
      <c r="J24" s="593"/>
      <c r="K24" s="593"/>
      <c r="L24" s="593"/>
      <c r="M24" s="586"/>
      <c r="N24" s="586"/>
      <c r="O24" s="44"/>
    </row>
    <row r="25" spans="1:15" ht="21.95" customHeight="1" x14ac:dyDescent="0.2">
      <c r="A25" s="42"/>
      <c r="B25" s="43"/>
      <c r="C25" s="413"/>
      <c r="D25" s="413"/>
      <c r="E25" s="413"/>
      <c r="F25" s="585"/>
      <c r="G25" s="593"/>
      <c r="H25" s="593"/>
      <c r="I25" s="593"/>
      <c r="J25" s="593"/>
      <c r="K25" s="593"/>
      <c r="L25" s="593"/>
      <c r="M25" s="586"/>
      <c r="N25" s="586"/>
      <c r="O25" s="614"/>
    </row>
    <row r="26" spans="1:15" ht="21.95" customHeight="1" x14ac:dyDescent="0.2">
      <c r="B26" s="43"/>
      <c r="C26" s="413"/>
      <c r="D26" s="413"/>
      <c r="E26" s="413"/>
      <c r="F26" s="585"/>
      <c r="G26" s="593"/>
      <c r="H26" s="593"/>
      <c r="I26" s="593"/>
      <c r="J26" s="593"/>
      <c r="K26" s="593"/>
      <c r="L26" s="593"/>
      <c r="M26" s="586"/>
      <c r="N26" s="586"/>
      <c r="O26" s="44"/>
    </row>
    <row r="27" spans="1:15" ht="21.95" customHeight="1" x14ac:dyDescent="0.2">
      <c r="B27" s="43"/>
      <c r="C27" s="413"/>
      <c r="D27" s="413"/>
      <c r="E27" s="413"/>
      <c r="F27" s="585"/>
      <c r="G27" s="593"/>
      <c r="H27" s="593"/>
      <c r="I27" s="593"/>
      <c r="J27" s="593"/>
      <c r="K27" s="593"/>
      <c r="L27" s="593"/>
      <c r="M27" s="586"/>
      <c r="N27" s="586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0">
        <f>'Econômico Macro'!$L$38</f>
        <v>0.90760544251952091</v>
      </c>
      <c r="C35" s="642"/>
      <c r="D35" s="643"/>
      <c r="E35" s="643" t="str">
        <f>IF($B$35&gt;1,"O CUSTO REAL DAS DESPESAS DIRETAS ESTÁ"&amp;" "&amp;$O$35&amp;"%"&amp;" "&amp;"MAIOR QUE O PREVISTO",IF($B$35&lt;1,"O CUSTO REAL DAS DESPESAS DIRETAS ESTÁ"&amp;" "&amp;$O$35&amp;"%"&amp;" "&amp;"MENOR QUE O PREVISTO","O CUSTO REAL DAS DESPESAS DIRETAS ESTÁ IGUAL AO PREVISTO"))</f>
        <v>O CUSTO REAL DAS DESPESAS DIRETAS ESTÁ 9,24% MENOR QUE O PREVISTO</v>
      </c>
      <c r="F35" s="644"/>
      <c r="G35" s="645"/>
      <c r="H35" s="645"/>
      <c r="I35" s="645"/>
      <c r="J35" s="645"/>
      <c r="K35" s="645"/>
      <c r="L35" s="645"/>
      <c r="M35" s="646"/>
      <c r="N35" s="646"/>
      <c r="O35" s="603">
        <f>ROUND(IF($B$35&gt;1,$B$35-1,IF($B$35&lt;1,1-$B$35,"")),4)*100</f>
        <v>9.24</v>
      </c>
    </row>
    <row r="36" spans="2:15" ht="21.95" customHeight="1" x14ac:dyDescent="0.2">
      <c r="B36" s="43"/>
      <c r="C36" s="634"/>
      <c r="D36" s="413"/>
      <c r="E36" s="413"/>
      <c r="F36" s="585"/>
      <c r="G36" s="593"/>
      <c r="H36" s="593"/>
      <c r="I36" s="593"/>
      <c r="J36" s="593"/>
      <c r="K36" s="593"/>
      <c r="L36" s="593"/>
      <c r="M36" s="586"/>
      <c r="N36" s="586"/>
      <c r="O36" s="44"/>
    </row>
    <row r="37" spans="2:15" ht="21.95" customHeight="1" x14ac:dyDescent="0.2">
      <c r="B37" s="43"/>
      <c r="C37" s="634"/>
      <c r="D37" s="413"/>
      <c r="E37" s="413"/>
      <c r="F37" s="585"/>
      <c r="G37" s="593"/>
      <c r="H37" s="593"/>
      <c r="I37" s="593"/>
      <c r="J37" s="593"/>
      <c r="K37" s="593"/>
      <c r="L37" s="593"/>
      <c r="M37" s="586"/>
      <c r="N37" s="586"/>
      <c r="O37" s="44"/>
    </row>
    <row r="38" spans="2:15" ht="21.95" customHeight="1" x14ac:dyDescent="0.2">
      <c r="B38" s="43"/>
      <c r="C38" s="413"/>
      <c r="D38" s="413"/>
      <c r="E38" s="413"/>
      <c r="F38" s="585"/>
      <c r="G38" s="593"/>
      <c r="H38" s="593"/>
      <c r="I38" s="593"/>
      <c r="J38" s="593"/>
      <c r="K38" s="593"/>
      <c r="L38" s="593"/>
      <c r="M38" s="586"/>
      <c r="N38" s="586"/>
      <c r="O38" s="44"/>
    </row>
    <row r="39" spans="2:15" ht="21.95" customHeight="1" x14ac:dyDescent="0.2">
      <c r="B39" s="43"/>
      <c r="C39" s="413"/>
      <c r="D39" s="413"/>
      <c r="E39" s="413"/>
      <c r="F39" s="585"/>
      <c r="G39" s="593"/>
      <c r="H39" s="593"/>
      <c r="I39" s="593"/>
      <c r="J39" s="593"/>
      <c r="K39" s="593"/>
      <c r="L39" s="593"/>
      <c r="M39" s="586"/>
      <c r="N39" s="586"/>
      <c r="O39" s="44"/>
    </row>
    <row r="40" spans="2:15" ht="21.95" customHeight="1" x14ac:dyDescent="0.2">
      <c r="B40" s="43"/>
      <c r="C40" s="413"/>
      <c r="D40" s="413"/>
      <c r="E40" s="413"/>
      <c r="F40" s="585"/>
      <c r="G40" s="593"/>
      <c r="H40" s="593"/>
      <c r="I40" s="593"/>
      <c r="J40" s="593"/>
      <c r="K40" s="593"/>
      <c r="L40" s="593"/>
      <c r="M40" s="586"/>
      <c r="N40" s="586"/>
      <c r="O40" s="44"/>
    </row>
    <row r="41" spans="2:15" ht="21.95" customHeight="1" x14ac:dyDescent="0.2">
      <c r="B41" s="43"/>
      <c r="C41" s="413"/>
      <c r="D41" s="413"/>
      <c r="E41" s="413"/>
      <c r="F41" s="585"/>
      <c r="G41" s="593"/>
      <c r="H41" s="593"/>
      <c r="I41" s="593"/>
      <c r="J41" s="593"/>
      <c r="K41" s="593"/>
      <c r="L41" s="593"/>
      <c r="M41" s="586"/>
      <c r="N41" s="586"/>
      <c r="O41" s="44"/>
    </row>
    <row r="42" spans="2:15" ht="21.95" customHeight="1" x14ac:dyDescent="0.2">
      <c r="B42" s="43"/>
      <c r="C42" s="413"/>
      <c r="D42" s="413"/>
      <c r="E42" s="413"/>
      <c r="F42" s="585"/>
      <c r="G42" s="593"/>
      <c r="H42" s="593"/>
      <c r="I42" s="593"/>
      <c r="J42" s="593"/>
      <c r="K42" s="593"/>
      <c r="L42" s="593"/>
      <c r="M42" s="586"/>
      <c r="N42" s="586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0">
        <f>'Econômico Macro'!$L$47</f>
        <v>0.78492832451183259</v>
      </c>
      <c r="C50" s="647"/>
      <c r="D50" s="648"/>
      <c r="E50" s="648" t="str">
        <f>IF($B$50&gt;1,"O CUSTO REAL DAS DESPESAS INDIRETAS ESTÁ"&amp;" "&amp;$O$50&amp;"%"&amp;" "&amp;"MAIOR QUE O PREVISTO",IF($B$50&lt;1,"O CUSTO REAL DAS DESPESAS INDIRETAS ESTÁ"&amp;" "&amp;$O$50&amp;"%"&amp;" "&amp;"MENOR QUE O PREVISTO","O CUSTO REAL DAS DESPESAS INDIRETAS ESTÁ IGUAL AO PREVISTO"))</f>
        <v>O CUSTO REAL DAS DESPESAS INDIRETAS ESTÁ 21,51% MENOR QUE O PREVISTO</v>
      </c>
      <c r="F50" s="649"/>
      <c r="G50" s="650"/>
      <c r="H50" s="650"/>
      <c r="I50" s="650"/>
      <c r="J50" s="650"/>
      <c r="K50" s="650"/>
      <c r="L50" s="650"/>
      <c r="M50" s="651"/>
      <c r="N50" s="651"/>
      <c r="O50" s="603">
        <f>ROUND(IF($B$50&gt;1,$B$50-1,IF($B$50&lt;1,1-$B$50,"")),4)*100</f>
        <v>21.51</v>
      </c>
    </row>
    <row r="51" spans="1:15" ht="21.95" customHeight="1" x14ac:dyDescent="0.2">
      <c r="B51" s="43"/>
      <c r="C51" s="634"/>
      <c r="D51" s="413"/>
      <c r="E51" s="413"/>
      <c r="F51" s="585"/>
      <c r="G51" s="593"/>
      <c r="H51" s="593"/>
      <c r="I51" s="593"/>
      <c r="J51" s="593"/>
      <c r="K51" s="593"/>
      <c r="L51" s="593"/>
      <c r="M51" s="586"/>
      <c r="N51" s="586"/>
      <c r="O51" s="596"/>
    </row>
    <row r="52" spans="1:15" ht="21.95" customHeight="1" x14ac:dyDescent="0.2">
      <c r="B52" s="43"/>
      <c r="C52" s="634"/>
      <c r="D52" s="413"/>
      <c r="E52" s="413"/>
      <c r="F52" s="585"/>
      <c r="G52" s="593"/>
      <c r="H52" s="593"/>
      <c r="I52" s="593"/>
      <c r="J52" s="593"/>
      <c r="K52" s="593"/>
      <c r="L52" s="593"/>
      <c r="M52" s="586"/>
      <c r="N52" s="586"/>
      <c r="O52" s="77"/>
    </row>
    <row r="53" spans="1:15" ht="21.95" customHeight="1" x14ac:dyDescent="0.2">
      <c r="B53" s="43"/>
      <c r="C53" s="413"/>
      <c r="D53" s="413"/>
      <c r="E53" s="413"/>
      <c r="F53" s="585"/>
      <c r="G53" s="593"/>
      <c r="H53" s="593"/>
      <c r="I53" s="593"/>
      <c r="J53" s="593"/>
      <c r="K53" s="593"/>
      <c r="L53" s="593"/>
      <c r="M53" s="586"/>
      <c r="N53" s="586"/>
      <c r="O53" s="77"/>
    </row>
    <row r="54" spans="1:15" ht="21.95" customHeight="1" x14ac:dyDescent="0.2">
      <c r="B54" s="43"/>
      <c r="C54" s="413"/>
      <c r="D54" s="413"/>
      <c r="E54" s="413"/>
      <c r="F54" s="585"/>
      <c r="G54" s="593"/>
      <c r="H54" s="593"/>
      <c r="I54" s="593"/>
      <c r="J54" s="593"/>
      <c r="K54" s="593"/>
      <c r="L54" s="593"/>
      <c r="M54" s="586"/>
      <c r="N54" s="586"/>
      <c r="O54" s="77"/>
    </row>
    <row r="55" spans="1:15" ht="21.95" customHeight="1" x14ac:dyDescent="0.2">
      <c r="B55" s="43"/>
      <c r="C55" s="413"/>
      <c r="D55" s="413"/>
      <c r="E55" s="413"/>
      <c r="F55" s="585"/>
      <c r="G55" s="593"/>
      <c r="H55" s="593"/>
      <c r="I55" s="593"/>
      <c r="J55" s="593"/>
      <c r="K55" s="593"/>
      <c r="L55" s="593"/>
      <c r="M55" s="586"/>
      <c r="N55" s="586"/>
      <c r="O55" s="77"/>
    </row>
    <row r="56" spans="1:15" ht="21.95" customHeight="1" x14ac:dyDescent="0.2">
      <c r="B56" s="43"/>
      <c r="C56" s="413"/>
      <c r="D56" s="413"/>
      <c r="E56" s="413"/>
      <c r="F56" s="585"/>
      <c r="G56" s="593"/>
      <c r="H56" s="593"/>
      <c r="I56" s="593"/>
      <c r="J56" s="593"/>
      <c r="K56" s="593"/>
      <c r="L56" s="593"/>
      <c r="M56" s="586"/>
      <c r="N56" s="586"/>
      <c r="O56" s="77"/>
    </row>
    <row r="57" spans="1:15" ht="21.95" customHeight="1" x14ac:dyDescent="0.2">
      <c r="B57" s="43"/>
      <c r="C57" s="413"/>
      <c r="D57" s="413"/>
      <c r="E57" s="413"/>
      <c r="F57" s="585"/>
      <c r="G57" s="593"/>
      <c r="H57" s="593"/>
      <c r="I57" s="593"/>
      <c r="J57" s="593"/>
      <c r="K57" s="593"/>
      <c r="L57" s="593"/>
      <c r="M57" s="586"/>
      <c r="N57" s="586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2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100" priority="1" operator="lessThan">
      <formula>0</formula>
    </cfRule>
    <cfRule type="cellIs" dxfId="99" priority="2" operator="greaterThanOrEqual">
      <formula>0</formula>
    </cfRule>
  </conditionalFormatting>
  <conditionalFormatting sqref="E17">
    <cfRule type="cellIs" dxfId="98" priority="11" operator="equal">
      <formula>"""OBRA ATRASADA"""</formula>
    </cfRule>
  </conditionalFormatting>
  <conditionalFormatting sqref="E16">
    <cfRule type="cellIs" dxfId="97" priority="10" operator="equal">
      <formula>"""OBRA ATRASADA"""</formula>
    </cfRule>
  </conditionalFormatting>
  <conditionalFormatting sqref="D11">
    <cfRule type="cellIs" dxfId="96" priority="8" operator="lessThan">
      <formula>0</formula>
    </cfRule>
    <cfRule type="cellIs" dxfId="95" priority="9" operator="greaterThan">
      <formula>0</formula>
    </cfRule>
  </conditionalFormatting>
  <conditionalFormatting sqref="E11">
    <cfRule type="cellIs" dxfId="94" priority="6" operator="lessThan">
      <formula>0</formula>
    </cfRule>
    <cfRule type="cellIs" dxfId="93" priority="7" operator="greaterThan">
      <formula>0</formula>
    </cfRule>
  </conditionalFormatting>
  <conditionalFormatting sqref="C13">
    <cfRule type="containsText" dxfId="92" priority="3" operator="containsText" text="A obra está atrasada (em dias)">
      <formula>NOT(ISERROR(SEARCH("A obra está atrasada (em dias)",C13)))</formula>
    </cfRule>
    <cfRule type="containsText" dxfId="91" priority="4" operator="containsText" text="A obra está adiantada (em dias)">
      <formula>NOT(ISERROR(SEARCH("A obra está adiantada (em dias)",C13)))</formula>
    </cfRule>
    <cfRule type="containsText" dxfId="90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showGridLines="0" zoomScaleNormal="100" workbookViewId="0">
      <selection activeCell="F38" sqref="F38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220" t="s">
        <v>2779</v>
      </c>
      <c r="C2" s="1217"/>
      <c r="D2" s="1217"/>
      <c r="E2" s="1217"/>
      <c r="F2" s="1217"/>
      <c r="G2" s="1217"/>
      <c r="H2" s="1217"/>
      <c r="I2" s="1217"/>
      <c r="J2" s="1217"/>
      <c r="K2" s="1217"/>
      <c r="L2" s="1217"/>
      <c r="M2" s="1221"/>
    </row>
    <row r="3" spans="1:13" ht="29.25" customHeight="1" x14ac:dyDescent="0.2">
      <c r="B3" s="608"/>
      <c r="C3" s="1222" t="s">
        <v>1348</v>
      </c>
      <c r="D3" s="1222"/>
      <c r="E3" s="1222"/>
      <c r="F3" s="1222"/>
      <c r="G3" s="1222"/>
      <c r="H3" s="1222"/>
      <c r="I3" s="1222"/>
      <c r="J3" s="1222"/>
      <c r="K3" s="1222"/>
      <c r="L3" s="1222"/>
      <c r="M3" s="717">
        <f ca="1">TODAY()-30</f>
        <v>44115</v>
      </c>
    </row>
    <row r="4" spans="1:13" ht="9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614"/>
    </row>
    <row r="5" spans="1:13" ht="21.95" customHeight="1" x14ac:dyDescent="0.2">
      <c r="A5" s="166"/>
      <c r="B5" s="640"/>
      <c r="C5" s="1223" t="s">
        <v>1368</v>
      </c>
      <c r="D5" s="1223"/>
      <c r="E5" s="1223"/>
      <c r="F5" s="1223"/>
      <c r="G5" s="1223"/>
      <c r="H5" s="1223"/>
      <c r="I5" s="1223"/>
      <c r="J5" s="1223"/>
      <c r="K5" s="1223"/>
      <c r="L5" s="1223"/>
      <c r="M5" s="641"/>
    </row>
    <row r="6" spans="1:13" ht="9.75" customHeight="1" thickBot="1" x14ac:dyDescent="0.3">
      <c r="A6" s="166"/>
      <c r="B6" s="718"/>
      <c r="C6" s="719"/>
      <c r="D6" s="572"/>
      <c r="E6" s="573"/>
      <c r="F6" s="587"/>
      <c r="G6" s="587"/>
      <c r="H6" s="587"/>
      <c r="I6" s="587"/>
      <c r="J6" s="587"/>
      <c r="K6" s="587"/>
      <c r="L6" s="587"/>
      <c r="M6" s="614"/>
    </row>
    <row r="7" spans="1:13" ht="21.95" customHeight="1" x14ac:dyDescent="0.2">
      <c r="A7" s="166"/>
      <c r="B7" s="718"/>
      <c r="C7" s="1224" t="s">
        <v>1349</v>
      </c>
      <c r="D7" s="1226" t="s">
        <v>2</v>
      </c>
      <c r="E7" s="1227"/>
      <c r="F7" s="1230" t="s">
        <v>1350</v>
      </c>
      <c r="G7" s="1232" t="s">
        <v>1351</v>
      </c>
      <c r="H7" s="1232" t="s">
        <v>1352</v>
      </c>
      <c r="I7" s="1234" t="s">
        <v>1353</v>
      </c>
      <c r="J7" s="1235"/>
      <c r="K7" s="1235"/>
      <c r="L7" s="1236"/>
      <c r="M7" s="614"/>
    </row>
    <row r="8" spans="1:13" ht="45.75" customHeight="1" thickBot="1" x14ac:dyDescent="0.25">
      <c r="A8" s="166"/>
      <c r="B8" s="718"/>
      <c r="C8" s="1225"/>
      <c r="D8" s="1228"/>
      <c r="E8" s="1229"/>
      <c r="F8" s="1231"/>
      <c r="G8" s="1233"/>
      <c r="H8" s="1233"/>
      <c r="I8" s="720" t="s">
        <v>187</v>
      </c>
      <c r="J8" s="720" t="s">
        <v>1354</v>
      </c>
      <c r="K8" s="721" t="s">
        <v>1355</v>
      </c>
      <c r="L8" s="722" t="s">
        <v>1356</v>
      </c>
      <c r="M8" s="614"/>
    </row>
    <row r="9" spans="1:13" ht="17.100000000000001" customHeight="1" thickBot="1" x14ac:dyDescent="0.25">
      <c r="A9" s="166"/>
      <c r="B9" s="718"/>
      <c r="C9" s="1237" t="s">
        <v>1347</v>
      </c>
      <c r="D9" s="1237"/>
      <c r="E9" s="1237"/>
      <c r="F9" s="1237"/>
      <c r="G9" s="1237"/>
      <c r="H9" s="1237"/>
      <c r="I9" s="1237"/>
      <c r="J9" s="1237"/>
      <c r="K9" s="1237"/>
      <c r="L9" s="1237"/>
      <c r="M9" s="614"/>
    </row>
    <row r="10" spans="1:13" ht="16.5" customHeight="1" x14ac:dyDescent="0.2">
      <c r="A10" s="42"/>
      <c r="B10" s="718"/>
      <c r="C10" s="723" t="s">
        <v>75</v>
      </c>
      <c r="D10" s="1238" t="str">
        <f>VLOOKUP($C10,'Econômico Detalhado'!$B$8:$R$374,2,0)</f>
        <v>PROJETOS</v>
      </c>
      <c r="E10" s="1238"/>
      <c r="F10" s="747">
        <f>VLOOKUP($C10,'Econômico Detalhado'!$B$8:$R$374,4,0)</f>
        <v>0.76503719672707837</v>
      </c>
      <c r="G10" s="748">
        <f>VLOOKUP($C10,'Econômico Detalhado'!$B$8:$R$374,3,0)</f>
        <v>173226.27362296745</v>
      </c>
      <c r="H10" s="749">
        <f>G10/$G$37*100</f>
        <v>1.9177780763259582</v>
      </c>
      <c r="I10" s="748">
        <f>VLOOKUP($C10,'Econômico Detalhado'!$B$8:$R$374,5,0)</f>
        <v>132524.54277199286</v>
      </c>
      <c r="J10" s="750">
        <f>VLOOKUP($C10,'Econômico Detalhado'!$B$8:$R$374,6,0)+VLOOKUP($C10,'Econômico Detalhado'!$B$8:$R$374,7,0)+VLOOKUP($C10,'Econômico Detalhado'!$B$8:$R$374,8,0)</f>
        <v>127836.80000000002</v>
      </c>
      <c r="K10" s="750">
        <f>G10-J10</f>
        <v>45389.473622967431</v>
      </c>
      <c r="L10" s="751">
        <f>VLOOKUP($C10,'Econômico Detalhado'!$B$8:$R$374,17,0)</f>
        <v>167818.6670407952</v>
      </c>
      <c r="M10" s="614"/>
    </row>
    <row r="11" spans="1:13" ht="16.5" customHeight="1" x14ac:dyDescent="0.2">
      <c r="A11" s="42"/>
      <c r="B11" s="718"/>
      <c r="C11" s="724" t="s">
        <v>82</v>
      </c>
      <c r="D11" s="1218" t="str">
        <f>VLOOKUP($C11,'Econômico Detalhado'!$B$8:$R$374,2,0)</f>
        <v>LAUDOS E ESTUDOS</v>
      </c>
      <c r="E11" s="1218"/>
      <c r="F11" s="752">
        <f>VLOOKUP($C11,'Econômico Detalhado'!$B$8:$R$374,4,0)</f>
        <v>0.56237730903816197</v>
      </c>
      <c r="G11" s="753">
        <f>VLOOKUP($C11,'Econômico Detalhado'!$B$8:$R$374,3,0)</f>
        <v>46773.552599464689</v>
      </c>
      <c r="H11" s="754">
        <f t="shared" ref="H11:H29" si="0">G11/$G$37*100</f>
        <v>0.5178273009691946</v>
      </c>
      <c r="I11" s="753">
        <f>VLOOKUP($C11,'Econômico Detalhado'!$B$8:$R$374,5,0)</f>
        <v>26304.384645041879</v>
      </c>
      <c r="J11" s="755">
        <f>VLOOKUP($C11,'Econômico Detalhado'!$B$8:$R$374,6,0)+VLOOKUP($C11,'Econômico Detalhado'!$B$8:$R$374,7,0)+VLOOKUP($C11,'Econômico Detalhado'!$B$8:$R$374,8,0)</f>
        <v>9098.7899999999991</v>
      </c>
      <c r="K11" s="756">
        <f t="shared" ref="K11:K29" si="1">G11-J11</f>
        <v>37674.762599464688</v>
      </c>
      <c r="L11" s="757">
        <f>VLOOKUP($C11,'Econômico Detalhado'!$B$8:$R$374,17,0)</f>
        <v>22873.556787135607</v>
      </c>
      <c r="M11" s="614"/>
    </row>
    <row r="12" spans="1:13" ht="16.5" customHeight="1" x14ac:dyDescent="0.2">
      <c r="A12" s="42"/>
      <c r="B12" s="718"/>
      <c r="C12" s="725" t="s">
        <v>86</v>
      </c>
      <c r="D12" s="1219" t="str">
        <f>VLOOKUP($C12,'Econômico Detalhado'!$B$8:$R$374,2,0)</f>
        <v>SERVIÇOS PRELIMINARES</v>
      </c>
      <c r="E12" s="1219"/>
      <c r="F12" s="758">
        <f>VLOOKUP($C12,'Econômico Detalhado'!$B$8:$R$374,4,0)</f>
        <v>0.6503478745663035</v>
      </c>
      <c r="G12" s="759">
        <f>VLOOKUP($C12,'Econômico Detalhado'!$B$8:$R$374,3,0)</f>
        <v>43061.185044504804</v>
      </c>
      <c r="H12" s="760">
        <f t="shared" si="0"/>
        <v>0.4767278940532339</v>
      </c>
      <c r="I12" s="759">
        <f>VLOOKUP($C12,'Econômico Detalhado'!$B$8:$R$374,5,0)</f>
        <v>28004.750169999996</v>
      </c>
      <c r="J12" s="761">
        <f>VLOOKUP($C12,'Econômico Detalhado'!$B$8:$R$374,6,0)+VLOOKUP($C12,'Econômico Detalhado'!$B$8:$R$374,7,0)+VLOOKUP($C12,'Econômico Detalhado'!$B$8:$R$374,8,0)</f>
        <v>41783.789999999994</v>
      </c>
      <c r="K12" s="762">
        <f t="shared" si="1"/>
        <v>1277.3950445048104</v>
      </c>
      <c r="L12" s="763">
        <f>VLOOKUP($C12,'Econômico Detalhado'!$B$8:$R$374,17,0)</f>
        <v>46140.786913263852</v>
      </c>
      <c r="M12" s="614"/>
    </row>
    <row r="13" spans="1:13" ht="16.5" customHeight="1" x14ac:dyDescent="0.2">
      <c r="A13" s="42"/>
      <c r="B13" s="718"/>
      <c r="C13" s="724" t="s">
        <v>91</v>
      </c>
      <c r="D13" s="1218" t="str">
        <f>VLOOKUP($C13,'Econômico Detalhado'!$B$8:$R$374,2,0)</f>
        <v>TERRAPLENAGEM</v>
      </c>
      <c r="E13" s="1218"/>
      <c r="F13" s="752">
        <f>VLOOKUP($C13,'Econômico Detalhado'!$B$8:$R$374,4,0)</f>
        <v>1</v>
      </c>
      <c r="G13" s="753">
        <f>VLOOKUP($C13,'Econômico Detalhado'!$B$8:$R$374,3,0)</f>
        <v>39800</v>
      </c>
      <c r="H13" s="754">
        <f t="shared" si="0"/>
        <v>0.44062350266739875</v>
      </c>
      <c r="I13" s="753">
        <f>VLOOKUP($C13,'Econômico Detalhado'!$B$8:$R$374,5,0)</f>
        <v>39800</v>
      </c>
      <c r="J13" s="755">
        <f>VLOOKUP($C13,'Econômico Detalhado'!$B$8:$R$374,6,0)+VLOOKUP($C13,'Econômico Detalhado'!$B$8:$R$374,7,0)+VLOOKUP($C13,'Econômico Detalhado'!$B$8:$R$374,8,0)</f>
        <v>27263.38</v>
      </c>
      <c r="K13" s="756">
        <f t="shared" si="1"/>
        <v>12536.619999999999</v>
      </c>
      <c r="L13" s="757">
        <f>VLOOKUP($C13,'Econômico Detalhado'!$B$8:$R$374,17,0)</f>
        <v>27263.38</v>
      </c>
      <c r="M13" s="614"/>
    </row>
    <row r="14" spans="1:13" ht="16.5" customHeight="1" x14ac:dyDescent="0.2">
      <c r="A14" s="42"/>
      <c r="B14" s="718"/>
      <c r="C14" s="725" t="s">
        <v>95</v>
      </c>
      <c r="D14" s="1219" t="str">
        <f>VLOOKUP($C14,'Econômico Detalhado'!$B$8:$R$374,2,0)</f>
        <v>FUNDAÇÃO</v>
      </c>
      <c r="E14" s="1219"/>
      <c r="F14" s="758">
        <f>VLOOKUP($C14,'Econômico Detalhado'!$B$8:$R$374,4,0)</f>
        <v>0.53967913597323025</v>
      </c>
      <c r="G14" s="759">
        <f>VLOOKUP($C14,'Econômico Detalhado'!$B$8:$R$374,3,0)</f>
        <v>580536.68538212858</v>
      </c>
      <c r="H14" s="760">
        <f t="shared" si="0"/>
        <v>6.4270881341707318</v>
      </c>
      <c r="I14" s="759">
        <f>VLOOKUP($C14,'Econômico Detalhado'!$B$8:$R$374,5,0)</f>
        <v>313303.53676779015</v>
      </c>
      <c r="J14" s="761">
        <f>VLOOKUP($C14,'Econômico Detalhado'!$B$8:$R$374,6,0)+VLOOKUP($C14,'Econômico Detalhado'!$B$8:$R$374,7,0)+VLOOKUP($C14,'Econômico Detalhado'!$B$8:$R$374,8,0)</f>
        <v>323852.3270367267</v>
      </c>
      <c r="K14" s="762">
        <f t="shared" si="1"/>
        <v>256684.35834540188</v>
      </c>
      <c r="L14" s="763">
        <f>VLOOKUP($C14,'Econômico Detalhado'!$B$8:$R$374,17,0)</f>
        <v>545655.39994296688</v>
      </c>
      <c r="M14" s="614"/>
    </row>
    <row r="15" spans="1:13" ht="16.5" customHeight="1" x14ac:dyDescent="0.2">
      <c r="A15" s="42"/>
      <c r="B15" s="718"/>
      <c r="C15" s="724" t="s">
        <v>105</v>
      </c>
      <c r="D15" s="1218" t="str">
        <f>VLOOKUP($C15,'Econômico Detalhado'!$B$8:$R$374,2,0)</f>
        <v>SUPER-ESTRUTURA</v>
      </c>
      <c r="E15" s="1218"/>
      <c r="F15" s="752">
        <f>VLOOKUP($C15,'Econômico Detalhado'!$B$8:$R$374,4,0)</f>
        <v>0</v>
      </c>
      <c r="G15" s="753">
        <f>VLOOKUP($C15,'Econômico Detalhado'!$B$8:$R$374,3,0)</f>
        <v>1100502.1344380185</v>
      </c>
      <c r="H15" s="754">
        <f t="shared" si="0"/>
        <v>12.183595607262015</v>
      </c>
      <c r="I15" s="753">
        <f>VLOOKUP($C15,'Econômico Detalhado'!$B$8:$R$374,5,0)</f>
        <v>0</v>
      </c>
      <c r="J15" s="755">
        <f>VLOOKUP($C15,'Econômico Detalhado'!$B$8:$R$374,6,0)+VLOOKUP($C15,'Econômico Detalhado'!$B$8:$R$374,7,0)+VLOOKUP($C15,'Econômico Detalhado'!$B$8:$R$374,8,0)</f>
        <v>0</v>
      </c>
      <c r="K15" s="756">
        <f t="shared" si="1"/>
        <v>1100502.1344380185</v>
      </c>
      <c r="L15" s="757">
        <f>VLOOKUP($C15,'Econômico Detalhado'!$B$8:$R$374,17,0)</f>
        <v>1100502.1344380185</v>
      </c>
      <c r="M15" s="614"/>
    </row>
    <row r="16" spans="1:13" ht="16.5" customHeight="1" x14ac:dyDescent="0.2">
      <c r="A16" s="42"/>
      <c r="B16" s="718"/>
      <c r="C16" s="725" t="s">
        <v>108</v>
      </c>
      <c r="D16" s="1219" t="str">
        <f>VLOOKUP($C16,'Econômico Detalhado'!$B$8:$R$374,2,0)</f>
        <v>ALVENARIA / FECHAMENTO</v>
      </c>
      <c r="E16" s="1219"/>
      <c r="F16" s="758">
        <f>VLOOKUP($C16,'Econômico Detalhado'!$B$8:$R$374,4,0)</f>
        <v>0</v>
      </c>
      <c r="G16" s="759">
        <f>VLOOKUP($C16,'Econômico Detalhado'!$B$8:$R$374,3,0)</f>
        <v>223315.11512617685</v>
      </c>
      <c r="H16" s="760">
        <f t="shared" si="0"/>
        <v>2.4723087493836542</v>
      </c>
      <c r="I16" s="759">
        <f>VLOOKUP($C16,'Econômico Detalhado'!$B$8:$R$374,5,0)</f>
        <v>0</v>
      </c>
      <c r="J16" s="761">
        <f>VLOOKUP($C16,'Econômico Detalhado'!$B$8:$R$374,6,0)+VLOOKUP($C16,'Econômico Detalhado'!$B$8:$R$374,7,0)+VLOOKUP($C16,'Econômico Detalhado'!$B$8:$R$374,8,0)</f>
        <v>0</v>
      </c>
      <c r="K16" s="762">
        <f t="shared" si="1"/>
        <v>223315.11512617685</v>
      </c>
      <c r="L16" s="763">
        <f>VLOOKUP($C16,'Econômico Detalhado'!$B$8:$R$374,17,0)</f>
        <v>223315.11512617685</v>
      </c>
      <c r="M16" s="614"/>
    </row>
    <row r="17" spans="1:13" ht="16.5" customHeight="1" x14ac:dyDescent="0.2">
      <c r="A17" s="42"/>
      <c r="B17" s="718"/>
      <c r="C17" s="724" t="s">
        <v>110</v>
      </c>
      <c r="D17" s="1218" t="str">
        <f>VLOOKUP($C17,'Econômico Detalhado'!$B$8:$R$374,2,0)</f>
        <v>IMPERMEABILIZAÇÃO / ISOLAMENTO</v>
      </c>
      <c r="E17" s="1218"/>
      <c r="F17" s="752">
        <f>VLOOKUP($C17,'Econômico Detalhado'!$B$8:$R$374,4,0)</f>
        <v>0</v>
      </c>
      <c r="G17" s="753">
        <f>VLOOKUP($C17,'Econômico Detalhado'!$B$8:$R$374,3,0)</f>
        <v>85144.774998207606</v>
      </c>
      <c r="H17" s="754">
        <f t="shared" si="0"/>
        <v>0.94263288928486921</v>
      </c>
      <c r="I17" s="753">
        <f>VLOOKUP($C17,'Econômico Detalhado'!$B$8:$R$374,5,0)</f>
        <v>0</v>
      </c>
      <c r="J17" s="755">
        <f>VLOOKUP($C17,'Econômico Detalhado'!$B$8:$R$374,6,0)+VLOOKUP($C17,'Econômico Detalhado'!$B$8:$R$374,7,0)+VLOOKUP($C17,'Econômico Detalhado'!$B$8:$R$374,8,0)</f>
        <v>0</v>
      </c>
      <c r="K17" s="756">
        <f t="shared" si="1"/>
        <v>85144.774998207606</v>
      </c>
      <c r="L17" s="757">
        <f>VLOOKUP($C17,'Econômico Detalhado'!$B$8:$R$374,17,0)</f>
        <v>85144.774998207606</v>
      </c>
      <c r="M17" s="614"/>
    </row>
    <row r="18" spans="1:13" ht="16.5" customHeight="1" x14ac:dyDescent="0.2">
      <c r="A18" s="42"/>
      <c r="B18" s="718"/>
      <c r="C18" s="725" t="s">
        <v>112</v>
      </c>
      <c r="D18" s="1219" t="str">
        <f>VLOOKUP($C18,'Econômico Detalhado'!$B$8:$R$374,2,0)</f>
        <v>REVESTIMENTO DE PISO</v>
      </c>
      <c r="E18" s="1219"/>
      <c r="F18" s="758">
        <f>VLOOKUP($C18,'Econômico Detalhado'!$B$8:$R$374,4,0)</f>
        <v>0</v>
      </c>
      <c r="G18" s="759">
        <f>VLOOKUP($C18,'Econômico Detalhado'!$B$8:$R$374,3,0)</f>
        <v>354784.94985364575</v>
      </c>
      <c r="H18" s="760">
        <f t="shared" si="0"/>
        <v>3.9278037009595672</v>
      </c>
      <c r="I18" s="759">
        <f>VLOOKUP($C18,'Econômico Detalhado'!$B$8:$R$374,5,0)</f>
        <v>0</v>
      </c>
      <c r="J18" s="761">
        <f>VLOOKUP($C18,'Econômico Detalhado'!$B$8:$R$374,6,0)+VLOOKUP($C18,'Econômico Detalhado'!$B$8:$R$374,7,0)+VLOOKUP($C18,'Econômico Detalhado'!$B$8:$R$374,8,0)</f>
        <v>0</v>
      </c>
      <c r="K18" s="762">
        <f t="shared" si="1"/>
        <v>354784.94985364575</v>
      </c>
      <c r="L18" s="763">
        <f>VLOOKUP($C18,'Econômico Detalhado'!$B$8:$R$374,17,0)</f>
        <v>354784.94985364575</v>
      </c>
      <c r="M18" s="614"/>
    </row>
    <row r="19" spans="1:13" ht="16.5" customHeight="1" x14ac:dyDescent="0.2">
      <c r="A19" s="42"/>
      <c r="B19" s="718"/>
      <c r="C19" s="724" t="s">
        <v>122</v>
      </c>
      <c r="D19" s="1218" t="str">
        <f>VLOOKUP($C19,'Econômico Detalhado'!$B$8:$R$374,2,0)</f>
        <v>REVESTIMENTO DE PAREDE</v>
      </c>
      <c r="E19" s="1218"/>
      <c r="F19" s="752">
        <f>VLOOKUP($C19,'Econômico Detalhado'!$B$8:$R$374,4,0)</f>
        <v>0</v>
      </c>
      <c r="G19" s="753">
        <f>VLOOKUP($C19,'Econômico Detalhado'!$B$8:$R$374,3,0)</f>
        <v>289326.92231887195</v>
      </c>
      <c r="H19" s="754">
        <f t="shared" si="0"/>
        <v>3.2031216564854206</v>
      </c>
      <c r="I19" s="753">
        <f>VLOOKUP($C19,'Econômico Detalhado'!$B$8:$R$374,5,0)</f>
        <v>0</v>
      </c>
      <c r="J19" s="755">
        <f>VLOOKUP($C19,'Econômico Detalhado'!$B$8:$R$374,6,0)+VLOOKUP($C19,'Econômico Detalhado'!$B$8:$R$374,7,0)+VLOOKUP($C19,'Econômico Detalhado'!$B$8:$R$374,8,0)</f>
        <v>0</v>
      </c>
      <c r="K19" s="756">
        <f t="shared" si="1"/>
        <v>289326.92231887195</v>
      </c>
      <c r="L19" s="757">
        <f>VLOOKUP($C19,'Econômico Detalhado'!$B$8:$R$374,17,0)</f>
        <v>289326.92231887195</v>
      </c>
      <c r="M19" s="614"/>
    </row>
    <row r="20" spans="1:13" ht="16.5" customHeight="1" x14ac:dyDescent="0.2">
      <c r="A20" s="42"/>
      <c r="B20" s="718"/>
      <c r="C20" s="725" t="s">
        <v>133</v>
      </c>
      <c r="D20" s="1219" t="str">
        <f>VLOOKUP($C20,'Econômico Detalhado'!$B$8:$R$374,2,0)</f>
        <v>REVESTIMENTO DE TETO</v>
      </c>
      <c r="E20" s="1219"/>
      <c r="F20" s="758">
        <f>VLOOKUP($C20,'Econômico Detalhado'!$B$8:$R$374,4,0)</f>
        <v>0</v>
      </c>
      <c r="G20" s="759">
        <f>VLOOKUP($C20,'Econômico Detalhado'!$B$8:$R$374,3,0)</f>
        <v>44536.163726210405</v>
      </c>
      <c r="H20" s="760">
        <f t="shared" si="0"/>
        <v>0.4930572978997883</v>
      </c>
      <c r="I20" s="759">
        <f>VLOOKUP($C20,'Econômico Detalhado'!$B$8:$R$374,5,0)</f>
        <v>0</v>
      </c>
      <c r="J20" s="761">
        <f>VLOOKUP($C20,'Econômico Detalhado'!$B$8:$R$374,6,0)+VLOOKUP($C20,'Econômico Detalhado'!$B$8:$R$374,7,0)+VLOOKUP($C20,'Econômico Detalhado'!$B$8:$R$374,8,0)</f>
        <v>0</v>
      </c>
      <c r="K20" s="762">
        <f t="shared" si="1"/>
        <v>44536.163726210405</v>
      </c>
      <c r="L20" s="763">
        <f>VLOOKUP($C20,'Econômico Detalhado'!$B$8:$R$374,17,0)</f>
        <v>44536.163726210405</v>
      </c>
      <c r="M20" s="614"/>
    </row>
    <row r="21" spans="1:13" ht="16.5" customHeight="1" x14ac:dyDescent="0.2">
      <c r="A21" s="42"/>
      <c r="B21" s="718"/>
      <c r="C21" s="724" t="s">
        <v>134</v>
      </c>
      <c r="D21" s="1218" t="str">
        <f>VLOOKUP($C21,'Econômico Detalhado'!$B$8:$R$374,2,0)</f>
        <v>REVESTIMENTO EXTERNO</v>
      </c>
      <c r="E21" s="1218"/>
      <c r="F21" s="752">
        <f>VLOOKUP($C21,'Econômico Detalhado'!$B$8:$R$374,4,0)</f>
        <v>0</v>
      </c>
      <c r="G21" s="753">
        <f>VLOOKUP($C21,'Econômico Detalhado'!$B$8:$R$374,3,0)</f>
        <v>396282.29247289081</v>
      </c>
      <c r="H21" s="754">
        <f t="shared" si="0"/>
        <v>4.3872183857907459</v>
      </c>
      <c r="I21" s="753">
        <f>VLOOKUP($C21,'Econômico Detalhado'!$B$8:$R$374,5,0)</f>
        <v>0</v>
      </c>
      <c r="J21" s="755">
        <f>VLOOKUP($C21,'Econômico Detalhado'!$B$8:$R$374,6,0)+VLOOKUP($C21,'Econômico Detalhado'!$B$8:$R$374,7,0)+VLOOKUP($C21,'Econômico Detalhado'!$B$8:$R$374,8,0)</f>
        <v>0</v>
      </c>
      <c r="K21" s="756">
        <f t="shared" si="1"/>
        <v>396282.29247289081</v>
      </c>
      <c r="L21" s="757">
        <f>VLOOKUP($C21,'Econômico Detalhado'!$B$8:$R$374,17,0)</f>
        <v>396282.29247289081</v>
      </c>
      <c r="M21" s="614"/>
    </row>
    <row r="22" spans="1:13" ht="16.5" customHeight="1" x14ac:dyDescent="0.2">
      <c r="A22" s="42"/>
      <c r="B22" s="718"/>
      <c r="C22" s="725" t="s">
        <v>140</v>
      </c>
      <c r="D22" s="1219" t="str">
        <f>VLOOKUP($C22,'Econômico Detalhado'!$B$8:$R$374,2,0)</f>
        <v>ESQUADRIAS DE ALUMÍNIO</v>
      </c>
      <c r="E22" s="1219"/>
      <c r="F22" s="758">
        <f>VLOOKUP($C22,'Econômico Detalhado'!$B$8:$R$374,4,0)</f>
        <v>0</v>
      </c>
      <c r="G22" s="759">
        <f>VLOOKUP($C22,'Econômico Detalhado'!$B$8:$R$374,3,0)</f>
        <v>569475.83080517768</v>
      </c>
      <c r="H22" s="760">
        <f t="shared" si="0"/>
        <v>6.3046340516031227</v>
      </c>
      <c r="I22" s="759">
        <f>VLOOKUP($C22,'Econômico Detalhado'!$B$8:$R$374,5,0)</f>
        <v>0</v>
      </c>
      <c r="J22" s="761">
        <f>VLOOKUP($C22,'Econômico Detalhado'!$B$8:$R$374,6,0)+VLOOKUP($C22,'Econômico Detalhado'!$B$8:$R$374,7,0)+VLOOKUP($C22,'Econômico Detalhado'!$B$8:$R$374,8,0)</f>
        <v>0</v>
      </c>
      <c r="K22" s="762">
        <f t="shared" si="1"/>
        <v>569475.83080517768</v>
      </c>
      <c r="L22" s="763">
        <f>VLOOKUP($C22,'Econômico Detalhado'!$B$8:$R$374,17,0)</f>
        <v>569475.83080517768</v>
      </c>
      <c r="M22" s="614"/>
    </row>
    <row r="23" spans="1:13" ht="16.5" customHeight="1" x14ac:dyDescent="0.2">
      <c r="A23" s="42"/>
      <c r="B23" s="718"/>
      <c r="C23" s="724" t="s">
        <v>141</v>
      </c>
      <c r="D23" s="1218" t="str">
        <f>VLOOKUP($C23,'Econômico Detalhado'!$B$8:$R$374,2,0)</f>
        <v>ESQUADRIAS EM METALON</v>
      </c>
      <c r="E23" s="1218"/>
      <c r="F23" s="752">
        <f>VLOOKUP($C23,'Econômico Detalhado'!$B$8:$R$374,4,0)</f>
        <v>0</v>
      </c>
      <c r="G23" s="753">
        <f>VLOOKUP($C23,'Econômico Detalhado'!$B$8:$R$374,3,0)</f>
        <v>59268.460330886417</v>
      </c>
      <c r="H23" s="754">
        <f t="shared" si="0"/>
        <v>0.65615770323364186</v>
      </c>
      <c r="I23" s="753">
        <f>VLOOKUP($C23,'Econômico Detalhado'!$B$8:$R$374,5,0)</f>
        <v>0</v>
      </c>
      <c r="J23" s="755">
        <f>VLOOKUP($C23,'Econômico Detalhado'!$B$8:$R$374,6,0)+VLOOKUP($C23,'Econômico Detalhado'!$B$8:$R$374,7,0)+VLOOKUP($C23,'Econômico Detalhado'!$B$8:$R$374,8,0)</f>
        <v>0</v>
      </c>
      <c r="K23" s="756">
        <f t="shared" si="1"/>
        <v>59268.460330886417</v>
      </c>
      <c r="L23" s="757">
        <f>VLOOKUP($C23,'Econômico Detalhado'!$B$8:$R$374,17,0)</f>
        <v>59268.460330886417</v>
      </c>
      <c r="M23" s="614"/>
    </row>
    <row r="24" spans="1:13" ht="16.5" customHeight="1" x14ac:dyDescent="0.2">
      <c r="A24" s="42"/>
      <c r="B24" s="718"/>
      <c r="C24" s="725" t="s">
        <v>145</v>
      </c>
      <c r="D24" s="1219" t="str">
        <f>VLOOKUP($C24,'Econômico Detalhado'!$B$8:$R$374,2,0)</f>
        <v>ESQUADRIAS EM MADEIRA</v>
      </c>
      <c r="E24" s="1219"/>
      <c r="F24" s="758">
        <f>VLOOKUP($C24,'Econômico Detalhado'!$B$8:$R$374,4,0)</f>
        <v>0</v>
      </c>
      <c r="G24" s="759">
        <f>VLOOKUP($C24,'Econômico Detalhado'!$B$8:$R$374,3,0)</f>
        <v>73036.458725382006</v>
      </c>
      <c r="H24" s="760">
        <f t="shared" si="0"/>
        <v>0.80858241874373649</v>
      </c>
      <c r="I24" s="759">
        <f>VLOOKUP($C24,'Econômico Detalhado'!$B$8:$R$374,5,0)</f>
        <v>0</v>
      </c>
      <c r="J24" s="761">
        <f>VLOOKUP($C24,'Econômico Detalhado'!$B$8:$R$374,6,0)+VLOOKUP($C24,'Econômico Detalhado'!$B$8:$R$374,7,0)+VLOOKUP($C24,'Econômico Detalhado'!$B$8:$R$374,8,0)</f>
        <v>0</v>
      </c>
      <c r="K24" s="762">
        <f t="shared" si="1"/>
        <v>73036.458725382006</v>
      </c>
      <c r="L24" s="763">
        <f>VLOOKUP($C24,'Econômico Detalhado'!$B$8:$R$374,17,0)</f>
        <v>73036.458725382006</v>
      </c>
      <c r="M24" s="614"/>
    </row>
    <row r="25" spans="1:13" ht="16.5" customHeight="1" x14ac:dyDescent="0.2">
      <c r="A25" s="42"/>
      <c r="B25" s="718"/>
      <c r="C25" s="724" t="s">
        <v>146</v>
      </c>
      <c r="D25" s="1218" t="str">
        <f>VLOOKUP($C25,'Econômico Detalhado'!$B$8:$R$374,2,0)</f>
        <v>INSTALAÇÕES</v>
      </c>
      <c r="E25" s="1218"/>
      <c r="F25" s="752">
        <f>VLOOKUP($C25,'Econômico Detalhado'!$B$8:$R$374,4,0)</f>
        <v>3.48955968295366E-2</v>
      </c>
      <c r="G25" s="753">
        <f>VLOOKUP($C25,'Econômico Detalhado'!$B$8:$R$374,3,0)</f>
        <v>963491.04535304895</v>
      </c>
      <c r="H25" s="754">
        <f t="shared" si="0"/>
        <v>10.666753748546078</v>
      </c>
      <c r="I25" s="753">
        <f>VLOOKUP($C25,'Econômico Detalhado'!$B$8:$R$374,5,0)</f>
        <v>33621.595067508759</v>
      </c>
      <c r="J25" s="755">
        <f>VLOOKUP($C25,'Econômico Detalhado'!$B$8:$R$374,6,0)+VLOOKUP($C25,'Econômico Detalhado'!$B$8:$R$374,7,0)+VLOOKUP($C25,'Econômico Detalhado'!$B$8:$R$374,8,0)</f>
        <v>37083.459999999992</v>
      </c>
      <c r="K25" s="756">
        <f t="shared" si="1"/>
        <v>926407.58535304898</v>
      </c>
      <c r="L25" s="757">
        <f>VLOOKUP($C25,'Econômico Detalhado'!$B$8:$R$374,17,0)</f>
        <v>963491.04535304895</v>
      </c>
      <c r="M25" s="614"/>
    </row>
    <row r="26" spans="1:13" ht="16.5" customHeight="1" x14ac:dyDescent="0.2">
      <c r="A26" s="42"/>
      <c r="B26" s="718"/>
      <c r="C26" s="725" t="s">
        <v>147</v>
      </c>
      <c r="D26" s="1219" t="str">
        <f>VLOOKUP($C26,'Econômico Detalhado'!$B$8:$R$374,2,0)</f>
        <v>BANCADAS</v>
      </c>
      <c r="E26" s="1219"/>
      <c r="F26" s="758">
        <f>VLOOKUP($C26,'Econômico Detalhado'!$B$8:$R$374,4,0)</f>
        <v>0</v>
      </c>
      <c r="G26" s="759">
        <f>VLOOKUP($C26,'Econômico Detalhado'!$B$8:$R$374,3,0)</f>
        <v>85590.622576810798</v>
      </c>
      <c r="H26" s="760">
        <f t="shared" si="0"/>
        <v>0.94756884209240466</v>
      </c>
      <c r="I26" s="759">
        <f>VLOOKUP($C26,'Econômico Detalhado'!$B$8:$R$374,5,0)</f>
        <v>0</v>
      </c>
      <c r="J26" s="761">
        <f>VLOOKUP($C26,'Econômico Detalhado'!$B$8:$R$374,6,0)+VLOOKUP($C26,'Econômico Detalhado'!$B$8:$R$374,7,0)+VLOOKUP($C26,'Econômico Detalhado'!$B$8:$R$374,8,0)</f>
        <v>0</v>
      </c>
      <c r="K26" s="762">
        <f t="shared" si="1"/>
        <v>85590.622576810798</v>
      </c>
      <c r="L26" s="763">
        <f>VLOOKUP($C26,'Econômico Detalhado'!$B$8:$R$374,17,0)</f>
        <v>85590.622576810798</v>
      </c>
      <c r="M26" s="614"/>
    </row>
    <row r="27" spans="1:13" ht="16.5" customHeight="1" x14ac:dyDescent="0.2">
      <c r="A27" s="42"/>
      <c r="B27" s="718"/>
      <c r="C27" s="724" t="s">
        <v>148</v>
      </c>
      <c r="D27" s="1218" t="str">
        <f>VLOOKUP($C27,'Econômico Detalhado'!$B$8:$R$374,2,0)</f>
        <v>LOUÇAS E METAIS</v>
      </c>
      <c r="E27" s="1218"/>
      <c r="F27" s="752">
        <f>VLOOKUP($C27,'Econômico Detalhado'!$B$8:$R$374,4,0)</f>
        <v>0</v>
      </c>
      <c r="G27" s="753">
        <f>VLOOKUP($C27,'Econômico Detalhado'!$B$8:$R$374,3,0)</f>
        <v>114825.3764402916</v>
      </c>
      <c r="H27" s="754">
        <f t="shared" si="0"/>
        <v>1.2712251146287408</v>
      </c>
      <c r="I27" s="753">
        <f>VLOOKUP($C27,'Econômico Detalhado'!$B$8:$R$374,5,0)</f>
        <v>0</v>
      </c>
      <c r="J27" s="755">
        <f>VLOOKUP($C27,'Econômico Detalhado'!$B$8:$R$374,6,0)+VLOOKUP($C27,'Econômico Detalhado'!$B$8:$R$374,7,0)+VLOOKUP($C27,'Econômico Detalhado'!$B$8:$R$374,8,0)</f>
        <v>0</v>
      </c>
      <c r="K27" s="756">
        <f t="shared" si="1"/>
        <v>114825.3764402916</v>
      </c>
      <c r="L27" s="757">
        <f>VLOOKUP($C27,'Econômico Detalhado'!$B$8:$R$374,17,0)</f>
        <v>114825.3764402916</v>
      </c>
      <c r="M27" s="614"/>
    </row>
    <row r="28" spans="1:13" ht="16.5" customHeight="1" x14ac:dyDescent="0.2">
      <c r="A28" s="42"/>
      <c r="B28" s="718"/>
      <c r="C28" s="725" t="s">
        <v>149</v>
      </c>
      <c r="D28" s="1219" t="str">
        <f>VLOOKUP($C28,'Econômico Detalhado'!$B$8:$R$374,2,0)</f>
        <v>PINTURA</v>
      </c>
      <c r="E28" s="1219"/>
      <c r="F28" s="758">
        <f>VLOOKUP($C28,'Econômico Detalhado'!$B$8:$R$374,4,0)</f>
        <v>0</v>
      </c>
      <c r="G28" s="759">
        <f>VLOOKUP($C28,'Econômico Detalhado'!$B$8:$R$374,3,0)</f>
        <v>188320.76261391965</v>
      </c>
      <c r="H28" s="760">
        <f t="shared" si="0"/>
        <v>2.0848882926618337</v>
      </c>
      <c r="I28" s="759">
        <f>VLOOKUP($C28,'Econômico Detalhado'!$B$8:$R$374,5,0)</f>
        <v>0</v>
      </c>
      <c r="J28" s="761">
        <f>VLOOKUP($C28,'Econômico Detalhado'!$B$8:$R$374,6,0)+VLOOKUP($C28,'Econômico Detalhado'!$B$8:$R$374,7,0)+VLOOKUP($C28,'Econômico Detalhado'!$B$8:$R$374,8,0)</f>
        <v>0</v>
      </c>
      <c r="K28" s="762">
        <f t="shared" si="1"/>
        <v>188320.76261391965</v>
      </c>
      <c r="L28" s="763">
        <f>VLOOKUP($C28,'Econômico Detalhado'!$B$8:$R$374,17,0)</f>
        <v>188320.76261391965</v>
      </c>
      <c r="M28" s="614"/>
    </row>
    <row r="29" spans="1:13" ht="16.5" customHeight="1" thickBot="1" x14ac:dyDescent="0.25">
      <c r="A29" s="42"/>
      <c r="B29" s="718"/>
      <c r="C29" s="784" t="s">
        <v>150</v>
      </c>
      <c r="D29" s="1239" t="str">
        <f>VLOOKUP($C29,'Econômico Detalhado'!$B$8:$R$374,2,0)</f>
        <v>DIVERSOS</v>
      </c>
      <c r="E29" s="1239"/>
      <c r="F29" s="785">
        <f>VLOOKUP($C29,'Econômico Detalhado'!$B$8:$R$374,4,0)</f>
        <v>0</v>
      </c>
      <c r="G29" s="786">
        <f>VLOOKUP($C29,'Econômico Detalhado'!$B$8:$R$374,3,0)</f>
        <v>173763.75272806804</v>
      </c>
      <c r="H29" s="787">
        <f t="shared" si="0"/>
        <v>1.9237284764741982</v>
      </c>
      <c r="I29" s="786">
        <f>VLOOKUP($C29,'Econômico Detalhado'!$B$8:$R$374,5,0)</f>
        <v>0</v>
      </c>
      <c r="J29" s="788">
        <f>VLOOKUP($C29,'Econômico Detalhado'!$B$8:$R$374,6,0)+VLOOKUP($C29,'Econômico Detalhado'!$B$8:$R$374,7,0)+VLOOKUP($C29,'Econômico Detalhado'!$B$8:$R$374,8,0)</f>
        <v>0</v>
      </c>
      <c r="K29" s="789">
        <f t="shared" si="1"/>
        <v>173763.75272806804</v>
      </c>
      <c r="L29" s="790">
        <f>VLOOKUP($C29,'Econômico Detalhado'!$B$8:$R$374,17,0)</f>
        <v>173763.75272806804</v>
      </c>
      <c r="M29" s="614"/>
    </row>
    <row r="30" spans="1:13" ht="17.100000000000001" customHeight="1" thickBot="1" x14ac:dyDescent="0.25">
      <c r="A30" s="166"/>
      <c r="B30" s="718"/>
      <c r="C30" s="1237" t="s">
        <v>16</v>
      </c>
      <c r="D30" s="1237"/>
      <c r="E30" s="1237"/>
      <c r="F30" s="1237"/>
      <c r="G30" s="1237"/>
      <c r="H30" s="1237"/>
      <c r="I30" s="1237"/>
      <c r="J30" s="1237"/>
      <c r="K30" s="1237"/>
      <c r="L30" s="1237"/>
      <c r="M30" s="614"/>
    </row>
    <row r="31" spans="1:13" ht="16.5" customHeight="1" x14ac:dyDescent="0.2">
      <c r="A31" s="42"/>
      <c r="B31" s="718"/>
      <c r="C31" s="727" t="s">
        <v>75</v>
      </c>
      <c r="D31" s="1240" t="str">
        <f>VLOOKUP($C31,'Econômico Detalhado'!$B$377:$R$474,2,0)</f>
        <v>LICENÇAS, TAXAS E EMOLUMENTOS</v>
      </c>
      <c r="E31" s="1240"/>
      <c r="F31" s="764">
        <f>VLOOKUP($C31,'Econômico Detalhado'!$B$377:$R$474,4,0)</f>
        <v>0.15828405398169995</v>
      </c>
      <c r="G31" s="765">
        <f>VLOOKUP($C31,'Econômico Detalhado'!$B$377:$R$474,3,0)</f>
        <v>178833.32366365363</v>
      </c>
      <c r="H31" s="766">
        <f t="shared" ref="H31" si="2">G31/$G$37*100</f>
        <v>1.9798534036766748</v>
      </c>
      <c r="I31" s="765">
        <f>VLOOKUP($C31,'Econômico Detalhado'!$B$377:$R$474,5,0)</f>
        <v>28306.463456504571</v>
      </c>
      <c r="J31" s="767">
        <f>VLOOKUP($C31,'Econômico Detalhado'!$B$377:$R$474,6,0)+VLOOKUP($C31,'Econômico Detalhado'!$B$377:$R$474,7,0)+VLOOKUP($C31,'Econômico Detalhado'!$B$377:$R$474,8,0)</f>
        <v>18336.84</v>
      </c>
      <c r="K31" s="768">
        <f t="shared" ref="K31" si="3">G31-J31</f>
        <v>160496.48366365363</v>
      </c>
      <c r="L31" s="769">
        <f>VLOOKUP($C31,'Econômico Detalhado'!$B$377:$R$474,17,0)</f>
        <v>178833.32366365363</v>
      </c>
      <c r="M31" s="614"/>
    </row>
    <row r="32" spans="1:13" ht="16.5" customHeight="1" x14ac:dyDescent="0.2">
      <c r="A32" s="42"/>
      <c r="B32" s="718"/>
      <c r="C32" s="725" t="s">
        <v>82</v>
      </c>
      <c r="D32" s="1219" t="str">
        <f>VLOOKUP($C32,'Econômico Detalhado'!$B$377:$R$474,2,0)</f>
        <v>SEGURANÇA DO TRABALHO</v>
      </c>
      <c r="E32" s="1219"/>
      <c r="F32" s="758">
        <f>VLOOKUP($C32,'Econômico Detalhado'!$B$377:$R$474,4,0)</f>
        <v>4.6460926409838357E-2</v>
      </c>
      <c r="G32" s="770">
        <f>VLOOKUP($C32,'Econômico Detalhado'!$B$377:$R$474,3,0)</f>
        <v>67550.056729228236</v>
      </c>
      <c r="H32" s="760">
        <f t="shared" ref="H32:H36" si="4">G32/$G$37*100</f>
        <v>0.74784277893000073</v>
      </c>
      <c r="I32" s="770">
        <f>VLOOKUP($C32,'Econômico Detalhado'!$B$377:$R$474,5,0)</f>
        <v>3138.4382146770795</v>
      </c>
      <c r="J32" s="771">
        <f>VLOOKUP($C32,'Econômico Detalhado'!$B$377:$R$474,6,0)+VLOOKUP($C32,'Econômico Detalhado'!$B$377:$R$474,7,0)+VLOOKUP($C32,'Econômico Detalhado'!$B$377:$R$474,8,0)</f>
        <v>2599.8199999999997</v>
      </c>
      <c r="K32" s="772">
        <f t="shared" ref="K32:K36" si="5">G32-J32</f>
        <v>64950.236729228236</v>
      </c>
      <c r="L32" s="773">
        <f>VLOOKUP($C32,'Econômico Detalhado'!$B$377:$R$474,17,0)</f>
        <v>67550.056729228236</v>
      </c>
      <c r="M32" s="614"/>
    </row>
    <row r="33" spans="1:13" ht="16.5" customHeight="1" x14ac:dyDescent="0.2">
      <c r="A33" s="42"/>
      <c r="B33" s="718"/>
      <c r="C33" s="724" t="s">
        <v>86</v>
      </c>
      <c r="D33" s="1218" t="str">
        <f>VLOOKUP($C33,'Econômico Detalhado'!$B$377:$R$474,2,0)</f>
        <v>CUSTOS INDIRETOS - PESSOAL</v>
      </c>
      <c r="E33" s="1218"/>
      <c r="F33" s="752">
        <f>VLOOKUP($C33,'Econômico Detalhado'!$B$377:$R$474,4,0)</f>
        <v>0.12733172654301927</v>
      </c>
      <c r="G33" s="774">
        <f>VLOOKUP($C33,'Econômico Detalhado'!$B$377:$R$474,3,0)</f>
        <v>1513971.5867407515</v>
      </c>
      <c r="H33" s="754">
        <f t="shared" si="4"/>
        <v>16.761092047453001</v>
      </c>
      <c r="I33" s="774">
        <f>VLOOKUP($C33,'Econômico Detalhado'!$B$377:$R$474,5,0)</f>
        <v>192776.61607677434</v>
      </c>
      <c r="J33" s="775">
        <f>VLOOKUP($C33,'Econômico Detalhado'!$B$377:$R$474,6,0)+VLOOKUP($C33,'Econômico Detalhado'!$B$377:$R$474,7,0)+VLOOKUP($C33,'Econômico Detalhado'!$B$377:$R$474,8,0)</f>
        <v>126831.37</v>
      </c>
      <c r="K33" s="776">
        <f t="shared" si="5"/>
        <v>1387140.2167407516</v>
      </c>
      <c r="L33" s="777">
        <f>VLOOKUP($C33,'Econômico Detalhado'!$B$377:$R$474,17,0)</f>
        <v>1513971.5867407515</v>
      </c>
      <c r="M33" s="614"/>
    </row>
    <row r="34" spans="1:13" ht="16.5" customHeight="1" x14ac:dyDescent="0.2">
      <c r="A34" s="42"/>
      <c r="B34" s="718"/>
      <c r="C34" s="725" t="s">
        <v>91</v>
      </c>
      <c r="D34" s="1219" t="str">
        <f>VLOOKUP($C34,'Econômico Detalhado'!$B$377:$R$474,2,0)</f>
        <v>CUSTOS INDIRETOS - EQUIPAMENTOS</v>
      </c>
      <c r="E34" s="1219"/>
      <c r="F34" s="758">
        <f>VLOOKUP($C34,'Econômico Detalhado'!$B$377:$R$474,4,0)</f>
        <v>2.9612169542798224E-2</v>
      </c>
      <c r="G34" s="770">
        <f>VLOOKUP($C34,'Econômico Detalhado'!$B$377:$R$474,3,0)</f>
        <v>169096.11182949186</v>
      </c>
      <c r="H34" s="760">
        <f t="shared" si="4"/>
        <v>1.8720532935112777</v>
      </c>
      <c r="I34" s="770">
        <f>VLOOKUP($C34,'Econômico Detalhado'!$B$377:$R$474,5,0)</f>
        <v>5007.3027325228813</v>
      </c>
      <c r="J34" s="771">
        <f>VLOOKUP($C34,'Econômico Detalhado'!$B$377:$R$474,6,0)+VLOOKUP($C34,'Econômico Detalhado'!$B$377:$R$474,7,0)+VLOOKUP($C34,'Econômico Detalhado'!$B$377:$R$474,8,0)</f>
        <v>5668.43</v>
      </c>
      <c r="K34" s="772">
        <f t="shared" si="5"/>
        <v>163427.68182949186</v>
      </c>
      <c r="L34" s="773">
        <f>VLOOKUP($C34,'Econômico Detalhado'!$B$377:$R$474,17,0)</f>
        <v>169096.11182949186</v>
      </c>
      <c r="M34" s="614"/>
    </row>
    <row r="35" spans="1:13" ht="16.5" customHeight="1" x14ac:dyDescent="0.2">
      <c r="A35" s="42"/>
      <c r="B35" s="718"/>
      <c r="C35" s="724" t="s">
        <v>95</v>
      </c>
      <c r="D35" s="1218" t="str">
        <f>VLOOKUP($C35,'Econômico Detalhado'!$B$377:$R$474,2,0)</f>
        <v>CUSTOS INDIRETOS - OUTROS</v>
      </c>
      <c r="E35" s="1218"/>
      <c r="F35" s="752">
        <f>VLOOKUP($C35,'Econômico Detalhado'!$B$377:$R$474,4,0)</f>
        <v>0.16125337010391749</v>
      </c>
      <c r="G35" s="774">
        <f>VLOOKUP($C35,'Econômico Detalhado'!$B$377:$R$474,3,0)</f>
        <v>319377.48576056288</v>
      </c>
      <c r="H35" s="754">
        <f t="shared" si="4"/>
        <v>3.535809709772022</v>
      </c>
      <c r="I35" s="774">
        <f>VLOOKUP($C35,'Econômico Detalhado'!$B$377:$R$474,5,0)</f>
        <v>51500.695914206684</v>
      </c>
      <c r="J35" s="775">
        <f>VLOOKUP($C35,'Econômico Detalhado'!$B$377:$R$474,6,0)+VLOOKUP($C35,'Econômico Detalhado'!$B$377:$R$474,7,0)+VLOOKUP($C35,'Econômico Detalhado'!$B$377:$R$474,8,0)</f>
        <v>47575.519999999997</v>
      </c>
      <c r="K35" s="776">
        <f t="shared" si="5"/>
        <v>271801.96576056286</v>
      </c>
      <c r="L35" s="777">
        <f>VLOOKUP($C35,'Econômico Detalhado'!$B$377:$R$474,17,0)</f>
        <v>319377.48576056288</v>
      </c>
      <c r="M35" s="614"/>
    </row>
    <row r="36" spans="1:13" ht="16.5" customHeight="1" thickBot="1" x14ac:dyDescent="0.25">
      <c r="A36" s="42"/>
      <c r="B36" s="718"/>
      <c r="C36" s="726" t="s">
        <v>105</v>
      </c>
      <c r="D36" s="1241" t="str">
        <f>VLOOKUP($C36,'Econômico Detalhado'!$B$377:$R$474,2,0)</f>
        <v>ADMINISTRAÇÃO</v>
      </c>
      <c r="E36" s="1241"/>
      <c r="F36" s="778">
        <f>VLOOKUP($C36,'Econômico Detalhado'!$B$377:$R$474,4,0)</f>
        <v>7.8100000000000003E-2</v>
      </c>
      <c r="G36" s="779">
        <f>VLOOKUP($C36,'Econômico Detalhado'!$B$377:$R$474,3,0)</f>
        <v>1178763.8843772744</v>
      </c>
      <c r="H36" s="780">
        <f t="shared" si="4"/>
        <v>13.050026923420685</v>
      </c>
      <c r="I36" s="779">
        <f>VLOOKUP($C36,'Econômico Detalhado'!$B$377:$R$474,5,0)</f>
        <v>92061.45936986513</v>
      </c>
      <c r="J36" s="781">
        <f>VLOOKUP($C36,'Econômico Detalhado'!$B$377:$R$474,6,0)+VLOOKUP($C36,'Econômico Detalhado'!$B$377:$R$474,7,0)+VLOOKUP($C36,'Econômico Detalhado'!$B$377:$R$474,8,0)</f>
        <v>91602.215999999986</v>
      </c>
      <c r="K36" s="782">
        <f t="shared" si="5"/>
        <v>1087161.6683772744</v>
      </c>
      <c r="L36" s="783">
        <f>VLOOKUP($C36,'Econômico Detalhado'!$B$377:$R$474,17,0)</f>
        <v>1178763.8843772744</v>
      </c>
      <c r="M36" s="614"/>
    </row>
    <row r="37" spans="1:13" ht="21.95" customHeight="1" thickBot="1" x14ac:dyDescent="0.25">
      <c r="B37" s="718"/>
      <c r="C37" s="1247" t="s">
        <v>314</v>
      </c>
      <c r="D37" s="1248"/>
      <c r="E37" s="1248"/>
      <c r="F37" s="1248"/>
      <c r="G37" s="728">
        <f>SUM(G10:G29,G31:G36)</f>
        <v>9032654.8082576357</v>
      </c>
      <c r="H37" s="728"/>
      <c r="I37" s="728">
        <f>SUM(I10:I29,I31:I36)</f>
        <v>946349.78518688423</v>
      </c>
      <c r="J37" s="728">
        <f>SUM(J10:J29,J31:J36)</f>
        <v>859532.74303672672</v>
      </c>
      <c r="K37" s="728">
        <f>SUM(K10:K29,K31:K36)</f>
        <v>8173122.0652209073</v>
      </c>
      <c r="L37" s="729">
        <f>SUM(L10:L29,L31:L36)</f>
        <v>8959008.9022927303</v>
      </c>
      <c r="M37" s="614"/>
    </row>
    <row r="38" spans="1:13" ht="12.75" customHeight="1" x14ac:dyDescent="0.2">
      <c r="B38" s="718"/>
      <c r="C38" s="413"/>
      <c r="D38" s="413"/>
      <c r="E38" s="413"/>
      <c r="F38" s="585"/>
      <c r="G38" s="593"/>
      <c r="H38" s="593"/>
      <c r="I38" s="593"/>
      <c r="J38" s="593"/>
      <c r="K38" s="593"/>
      <c r="L38" s="586"/>
      <c r="M38" s="614"/>
    </row>
    <row r="39" spans="1:13" ht="21.95" customHeight="1" x14ac:dyDescent="0.2">
      <c r="A39" s="166"/>
      <c r="B39" s="640"/>
      <c r="C39" s="1249" t="s">
        <v>1357</v>
      </c>
      <c r="D39" s="1249"/>
      <c r="E39" s="1249"/>
      <c r="F39" s="1249"/>
      <c r="G39" s="1249"/>
      <c r="H39" s="1249"/>
      <c r="I39" s="1249"/>
      <c r="J39" s="1249"/>
      <c r="K39" s="1249"/>
      <c r="L39" s="1249"/>
      <c r="M39" s="641"/>
    </row>
    <row r="40" spans="1:13" ht="21.95" customHeight="1" x14ac:dyDescent="0.2">
      <c r="B40" s="718"/>
      <c r="C40" s="730"/>
      <c r="D40" s="730"/>
      <c r="E40" s="731">
        <v>44105</v>
      </c>
      <c r="F40" s="732">
        <v>44075</v>
      </c>
      <c r="G40" s="413"/>
      <c r="H40" s="413"/>
      <c r="I40" s="413"/>
      <c r="J40" s="413"/>
      <c r="K40" s="413"/>
      <c r="L40" s="413"/>
      <c r="M40" s="614"/>
    </row>
    <row r="41" spans="1:13" ht="30" customHeight="1" x14ac:dyDescent="0.2">
      <c r="B41" s="718"/>
      <c r="C41" s="1245" t="s">
        <v>1358</v>
      </c>
      <c r="D41" s="1245"/>
      <c r="E41" s="733">
        <f>HLOOKUP(E$40,'Dados Finan'!$D$6:$AE$20,15,0)</f>
        <v>0.128</v>
      </c>
      <c r="F41" s="734">
        <v>8.8100000000000012E-2</v>
      </c>
      <c r="G41" s="413"/>
      <c r="H41" s="413"/>
      <c r="I41" s="413"/>
      <c r="J41" s="413"/>
      <c r="K41" s="413"/>
      <c r="L41" s="413"/>
      <c r="M41" s="614"/>
    </row>
    <row r="42" spans="1:13" ht="30" customHeight="1" x14ac:dyDescent="0.2">
      <c r="B42" s="718"/>
      <c r="C42" s="1243" t="s">
        <v>1359</v>
      </c>
      <c r="D42" s="1243"/>
      <c r="E42" s="735">
        <f>'Econômico Macro'!$E$48</f>
        <v>0.10476983846672998</v>
      </c>
      <c r="F42" s="736">
        <v>5.4520858550502795E-2</v>
      </c>
      <c r="G42" s="413"/>
      <c r="H42" s="413"/>
      <c r="I42" s="413"/>
      <c r="J42" s="413"/>
      <c r="K42" s="413"/>
      <c r="L42" s="413"/>
      <c r="M42" s="614"/>
    </row>
    <row r="43" spans="1:13" ht="30" customHeight="1" x14ac:dyDescent="0.2">
      <c r="B43" s="718"/>
      <c r="C43" s="1245" t="s">
        <v>1360</v>
      </c>
      <c r="D43" s="1245"/>
      <c r="E43" s="737">
        <f>HLOOKUP(E$40,'Dados Finan'!$D$6:$AE$20,6,0)</f>
        <v>1243737.0722543676</v>
      </c>
      <c r="F43" s="738">
        <v>781840.74276151147</v>
      </c>
      <c r="G43" s="413"/>
      <c r="H43" s="413"/>
      <c r="I43" s="413"/>
      <c r="J43" s="413"/>
      <c r="K43" s="413"/>
      <c r="L43" s="413"/>
      <c r="M43" s="614"/>
    </row>
    <row r="44" spans="1:13" ht="30" customHeight="1" x14ac:dyDescent="0.2">
      <c r="B44" s="718"/>
      <c r="C44" s="1243" t="s">
        <v>1361</v>
      </c>
      <c r="D44" s="1243"/>
      <c r="E44" s="739">
        <f>'Econômico Macro'!$F$48</f>
        <v>946349.78518688434</v>
      </c>
      <c r="F44" s="740">
        <v>484933.68394081318</v>
      </c>
      <c r="G44" s="413"/>
      <c r="H44" s="413"/>
      <c r="I44" s="413"/>
      <c r="J44" s="413"/>
      <c r="K44" s="413"/>
      <c r="L44" s="413"/>
      <c r="M44" s="614"/>
    </row>
    <row r="45" spans="1:13" ht="30" customHeight="1" x14ac:dyDescent="0.2">
      <c r="B45" s="718"/>
      <c r="C45" s="1245" t="s">
        <v>1994</v>
      </c>
      <c r="D45" s="1245"/>
      <c r="E45" s="737">
        <f>'Econômico Detalhado'!$K$476</f>
        <v>813179.29303672665</v>
      </c>
      <c r="F45" s="738">
        <v>381849.04623636277</v>
      </c>
      <c r="G45" s="413"/>
      <c r="H45" s="413"/>
      <c r="I45" s="413"/>
      <c r="J45" s="413"/>
      <c r="K45" s="413"/>
      <c r="L45" s="413"/>
      <c r="M45" s="614"/>
    </row>
    <row r="46" spans="1:13" ht="30" customHeight="1" x14ac:dyDescent="0.2">
      <c r="B46" s="718"/>
      <c r="C46" s="1243" t="s">
        <v>1362</v>
      </c>
      <c r="D46" s="1243"/>
      <c r="E46" s="739">
        <f>'Econômico Macro'!$D$48</f>
        <v>9032654.8082576357</v>
      </c>
      <c r="F46" s="740">
        <v>8894461.6213557608</v>
      </c>
      <c r="G46" s="413"/>
      <c r="H46" s="413"/>
      <c r="I46" s="413"/>
      <c r="J46" s="413"/>
      <c r="K46" s="413"/>
      <c r="L46" s="413"/>
      <c r="M46" s="614"/>
    </row>
    <row r="47" spans="1:13" ht="30" customHeight="1" x14ac:dyDescent="0.2">
      <c r="B47" s="741"/>
      <c r="C47" s="1244" t="s">
        <v>1363</v>
      </c>
      <c r="D47" s="1244"/>
      <c r="E47" s="933">
        <f>'Econômico Macro'!$R$48</f>
        <v>8959008.9022927303</v>
      </c>
      <c r="F47" s="934">
        <v>8823426.8434541412</v>
      </c>
      <c r="G47" s="593"/>
      <c r="H47" s="593"/>
      <c r="I47" s="593"/>
      <c r="J47" s="593"/>
      <c r="K47" s="593"/>
      <c r="L47" s="586"/>
      <c r="M47" s="603"/>
    </row>
    <row r="48" spans="1:13" ht="30" customHeight="1" x14ac:dyDescent="0.2">
      <c r="B48" s="718"/>
      <c r="C48" s="1243" t="s">
        <v>1364</v>
      </c>
      <c r="D48" s="1243"/>
      <c r="E48" s="930">
        <f>(E47-E46)/E46</f>
        <v>-8.1532957395403227E-3</v>
      </c>
      <c r="F48" s="931">
        <v>-7.9864055774959905E-3</v>
      </c>
      <c r="G48" s="593"/>
      <c r="H48" s="593"/>
      <c r="I48" s="593"/>
      <c r="J48" s="593"/>
      <c r="K48" s="593"/>
      <c r="L48" s="586"/>
      <c r="M48" s="596"/>
    </row>
    <row r="49" spans="1:13" ht="30" customHeight="1" x14ac:dyDescent="0.2">
      <c r="B49" s="718"/>
      <c r="C49" s="1245" t="s">
        <v>2186</v>
      </c>
      <c r="D49" s="1245"/>
      <c r="E49" s="951">
        <f>E47/E50</f>
        <v>2909.2414035696479</v>
      </c>
      <c r="F49" s="951">
        <v>2865.2141073077255</v>
      </c>
      <c r="G49" s="593"/>
      <c r="H49" s="593"/>
      <c r="I49" s="593"/>
      <c r="J49" s="593"/>
      <c r="K49" s="593"/>
      <c r="L49" s="586"/>
      <c r="M49" s="742"/>
    </row>
    <row r="50" spans="1:13" ht="30" customHeight="1" x14ac:dyDescent="0.2">
      <c r="B50" s="718"/>
      <c r="C50" s="1243" t="s">
        <v>2187</v>
      </c>
      <c r="D50" s="1243"/>
      <c r="E50" s="932">
        <v>3079.5</v>
      </c>
      <c r="F50" s="932">
        <v>3079.5</v>
      </c>
      <c r="G50" s="593"/>
      <c r="H50" s="593"/>
      <c r="I50" s="593"/>
      <c r="J50" s="593"/>
      <c r="K50" s="593"/>
      <c r="L50" s="586"/>
      <c r="M50" s="742"/>
    </row>
    <row r="51" spans="1:13" ht="30" customHeight="1" x14ac:dyDescent="0.2">
      <c r="B51" s="718"/>
      <c r="C51" s="413"/>
      <c r="D51" s="413"/>
      <c r="E51" s="413"/>
      <c r="F51" s="585"/>
      <c r="G51" s="593"/>
      <c r="H51" s="593"/>
      <c r="I51" s="593"/>
      <c r="J51" s="593"/>
      <c r="K51" s="593"/>
      <c r="L51" s="586"/>
      <c r="M51" s="742"/>
    </row>
    <row r="52" spans="1:13" ht="21.95" customHeight="1" x14ac:dyDescent="0.2">
      <c r="A52" s="166"/>
      <c r="B52" s="640"/>
      <c r="C52" s="1246" t="s">
        <v>1365</v>
      </c>
      <c r="D52" s="1246"/>
      <c r="E52" s="1246"/>
      <c r="F52" s="1246"/>
      <c r="G52" s="1246"/>
      <c r="H52" s="1246"/>
      <c r="I52" s="1246"/>
      <c r="J52" s="1246"/>
      <c r="K52" s="1246"/>
      <c r="L52" s="1246"/>
      <c r="M52" s="641"/>
    </row>
    <row r="53" spans="1:13" ht="10.5" customHeight="1" x14ac:dyDescent="0.2">
      <c r="B53" s="718"/>
      <c r="C53" s="413"/>
      <c r="D53" s="413"/>
      <c r="E53" s="413"/>
      <c r="F53" s="585"/>
      <c r="G53" s="593"/>
      <c r="H53" s="593"/>
      <c r="I53" s="593"/>
      <c r="J53" s="593"/>
      <c r="K53" s="593"/>
      <c r="L53" s="586"/>
      <c r="M53" s="742"/>
    </row>
    <row r="54" spans="1:13" s="19" customFormat="1" ht="21.95" customHeight="1" x14ac:dyDescent="0.2">
      <c r="A54" s="743"/>
      <c r="B54" s="741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744"/>
    </row>
    <row r="55" spans="1:13" ht="21.95" customHeight="1" x14ac:dyDescent="0.2">
      <c r="B55" s="718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2"/>
    </row>
    <row r="56" spans="1:13" ht="21.95" customHeight="1" x14ac:dyDescent="0.2">
      <c r="B56" s="718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2"/>
    </row>
    <row r="57" spans="1:13" ht="21.95" customHeight="1" x14ac:dyDescent="0.2">
      <c r="B57" s="718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2"/>
    </row>
    <row r="58" spans="1:13" ht="21.95" customHeight="1" x14ac:dyDescent="0.2">
      <c r="B58" s="718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2"/>
    </row>
    <row r="59" spans="1:13" ht="21.95" customHeight="1" x14ac:dyDescent="0.2">
      <c r="B59" s="718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2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</mergeCells>
  <conditionalFormatting sqref="K10:K29 K31:K37">
    <cfRule type="cellIs" dxfId="89" priority="19" operator="lessThan">
      <formula>0</formula>
    </cfRule>
  </conditionalFormatting>
  <conditionalFormatting sqref="L10:L29">
    <cfRule type="expression" dxfId="88" priority="16">
      <formula>L10&gt;G10</formula>
    </cfRule>
    <cfRule type="expression" dxfId="87" priority="17">
      <formula>"{SE($L$10:$L$30)&gt;($G$10:$G$30)}"</formula>
    </cfRule>
    <cfRule type="cellIs" dxfId="86" priority="18" operator="lessThan">
      <formula>0</formula>
    </cfRule>
  </conditionalFormatting>
  <conditionalFormatting sqref="E49:F49">
    <cfRule type="cellIs" dxfId="85" priority="1" operator="equal">
      <formula>0</formula>
    </cfRule>
    <cfRule type="cellIs" dxfId="84" priority="2" operator="greaterThan">
      <formula>0</formula>
    </cfRule>
    <cfRule type="cellIs" dxfId="83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8"/>
  <sheetViews>
    <sheetView showZeros="0" zoomScale="70" zoomScaleNormal="70" workbookViewId="0">
      <pane xSplit="6" ySplit="7" topLeftCell="G466" activePane="bottomRight" state="frozen"/>
      <selection activeCell="C2" sqref="C1:H2"/>
      <selection pane="topRight" activeCell="C2" sqref="C1:H2"/>
      <selection pane="bottomLeft" activeCell="C2" sqref="C1:H2"/>
      <selection pane="bottomRight" activeCell="G476" sqref="G476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bestFit="1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6"/>
      <c r="C2" s="1253" t="s">
        <v>738</v>
      </c>
      <c r="D2" s="1254"/>
      <c r="E2" s="1254"/>
      <c r="F2" s="1254"/>
      <c r="G2" s="1254"/>
      <c r="H2" s="1254"/>
      <c r="I2" s="1254"/>
      <c r="J2" s="1254"/>
      <c r="K2" s="1254"/>
      <c r="L2" s="1254"/>
      <c r="M2" s="1254"/>
      <c r="N2" s="1254"/>
      <c r="O2" s="1254"/>
      <c r="P2" s="1254"/>
      <c r="Q2" s="1254"/>
      <c r="R2" s="1255"/>
    </row>
    <row r="3" spans="1:18" x14ac:dyDescent="0.2">
      <c r="F3" s="590"/>
    </row>
    <row r="4" spans="1:18" ht="29.25" customHeight="1" x14ac:dyDescent="0.2">
      <c r="B4" s="1256" t="str">
        <f>'Análise Física Macro'!$B$2</f>
        <v>ED. TREE</v>
      </c>
      <c r="C4" s="1256"/>
      <c r="D4" s="798" t="s">
        <v>736</v>
      </c>
      <c r="E4" s="527" t="s">
        <v>737</v>
      </c>
      <c r="F4" s="528">
        <f>'Análise Física Macro'!$O$5</f>
        <v>44135</v>
      </c>
      <c r="G4" s="1257" t="s">
        <v>739</v>
      </c>
      <c r="H4" s="1258"/>
      <c r="I4" s="1258"/>
      <c r="J4" s="1258"/>
      <c r="K4" s="1258"/>
      <c r="L4" s="1258"/>
      <c r="M4" s="1258"/>
      <c r="N4" s="1258"/>
      <c r="O4" s="1258"/>
      <c r="P4" s="716">
        <f>'Econômico Macro'!$R$11</f>
        <v>8.2877799999999997</v>
      </c>
      <c r="Q4" s="716"/>
      <c r="R4" s="716"/>
    </row>
    <row r="5" spans="1:18" ht="16.5" customHeight="1" x14ac:dyDescent="0.2">
      <c r="B5" s="262"/>
      <c r="C5" s="130"/>
      <c r="E5" s="590"/>
    </row>
    <row r="6" spans="1:18" ht="17.25" customHeight="1" x14ac:dyDescent="0.2">
      <c r="B6" s="1262" t="s">
        <v>70</v>
      </c>
      <c r="C6" s="1262" t="s">
        <v>39</v>
      </c>
      <c r="D6" s="1262" t="s">
        <v>326</v>
      </c>
      <c r="E6" s="1259" t="s">
        <v>734</v>
      </c>
      <c r="F6" s="1259"/>
      <c r="G6" s="1260" t="s">
        <v>735</v>
      </c>
      <c r="H6" s="1260"/>
      <c r="I6" s="1260"/>
      <c r="J6" s="1260"/>
      <c r="K6" s="1260"/>
      <c r="L6" s="1261" t="s">
        <v>301</v>
      </c>
      <c r="M6" s="1261"/>
      <c r="N6" s="1250" t="s">
        <v>302</v>
      </c>
      <c r="O6" s="1250"/>
      <c r="P6" s="1251" t="s">
        <v>321</v>
      </c>
      <c r="Q6" s="1252" t="s">
        <v>325</v>
      </c>
      <c r="R6" s="1252"/>
    </row>
    <row r="7" spans="1:18" ht="45.75" customHeight="1" x14ac:dyDescent="0.2">
      <c r="B7" s="1262"/>
      <c r="C7" s="1262"/>
      <c r="D7" s="1262"/>
      <c r="E7" s="1259"/>
      <c r="F7" s="1259"/>
      <c r="G7" s="519" t="s">
        <v>730</v>
      </c>
      <c r="H7" s="519" t="s">
        <v>731</v>
      </c>
      <c r="I7" s="520" t="s">
        <v>311</v>
      </c>
      <c r="J7" s="520" t="s">
        <v>320</v>
      </c>
      <c r="K7" s="521" t="s">
        <v>310</v>
      </c>
      <c r="L7" s="522" t="s">
        <v>303</v>
      </c>
      <c r="M7" s="522" t="s">
        <v>318</v>
      </c>
      <c r="N7" s="522" t="s">
        <v>303</v>
      </c>
      <c r="O7" s="522" t="s">
        <v>318</v>
      </c>
      <c r="P7" s="1251"/>
      <c r="Q7" s="523" t="s">
        <v>323</v>
      </c>
      <c r="R7" s="523" t="s">
        <v>324</v>
      </c>
    </row>
    <row r="8" spans="1:18" s="155" customFormat="1" ht="21.95" customHeight="1" x14ac:dyDescent="0.2">
      <c r="A8" s="393" t="s">
        <v>75</v>
      </c>
      <c r="B8" s="161" t="s">
        <v>75</v>
      </c>
      <c r="C8" s="161" t="s">
        <v>592</v>
      </c>
      <c r="D8" s="163">
        <f>VLOOKUP($B8,'Análise Física Detalhada'!$E$13:$V$380,18,0)</f>
        <v>173226.27362296745</v>
      </c>
      <c r="E8" s="530">
        <f>F8/D8</f>
        <v>0.76503719672707837</v>
      </c>
      <c r="F8" s="1001">
        <f>SUM(F9:F19)</f>
        <v>132524.54277199286</v>
      </c>
      <c r="G8" s="949">
        <f>SUM(G9:G19)</f>
        <v>121570.20000000001</v>
      </c>
      <c r="H8" s="1000">
        <f t="shared" ref="H8:K8" si="0">SUM(H9:H19)</f>
        <v>6266.5999999999995</v>
      </c>
      <c r="I8" s="1000">
        <f t="shared" si="0"/>
        <v>0</v>
      </c>
      <c r="J8" s="1000">
        <f t="shared" si="0"/>
        <v>0</v>
      </c>
      <c r="K8" s="1000">
        <f t="shared" si="0"/>
        <v>127836.79999999999</v>
      </c>
      <c r="L8" s="537">
        <f>IF($F8=0,0,$K8/$F8)</f>
        <v>0.96462736128765159</v>
      </c>
      <c r="M8" s="163">
        <f>IF($L8=0,0,$K8-$F8)</f>
        <v>-4687.7427719928673</v>
      </c>
      <c r="N8" s="537">
        <v>0.92574270517333812</v>
      </c>
      <c r="O8" s="163">
        <v>-2822.2781895758962</v>
      </c>
      <c r="P8" s="163">
        <f>$M8-$O8</f>
        <v>-1865.4645824169711</v>
      </c>
      <c r="Q8" s="537">
        <f t="shared" ref="Q8:Q71" si="1">IF($D8=0,0,IF(($F8/$D8)&lt;20%,1,IF($D8=0,0,IF(($F8/$D8)=1,$L8,IF(($F8/$D8)=0,1,IF($L8&lt;1,(+$L8*($F8/$D8))+(1-((1-$L8)/2))*(1-($F8/$D8)),(+$L8*($F8/$D8))+(1+(($L8-1)/2))*(1-($F8/$D8))))))))</f>
        <v>0.96878298846315847</v>
      </c>
      <c r="R8" s="163">
        <f t="shared" ref="R8:R71" si="2">IF($Q8="","",$Q8*$D8)</f>
        <v>167818.6670407952</v>
      </c>
    </row>
    <row r="9" spans="1:18" s="177" customFormat="1" ht="21.95" customHeight="1" x14ac:dyDescent="0.2">
      <c r="A9" s="393" t="s">
        <v>75</v>
      </c>
      <c r="B9" s="959" t="s">
        <v>76</v>
      </c>
      <c r="C9" s="959" t="s">
        <v>407</v>
      </c>
      <c r="D9" s="366">
        <f>VLOOKUP($B9,'Análise Física Detalhada'!$E$13:$V$380,18,0)</f>
        <v>56880.832062093599</v>
      </c>
      <c r="E9" s="367">
        <f>VLOOKUP($B9,'Análise Física Detalhada'!$E$13:$P$380,12,0)</f>
        <v>0.63</v>
      </c>
      <c r="F9" s="368">
        <f t="shared" ref="F9" si="3">E9*D9</f>
        <v>35834.92419911897</v>
      </c>
      <c r="G9" s="696">
        <f>SUMIF('[2]Despesas Diretas'!$B$5:$B$9944,$B9,'[2]Despesas Diretas'!$H$5:$H$9944)</f>
        <v>41000</v>
      </c>
      <c r="H9" s="696">
        <f>SUMIF('[3]Despesas Diretas'!$B$5:$B$9999,$B9,'[3]Despesas Diretas'!$H$5:$H$9999)</f>
        <v>0</v>
      </c>
      <c r="I9" s="696">
        <f>SUMIF([4]Comprometimento!$B$6:$B$147,$B9,[4]Comprometimento!$E$6:$E$147)</f>
        <v>0</v>
      </c>
      <c r="J9" s="696">
        <f>SUMIF([4]Estoque!$B$6:$B$880,$B9,[4]Estoque!$H$6:$H$880)</f>
        <v>0</v>
      </c>
      <c r="K9" s="697">
        <f>SUM($G9:$I9)-$J9</f>
        <v>41000</v>
      </c>
      <c r="L9" s="698">
        <f t="shared" ref="L9:L72" si="4">IF($F9=0,0,$K9/$F9)</f>
        <v>1.1441352511918532</v>
      </c>
      <c r="M9" s="699">
        <f>$K9-$F9</f>
        <v>5165.0758008810299</v>
      </c>
      <c r="N9" s="698">
        <v>1.0260328105019816</v>
      </c>
      <c r="O9" s="699">
        <v>295.68876402857131</v>
      </c>
      <c r="P9" s="699">
        <f>$M9-$O9</f>
        <v>4869.3870368524586</v>
      </c>
      <c r="Q9" s="698">
        <f t="shared" si="1"/>
        <v>1.1174702297213606</v>
      </c>
      <c r="R9" s="700">
        <f t="shared" si="2"/>
        <v>63562.636471169862</v>
      </c>
    </row>
    <row r="10" spans="1:18" s="130" customFormat="1" ht="21.95" customHeight="1" x14ac:dyDescent="0.2">
      <c r="A10" s="393" t="s">
        <v>75</v>
      </c>
      <c r="B10" s="959" t="s">
        <v>77</v>
      </c>
      <c r="C10" s="959" t="s">
        <v>2037</v>
      </c>
      <c r="D10" s="366">
        <f>VLOOKUP($B10,'Análise Física Detalhada'!$E$13:$V$380,18,0)</f>
        <v>9735</v>
      </c>
      <c r="E10" s="367">
        <f>VLOOKUP($B10,'Análise Física Detalhada'!$E$13:$P$380,12,0)</f>
        <v>1</v>
      </c>
      <c r="F10" s="368">
        <f t="shared" ref="F10:F73" si="5">E10*D10</f>
        <v>9735</v>
      </c>
      <c r="G10" s="696">
        <f>SUMIF('[2]Despesas Diretas'!$B$5:$B$9944,$B10,'[2]Despesas Diretas'!$H$5:$H$9944)</f>
        <v>3083.05</v>
      </c>
      <c r="H10" s="696">
        <f>SUMIF('[3]Despesas Diretas'!$B$5:$B$9999,$B10,'[3]Despesas Diretas'!$H$5:$H$9999)</f>
        <v>291.95</v>
      </c>
      <c r="I10" s="696">
        <f>SUMIF([4]Comprometimento!$B$6:$B$147,$B10,[4]Comprometimento!$E$6:$E$147)</f>
        <v>0</v>
      </c>
      <c r="J10" s="696">
        <f>SUMIF([4]Estoque!$B$6:$B$880,$B10,[4]Estoque!$H$6:$H$880)</f>
        <v>0</v>
      </c>
      <c r="K10" s="697">
        <f t="shared" ref="K10:K73" si="6">SUM($G10:$I10)-$J10</f>
        <v>3375</v>
      </c>
      <c r="L10" s="698">
        <f t="shared" si="4"/>
        <v>0.34668721109399075</v>
      </c>
      <c r="M10" s="699">
        <f t="shared" ref="M10:M73" si="7">$K10-$F10</f>
        <v>-6360</v>
      </c>
      <c r="N10" s="698">
        <v>1</v>
      </c>
      <c r="O10" s="699">
        <v>0</v>
      </c>
      <c r="P10" s="699">
        <f t="shared" ref="P10:P73" si="8">$M10-$O10</f>
        <v>-6360</v>
      </c>
      <c r="Q10" s="698">
        <f t="shared" si="1"/>
        <v>0.34668721109399075</v>
      </c>
      <c r="R10" s="700">
        <f t="shared" si="2"/>
        <v>3375</v>
      </c>
    </row>
    <row r="11" spans="1:18" s="130" customFormat="1" ht="21.95" customHeight="1" x14ac:dyDescent="0.2">
      <c r="A11" s="393" t="s">
        <v>75</v>
      </c>
      <c r="B11" s="959" t="s">
        <v>78</v>
      </c>
      <c r="C11" s="959" t="s">
        <v>2038</v>
      </c>
      <c r="D11" s="366">
        <f>VLOOKUP($B11,'Análise Física Detalhada'!$E$13:$V$380,18,0)</f>
        <v>5048.0433728738799</v>
      </c>
      <c r="E11" s="367">
        <f>VLOOKUP($B11,'Análise Física Detalhada'!$E$13:$P$380,12,0)</f>
        <v>1</v>
      </c>
      <c r="F11" s="368">
        <f t="shared" si="5"/>
        <v>5048.0433728738799</v>
      </c>
      <c r="G11" s="696">
        <f>SUMIF('[2]Despesas Diretas'!$B$5:$B$9944,$B11,'[2]Despesas Diretas'!$H$5:$H$9944)</f>
        <v>0</v>
      </c>
      <c r="H11" s="696">
        <f>SUMIF('[3]Despesas Diretas'!$B$5:$B$9999,$B11,'[3]Despesas Diretas'!$H$5:$H$9999)</f>
        <v>5174.5199999999995</v>
      </c>
      <c r="I11" s="696">
        <f>SUMIF([4]Comprometimento!$B$6:$B$147,$B11,[4]Comprometimento!$E$6:$E$147)</f>
        <v>0</v>
      </c>
      <c r="J11" s="696">
        <f>SUMIF([4]Estoque!$B$6:$B$880,$B11,[4]Estoque!$H$6:$H$880)</f>
        <v>0</v>
      </c>
      <c r="K11" s="697">
        <f t="shared" si="6"/>
        <v>5174.5199999999995</v>
      </c>
      <c r="L11" s="698">
        <f t="shared" si="4"/>
        <v>1.025054584080191</v>
      </c>
      <c r="M11" s="699">
        <f t="shared" si="7"/>
        <v>126.47662712611964</v>
      </c>
      <c r="N11" s="698">
        <v>1.000082045057251</v>
      </c>
      <c r="O11" s="699">
        <v>7.1098387274901143E-2</v>
      </c>
      <c r="P11" s="699">
        <f t="shared" si="8"/>
        <v>126.40552873884474</v>
      </c>
      <c r="Q11" s="698">
        <f t="shared" si="1"/>
        <v>1.025054584080191</v>
      </c>
      <c r="R11" s="700">
        <f t="shared" si="2"/>
        <v>5174.5199999999995</v>
      </c>
    </row>
    <row r="12" spans="1:18" s="130" customFormat="1" ht="21.95" customHeight="1" x14ac:dyDescent="0.2">
      <c r="A12" s="393" t="s">
        <v>75</v>
      </c>
      <c r="B12" s="959" t="s">
        <v>79</v>
      </c>
      <c r="C12" s="959" t="s">
        <v>1377</v>
      </c>
      <c r="D12" s="366">
        <f>VLOOKUP($B12,'Análise Física Detalhada'!$E$13:$V$380,18,0)</f>
        <v>2881.4819040000002</v>
      </c>
      <c r="E12" s="367">
        <f>VLOOKUP($B12,'Análise Física Detalhada'!$E$13:$P$380,12,0)</f>
        <v>0</v>
      </c>
      <c r="F12" s="368">
        <f t="shared" si="5"/>
        <v>0</v>
      </c>
      <c r="G12" s="696">
        <f>SUMIF('[2]Despesas Diretas'!$B$5:$B$9944,$B12,'[2]Despesas Diretas'!$H$5:$H$9944)</f>
        <v>0</v>
      </c>
      <c r="H12" s="696">
        <f>SUMIF('[3]Despesas Diretas'!$B$5:$B$9999,$B12,'[3]Despesas Diretas'!$H$5:$H$9999)</f>
        <v>0</v>
      </c>
      <c r="I12" s="696">
        <f>SUMIF([4]Comprometimento!$B$6:$B$147,$B12,[4]Comprometimento!$E$6:$E$147)</f>
        <v>0</v>
      </c>
      <c r="J12" s="696">
        <f>SUMIF([4]Estoque!$B$6:$B$880,$B12,[4]Estoque!$H$6:$H$880)</f>
        <v>0</v>
      </c>
      <c r="K12" s="697">
        <f t="shared" si="6"/>
        <v>0</v>
      </c>
      <c r="L12" s="698">
        <f t="shared" si="4"/>
        <v>0</v>
      </c>
      <c r="M12" s="699">
        <f t="shared" si="7"/>
        <v>0</v>
      </c>
      <c r="N12" s="698">
        <v>0</v>
      </c>
      <c r="O12" s="699">
        <v>0</v>
      </c>
      <c r="P12" s="699">
        <f t="shared" si="8"/>
        <v>0</v>
      </c>
      <c r="Q12" s="698">
        <f t="shared" si="1"/>
        <v>1</v>
      </c>
      <c r="R12" s="700">
        <f t="shared" si="2"/>
        <v>2881.4819040000002</v>
      </c>
    </row>
    <row r="13" spans="1:18" s="130" customFormat="1" ht="21.95" customHeight="1" x14ac:dyDescent="0.2">
      <c r="A13" s="393" t="s">
        <v>75</v>
      </c>
      <c r="B13" s="959" t="s">
        <v>80</v>
      </c>
      <c r="C13" s="959" t="s">
        <v>425</v>
      </c>
      <c r="D13" s="366">
        <f>VLOOKUP($B13,'Análise Física Detalhada'!$E$13:$V$380,18,0)</f>
        <v>50488.046800000004</v>
      </c>
      <c r="E13" s="367">
        <f>VLOOKUP($B13,'Análise Física Detalhada'!$E$13:$P$380,12,0)</f>
        <v>1</v>
      </c>
      <c r="F13" s="368">
        <f t="shared" si="5"/>
        <v>50488.046800000004</v>
      </c>
      <c r="G13" s="696">
        <f>SUMIF('[2]Despesas Diretas'!$B$5:$B$9944,$B13,'[2]Despesas Diretas'!$H$5:$H$9944)</f>
        <v>55000</v>
      </c>
      <c r="H13" s="696">
        <f>SUMIF('[3]Despesas Diretas'!$B$5:$B$9999,$B13,'[3]Despesas Diretas'!$H$5:$H$9999)</f>
        <v>0</v>
      </c>
      <c r="I13" s="696">
        <f>SUMIF([4]Comprometimento!$B$6:$B$147,$B13,[4]Comprometimento!$E$6:$E$147)</f>
        <v>0</v>
      </c>
      <c r="J13" s="696">
        <f>SUMIF([4]Estoque!$B$6:$B$880,$B13,[4]Estoque!$H$6:$H$880)</f>
        <v>0</v>
      </c>
      <c r="K13" s="697">
        <f t="shared" si="6"/>
        <v>55000</v>
      </c>
      <c r="L13" s="698">
        <f t="shared" si="4"/>
        <v>1.0893667607676198</v>
      </c>
      <c r="M13" s="699">
        <f t="shared" si="7"/>
        <v>4511.9531999999963</v>
      </c>
      <c r="N13" s="698">
        <v>0.99042586832206292</v>
      </c>
      <c r="O13" s="699">
        <v>-76.634939671999746</v>
      </c>
      <c r="P13" s="699">
        <f t="shared" si="8"/>
        <v>4588.588139671996</v>
      </c>
      <c r="Q13" s="698">
        <f t="shared" si="1"/>
        <v>1.0893667607676198</v>
      </c>
      <c r="R13" s="700">
        <f t="shared" si="2"/>
        <v>55000</v>
      </c>
    </row>
    <row r="14" spans="1:18" s="177" customFormat="1" ht="21.95" customHeight="1" x14ac:dyDescent="0.2">
      <c r="A14" s="393" t="s">
        <v>75</v>
      </c>
      <c r="B14" s="959" t="s">
        <v>81</v>
      </c>
      <c r="C14" s="959" t="s">
        <v>2039</v>
      </c>
      <c r="D14" s="366">
        <f>VLOOKUP($B14,'Análise Física Detalhada'!$E$13:$V$380,18,0)</f>
        <v>22471.56</v>
      </c>
      <c r="E14" s="367">
        <f>VLOOKUP($B14,'Análise Física Detalhada'!$E$13:$P$380,12,0)</f>
        <v>1</v>
      </c>
      <c r="F14" s="368">
        <f t="shared" si="5"/>
        <v>22471.56</v>
      </c>
      <c r="G14" s="696">
        <f>SUMIF('[2]Despesas Diretas'!$B$5:$B$9944,$B14,'[2]Despesas Diretas'!$H$5:$H$9944)</f>
        <v>17449.870000000003</v>
      </c>
      <c r="H14" s="696">
        <f>SUMIF('[3]Despesas Diretas'!$B$5:$B$9999,$B14,'[3]Despesas Diretas'!$H$5:$H$9999)</f>
        <v>800.13</v>
      </c>
      <c r="I14" s="696">
        <f>SUMIF([4]Comprometimento!$B$6:$B$147,$B14,[4]Comprometimento!$E$6:$E$147)</f>
        <v>0</v>
      </c>
      <c r="J14" s="696">
        <f>SUMIF([4]Estoque!$B$6:$B$880,$B14,[4]Estoque!$H$6:$H$880)</f>
        <v>0</v>
      </c>
      <c r="K14" s="697">
        <f t="shared" si="6"/>
        <v>18250.000000000004</v>
      </c>
      <c r="L14" s="698">
        <f t="shared" si="4"/>
        <v>0.81213765310463548</v>
      </c>
      <c r="M14" s="699">
        <f t="shared" si="7"/>
        <v>-4221.5599999999977</v>
      </c>
      <c r="N14" s="698">
        <v>0.99014042638784305</v>
      </c>
      <c r="O14" s="699">
        <v>-31.366921348314918</v>
      </c>
      <c r="P14" s="699">
        <f t="shared" si="8"/>
        <v>-4190.1930786516823</v>
      </c>
      <c r="Q14" s="698">
        <f t="shared" si="1"/>
        <v>0.81213765310463548</v>
      </c>
      <c r="R14" s="700">
        <f t="shared" si="2"/>
        <v>18250.000000000004</v>
      </c>
    </row>
    <row r="15" spans="1:18" s="130" customFormat="1" ht="21.95" customHeight="1" x14ac:dyDescent="0.2">
      <c r="A15" s="393" t="s">
        <v>75</v>
      </c>
      <c r="B15" s="959" t="s">
        <v>153</v>
      </c>
      <c r="C15" s="959" t="s">
        <v>2198</v>
      </c>
      <c r="D15" s="366">
        <f>VLOOKUP($B15,'Análise Física Detalhada'!$E$13:$V$380,18,0)</f>
        <v>3519.1284000000001</v>
      </c>
      <c r="E15" s="367">
        <f>VLOOKUP($B15,'Análise Física Detalhada'!$E$13:$P$380,12,0)</f>
        <v>1</v>
      </c>
      <c r="F15" s="368">
        <f t="shared" si="5"/>
        <v>3519.1284000000001</v>
      </c>
      <c r="G15" s="696">
        <f>SUMIF('[2]Despesas Diretas'!$B$5:$B$9944,$B15,'[2]Despesas Diretas'!$H$5:$H$9944)</f>
        <v>1925</v>
      </c>
      <c r="H15" s="696">
        <f>SUMIF('[3]Despesas Diretas'!$B$5:$B$9999,$B15,'[3]Despesas Diretas'!$H$5:$H$9999)</f>
        <v>0</v>
      </c>
      <c r="I15" s="696">
        <f>SUMIF([4]Comprometimento!$B$6:$B$147,$B15,[4]Comprometimento!$E$6:$E$147)</f>
        <v>0</v>
      </c>
      <c r="J15" s="696">
        <f>SUMIF([4]Estoque!$B$6:$B$880,$B15,[4]Estoque!$H$6:$H$880)</f>
        <v>0</v>
      </c>
      <c r="K15" s="697">
        <f t="shared" si="6"/>
        <v>1925</v>
      </c>
      <c r="L15" s="698">
        <f t="shared" si="4"/>
        <v>0.54701044724597148</v>
      </c>
      <c r="M15" s="699">
        <f t="shared" si="7"/>
        <v>-1594.1284000000001</v>
      </c>
      <c r="N15" s="698">
        <v>0.99460743449543032</v>
      </c>
      <c r="O15" s="699">
        <v>-10.036190971428596</v>
      </c>
      <c r="P15" s="699">
        <f t="shared" si="8"/>
        <v>-1584.0922090285715</v>
      </c>
      <c r="Q15" s="698">
        <f t="shared" si="1"/>
        <v>0.54701044724597148</v>
      </c>
      <c r="R15" s="700">
        <f t="shared" si="2"/>
        <v>1925</v>
      </c>
    </row>
    <row r="16" spans="1:18" s="130" customFormat="1" ht="21.95" customHeight="1" x14ac:dyDescent="0.2">
      <c r="A16" s="393" t="s">
        <v>75</v>
      </c>
      <c r="B16" s="959" t="s">
        <v>261</v>
      </c>
      <c r="C16" s="959" t="s">
        <v>767</v>
      </c>
      <c r="D16" s="366">
        <f>VLOOKUP($B16,'Análise Física Detalhada'!$E$13:$V$380,18,0)</f>
        <v>3000</v>
      </c>
      <c r="E16" s="367">
        <f>VLOOKUP($B16,'Análise Física Detalhada'!$E$13:$P$380,12,0)</f>
        <v>1</v>
      </c>
      <c r="F16" s="368">
        <f t="shared" si="5"/>
        <v>3000</v>
      </c>
      <c r="G16" s="696">
        <f>SUMIF('[2]Despesas Diretas'!$B$5:$B$9944,$B16,'[2]Despesas Diretas'!$H$5:$H$9944)</f>
        <v>400.31</v>
      </c>
      <c r="H16" s="696">
        <f>SUMIF('[3]Despesas Diretas'!$B$5:$B$9999,$B16,'[3]Despesas Diretas'!$H$5:$H$9999)</f>
        <v>0</v>
      </c>
      <c r="I16" s="696">
        <f>SUMIF([4]Comprometimento!$B$6:$B$147,$B16,[4]Comprometimento!$E$6:$E$147)</f>
        <v>0</v>
      </c>
      <c r="J16" s="696">
        <f>SUMIF([4]Estoque!$B$6:$B$880,$B16,[4]Estoque!$H$6:$H$880)</f>
        <v>0</v>
      </c>
      <c r="K16" s="697">
        <f t="shared" si="6"/>
        <v>400.31</v>
      </c>
      <c r="L16" s="698">
        <f t="shared" si="4"/>
        <v>0.13343666666666668</v>
      </c>
      <c r="M16" s="699">
        <f t="shared" si="7"/>
        <v>-2599.69</v>
      </c>
      <c r="N16" s="698">
        <v>0</v>
      </c>
      <c r="O16" s="699">
        <v>-3000</v>
      </c>
      <c r="P16" s="699">
        <f t="shared" si="8"/>
        <v>400.30999999999995</v>
      </c>
      <c r="Q16" s="698">
        <f t="shared" si="1"/>
        <v>0.13343666666666668</v>
      </c>
      <c r="R16" s="700">
        <f t="shared" si="2"/>
        <v>400.31</v>
      </c>
    </row>
    <row r="17" spans="1:18" s="155" customFormat="1" ht="21.95" customHeight="1" x14ac:dyDescent="0.2">
      <c r="A17" s="393" t="s">
        <v>75</v>
      </c>
      <c r="B17" s="959" t="s">
        <v>262</v>
      </c>
      <c r="C17" s="959" t="s">
        <v>2199</v>
      </c>
      <c r="D17" s="366">
        <f>VLOOKUP($B17,'Análise Física Detalhada'!$E$13:$V$380,18,0)</f>
        <v>2427.84</v>
      </c>
      <c r="E17" s="367">
        <f>VLOOKUP($B17,'Análise Física Detalhada'!$E$13:$P$380,12,0)</f>
        <v>1</v>
      </c>
      <c r="F17" s="368">
        <f t="shared" si="5"/>
        <v>2427.84</v>
      </c>
      <c r="G17" s="696">
        <f>SUMIF('[2]Despesas Diretas'!$B$5:$B$9944,$B17,'[2]Despesas Diretas'!$H$5:$H$9944)</f>
        <v>1661.97</v>
      </c>
      <c r="H17" s="696">
        <f>SUMIF('[3]Despesas Diretas'!$B$5:$B$9999,$B17,'[3]Despesas Diretas'!$H$5:$H$9999)</f>
        <v>0</v>
      </c>
      <c r="I17" s="696">
        <f>SUMIF([4]Comprometimento!$B$6:$B$147,$B17,[4]Comprometimento!$E$6:$E$147)</f>
        <v>0</v>
      </c>
      <c r="J17" s="696">
        <f>SUMIF([4]Estoque!$B$6:$B$880,$B17,[4]Estoque!$H$6:$H$880)</f>
        <v>0</v>
      </c>
      <c r="K17" s="697">
        <f t="shared" si="6"/>
        <v>1661.97</v>
      </c>
      <c r="L17" s="698">
        <f t="shared" si="4"/>
        <v>0.68454675761170425</v>
      </c>
      <c r="M17" s="699">
        <f t="shared" si="7"/>
        <v>-765.87000000000012</v>
      </c>
      <c r="N17" s="698">
        <v>0</v>
      </c>
      <c r="O17" s="699">
        <v>0</v>
      </c>
      <c r="P17" s="699">
        <f t="shared" si="8"/>
        <v>-765.87000000000012</v>
      </c>
      <c r="Q17" s="698">
        <f t="shared" si="1"/>
        <v>0.68454675761170425</v>
      </c>
      <c r="R17" s="700">
        <f t="shared" si="2"/>
        <v>1661.9700000000003</v>
      </c>
    </row>
    <row r="18" spans="1:18" s="177" customFormat="1" ht="21.95" customHeight="1" x14ac:dyDescent="0.2">
      <c r="A18" s="393" t="s">
        <v>75</v>
      </c>
      <c r="B18" s="959" t="s">
        <v>764</v>
      </c>
      <c r="C18" s="959" t="s">
        <v>2200</v>
      </c>
      <c r="D18" s="366">
        <f>VLOOKUP($B18,'Análise Física Detalhada'!$E$13:$V$380,18,0)</f>
        <v>15436.510200000001</v>
      </c>
      <c r="E18" s="367">
        <f>VLOOKUP($B18,'Análise Física Detalhada'!$E$13:$P$380,12,0)</f>
        <v>0</v>
      </c>
      <c r="F18" s="368">
        <f t="shared" si="5"/>
        <v>0</v>
      </c>
      <c r="G18" s="696">
        <f>SUMIF('[2]Despesas Diretas'!$B$5:$B$9944,$B18,'[2]Despesas Diretas'!$H$5:$H$9944)</f>
        <v>1050</v>
      </c>
      <c r="H18" s="696">
        <f>SUMIF('[3]Despesas Diretas'!$B$5:$B$9999,$B18,'[3]Despesas Diretas'!$H$5:$H$9999)</f>
        <v>0</v>
      </c>
      <c r="I18" s="696">
        <f>SUMIF([4]Comprometimento!$B$6:$B$147,$B18,[4]Comprometimento!$E$6:$E$147)</f>
        <v>0</v>
      </c>
      <c r="J18" s="696">
        <f>SUMIF([4]Estoque!$B$6:$B$880,$B18,[4]Estoque!$H$6:$H$880)</f>
        <v>0</v>
      </c>
      <c r="K18" s="697">
        <f t="shared" si="6"/>
        <v>1050</v>
      </c>
      <c r="L18" s="698">
        <f t="shared" si="4"/>
        <v>0</v>
      </c>
      <c r="M18" s="699">
        <f t="shared" si="7"/>
        <v>1050</v>
      </c>
      <c r="N18" s="698">
        <v>0</v>
      </c>
      <c r="O18" s="699">
        <v>0</v>
      </c>
      <c r="P18" s="699">
        <f t="shared" si="8"/>
        <v>1050</v>
      </c>
      <c r="Q18" s="698">
        <f t="shared" si="1"/>
        <v>1</v>
      </c>
      <c r="R18" s="700">
        <f t="shared" si="2"/>
        <v>15436.510200000001</v>
      </c>
    </row>
    <row r="19" spans="1:18" s="130" customFormat="1" ht="21.95" customHeight="1" x14ac:dyDescent="0.2">
      <c r="A19" s="393" t="s">
        <v>75</v>
      </c>
      <c r="B19" s="959" t="s">
        <v>766</v>
      </c>
      <c r="C19" s="959" t="s">
        <v>2201</v>
      </c>
      <c r="D19" s="366">
        <f>VLOOKUP($B19,'Análise Física Detalhada'!$E$13:$V$380,18,0)</f>
        <v>1337.8308840000002</v>
      </c>
      <c r="E19" s="367">
        <f>VLOOKUP($B19,'Análise Física Detalhada'!$E$13:$P$380,12,0)</f>
        <v>0</v>
      </c>
      <c r="F19" s="368">
        <f t="shared" si="5"/>
        <v>0</v>
      </c>
      <c r="G19" s="696">
        <f>SUMIF('[2]Despesas Diretas'!$B$5:$B$9944,$B19,'[2]Despesas Diretas'!$H$5:$H$9944)</f>
        <v>0</v>
      </c>
      <c r="H19" s="696">
        <f>SUMIF('[3]Despesas Diretas'!$B$5:$B$9999,$B19,'[3]Despesas Diretas'!$H$5:$H$9999)</f>
        <v>0</v>
      </c>
      <c r="I19" s="696">
        <f>SUMIF([4]Comprometimento!$B$6:$B$147,$B19,[4]Comprometimento!$E$6:$E$147)</f>
        <v>0</v>
      </c>
      <c r="J19" s="696">
        <f>SUMIF([4]Estoque!$B$6:$B$880,$B19,[4]Estoque!$H$6:$H$880)</f>
        <v>0</v>
      </c>
      <c r="K19" s="697">
        <f t="shared" si="6"/>
        <v>0</v>
      </c>
      <c r="L19" s="698">
        <f t="shared" si="4"/>
        <v>0</v>
      </c>
      <c r="M19" s="699">
        <f t="shared" si="7"/>
        <v>0</v>
      </c>
      <c r="N19" s="698">
        <v>0</v>
      </c>
      <c r="O19" s="699">
        <v>0</v>
      </c>
      <c r="P19" s="699">
        <f t="shared" si="8"/>
        <v>0</v>
      </c>
      <c r="Q19" s="698">
        <f t="shared" si="1"/>
        <v>1</v>
      </c>
      <c r="R19" s="700">
        <f t="shared" si="2"/>
        <v>1337.8308840000002</v>
      </c>
    </row>
    <row r="20" spans="1:18" s="130" customFormat="1" ht="21.95" customHeight="1" x14ac:dyDescent="0.2">
      <c r="A20" s="393" t="s">
        <v>82</v>
      </c>
      <c r="B20" s="161" t="s">
        <v>82</v>
      </c>
      <c r="C20" s="161" t="s">
        <v>593</v>
      </c>
      <c r="D20" s="163">
        <f>VLOOKUP($B20,'Análise Física Detalhada'!$E$13:$V$380,18,0)</f>
        <v>46773.552599464689</v>
      </c>
      <c r="E20" s="530">
        <f>F20/D20</f>
        <v>0.56237730903816197</v>
      </c>
      <c r="F20" s="1001">
        <f>SUM(F21:F27)</f>
        <v>26304.384645041879</v>
      </c>
      <c r="G20" s="1000">
        <f>SUM(G21:G27)</f>
        <v>9087.39</v>
      </c>
      <c r="H20" s="1000">
        <f t="shared" ref="H20:K20" si="9">SUM(H21:H27)</f>
        <v>11.4</v>
      </c>
      <c r="I20" s="1000">
        <f t="shared" si="9"/>
        <v>0</v>
      </c>
      <c r="J20" s="1000">
        <f t="shared" si="9"/>
        <v>0</v>
      </c>
      <c r="K20" s="1000">
        <f t="shared" si="9"/>
        <v>9098.7900000000009</v>
      </c>
      <c r="L20" s="537">
        <f>IF($F20=0,0,$K20/$F20)</f>
        <v>0.34590392905142658</v>
      </c>
      <c r="M20" s="163">
        <f>IF($L20=0,0,$K20-$F20)</f>
        <v>-17205.594645041878</v>
      </c>
      <c r="N20" s="537">
        <v>0.20577810158201498</v>
      </c>
      <c r="O20" s="163">
        <v>-19077.21</v>
      </c>
      <c r="P20" s="163">
        <f>$M20-$O20</f>
        <v>1871.6153549581213</v>
      </c>
      <c r="Q20" s="537">
        <f t="shared" si="1"/>
        <v>0.48902757040946659</v>
      </c>
      <c r="R20" s="163">
        <f t="shared" si="2"/>
        <v>22873.556787135607</v>
      </c>
    </row>
    <row r="21" spans="1:18" s="130" customFormat="1" ht="21.95" customHeight="1" x14ac:dyDescent="0.2">
      <c r="A21" s="393" t="s">
        <v>82</v>
      </c>
      <c r="B21" s="959" t="s">
        <v>83</v>
      </c>
      <c r="C21" s="959" t="s">
        <v>410</v>
      </c>
      <c r="D21" s="366">
        <f>VLOOKUP($B21,'Análise Física Detalhada'!$E$13:$V$380,18,0)</f>
        <v>12000</v>
      </c>
      <c r="E21" s="367">
        <f>VLOOKUP($B21,'Análise Física Detalhada'!$E$13:$P$380,12,0)</f>
        <v>1</v>
      </c>
      <c r="F21" s="368">
        <f t="shared" si="5"/>
        <v>12000</v>
      </c>
      <c r="G21" s="696">
        <f>SUMIF('[2]Despesas Diretas'!$B$5:$B$9944,$B21,'[2]Despesas Diretas'!$H$5:$H$9944)</f>
        <v>1742.79</v>
      </c>
      <c r="H21" s="696">
        <f>SUMIF('[3]Despesas Diretas'!$B$5:$B$9999,$B21,'[3]Despesas Diretas'!$H$5:$H$9999)</f>
        <v>0</v>
      </c>
      <c r="I21" s="696">
        <f>SUMIF([4]Comprometimento!$B$6:$B$147,$B21,[4]Comprometimento!$E$6:$E$147)</f>
        <v>0</v>
      </c>
      <c r="J21" s="696">
        <f>SUMIF([4]Estoque!$B$6:$B$880,$B21,[4]Estoque!$H$6:$H$880)</f>
        <v>0</v>
      </c>
      <c r="K21" s="697">
        <f t="shared" si="6"/>
        <v>1742.79</v>
      </c>
      <c r="L21" s="698">
        <f t="shared" si="4"/>
        <v>0.14523249999999999</v>
      </c>
      <c r="M21" s="699">
        <f t="shared" si="7"/>
        <v>-10257.209999999999</v>
      </c>
      <c r="N21" s="698">
        <v>0.14523249999999999</v>
      </c>
      <c r="O21" s="699">
        <v>-10257.209999999999</v>
      </c>
      <c r="P21" s="699">
        <f t="shared" si="8"/>
        <v>0</v>
      </c>
      <c r="Q21" s="698">
        <f t="shared" si="1"/>
        <v>0.14523249999999999</v>
      </c>
      <c r="R21" s="700">
        <f t="shared" si="2"/>
        <v>1742.7899999999997</v>
      </c>
    </row>
    <row r="22" spans="1:18" s="130" customFormat="1" ht="21.95" customHeight="1" x14ac:dyDescent="0.2">
      <c r="A22" s="393" t="s">
        <v>82</v>
      </c>
      <c r="B22" s="959" t="s">
        <v>84</v>
      </c>
      <c r="C22" s="959" t="s">
        <v>594</v>
      </c>
      <c r="D22" s="366">
        <f>VLOOKUP($B22,'Análise Física Detalhada'!$E$13:$V$380,18,0)</f>
        <v>1500</v>
      </c>
      <c r="E22" s="367">
        <f>VLOOKUP($B22,'Análise Física Detalhada'!$E$13:$P$380,12,0)</f>
        <v>1</v>
      </c>
      <c r="F22" s="368">
        <f t="shared" si="5"/>
        <v>1500</v>
      </c>
      <c r="G22" s="696">
        <f>SUMIF('[2]Despesas Diretas'!$B$5:$B$9944,$B22,'[2]Despesas Diretas'!$H$5:$H$9944)</f>
        <v>0</v>
      </c>
      <c r="H22" s="696">
        <f>SUMIF('[3]Despesas Diretas'!$B$5:$B$9999,$B22,'[3]Despesas Diretas'!$H$5:$H$9999)</f>
        <v>0</v>
      </c>
      <c r="I22" s="696">
        <f>SUMIF([4]Comprometimento!$B$6:$B$147,$B22,[4]Comprometimento!$E$6:$E$147)</f>
        <v>0</v>
      </c>
      <c r="J22" s="696">
        <f>SUMIF([4]Estoque!$B$6:$B$880,$B22,[4]Estoque!$H$6:$H$880)</f>
        <v>0</v>
      </c>
      <c r="K22" s="697">
        <f t="shared" si="6"/>
        <v>0</v>
      </c>
      <c r="L22" s="698">
        <f t="shared" si="4"/>
        <v>0</v>
      </c>
      <c r="M22" s="699">
        <f t="shared" si="7"/>
        <v>-1500</v>
      </c>
      <c r="N22" s="698">
        <v>0</v>
      </c>
      <c r="O22" s="699">
        <v>-1500</v>
      </c>
      <c r="P22" s="699">
        <f t="shared" si="8"/>
        <v>0</v>
      </c>
      <c r="Q22" s="698">
        <f t="shared" si="1"/>
        <v>0</v>
      </c>
      <c r="R22" s="700">
        <f t="shared" si="2"/>
        <v>0</v>
      </c>
    </row>
    <row r="23" spans="1:18" s="130" customFormat="1" ht="21.95" customHeight="1" x14ac:dyDescent="0.2">
      <c r="A23" s="393" t="s">
        <v>82</v>
      </c>
      <c r="B23" s="959" t="s">
        <v>85</v>
      </c>
      <c r="C23" s="959" t="s">
        <v>453</v>
      </c>
      <c r="D23" s="366">
        <f>VLOOKUP($B23,'Análise Física Detalhada'!$E$13:$V$380,18,0)</f>
        <v>3520</v>
      </c>
      <c r="E23" s="367">
        <f>VLOOKUP($B23,'Análise Física Detalhada'!$E$13:$P$380,12,0)</f>
        <v>1</v>
      </c>
      <c r="F23" s="368">
        <f t="shared" si="5"/>
        <v>3520</v>
      </c>
      <c r="G23" s="696">
        <f>SUMIF('[2]Despesas Diretas'!$B$5:$B$9944,$B23,'[2]Despesas Diretas'!$H$5:$H$9944)</f>
        <v>2000</v>
      </c>
      <c r="H23" s="696">
        <f>SUMIF('[3]Despesas Diretas'!$B$5:$B$9999,$B23,'[3]Despesas Diretas'!$H$5:$H$9999)</f>
        <v>0</v>
      </c>
      <c r="I23" s="696">
        <f>SUMIF([4]Comprometimento!$B$6:$B$147,$B23,[4]Comprometimento!$E$6:$E$147)</f>
        <v>0</v>
      </c>
      <c r="J23" s="696">
        <f>SUMIF([4]Estoque!$B$6:$B$880,$B23,[4]Estoque!$H$6:$H$880)</f>
        <v>0</v>
      </c>
      <c r="K23" s="697">
        <f t="shared" si="6"/>
        <v>2000</v>
      </c>
      <c r="L23" s="698">
        <f t="shared" si="4"/>
        <v>0.56818181818181823</v>
      </c>
      <c r="M23" s="699">
        <f t="shared" si="7"/>
        <v>-1520</v>
      </c>
      <c r="N23" s="698">
        <v>0.51136363636363635</v>
      </c>
      <c r="O23" s="699">
        <v>-1720</v>
      </c>
      <c r="P23" s="699">
        <f t="shared" si="8"/>
        <v>200</v>
      </c>
      <c r="Q23" s="698">
        <f t="shared" si="1"/>
        <v>0.56818181818181823</v>
      </c>
      <c r="R23" s="700">
        <f t="shared" si="2"/>
        <v>2000.0000000000002</v>
      </c>
    </row>
    <row r="24" spans="1:18" s="130" customFormat="1" ht="21.95" customHeight="1" x14ac:dyDescent="0.2">
      <c r="A24" s="393" t="s">
        <v>82</v>
      </c>
      <c r="B24" s="959" t="s">
        <v>157</v>
      </c>
      <c r="C24" s="959" t="s">
        <v>447</v>
      </c>
      <c r="D24" s="366">
        <f>VLOOKUP($B24,'Análise Física Detalhada'!$E$13:$V$380,18,0)</f>
        <v>12462.545799464689</v>
      </c>
      <c r="E24" s="367">
        <f>VLOOKUP($B24,'Análise Física Detalhada'!$E$13:$P$380,12,0)</f>
        <v>0.18329999999999999</v>
      </c>
      <c r="F24" s="368">
        <f t="shared" si="5"/>
        <v>2284.3846450418773</v>
      </c>
      <c r="G24" s="696">
        <f>SUMIF('[2]Despesas Diretas'!$B$5:$B$9944,$B24,'[2]Despesas Diretas'!$H$5:$H$9944)</f>
        <v>444.6</v>
      </c>
      <c r="H24" s="696">
        <f>SUMIF('[3]Despesas Diretas'!$B$5:$B$9999,$B24,'[3]Despesas Diretas'!$H$5:$H$9999)</f>
        <v>11.4</v>
      </c>
      <c r="I24" s="696">
        <f>SUMIF([4]Comprometimento!$B$6:$B$147,$B24,[4]Comprometimento!$E$6:$E$147)</f>
        <v>0</v>
      </c>
      <c r="J24" s="696">
        <f>SUMIF([4]Estoque!$B$6:$B$880,$B24,[4]Estoque!$H$6:$H$880)</f>
        <v>0</v>
      </c>
      <c r="K24" s="697">
        <f t="shared" si="6"/>
        <v>456</v>
      </c>
      <c r="L24" s="698">
        <f t="shared" si="4"/>
        <v>0.19961612024915384</v>
      </c>
      <c r="M24" s="699">
        <f t="shared" si="7"/>
        <v>-1828.3846450418773</v>
      </c>
      <c r="N24" s="698">
        <v>0</v>
      </c>
      <c r="O24" s="699">
        <v>0</v>
      </c>
      <c r="P24" s="699">
        <f t="shared" si="8"/>
        <v>-1828.3846450418773</v>
      </c>
      <c r="Q24" s="698">
        <f t="shared" si="1"/>
        <v>1</v>
      </c>
      <c r="R24" s="700">
        <f t="shared" si="2"/>
        <v>12462.545799464689</v>
      </c>
    </row>
    <row r="25" spans="1:18" s="130" customFormat="1" ht="21.95" customHeight="1" x14ac:dyDescent="0.2">
      <c r="A25" s="393" t="s">
        <v>82</v>
      </c>
      <c r="B25" s="959" t="s">
        <v>158</v>
      </c>
      <c r="C25" s="959" t="s">
        <v>434</v>
      </c>
      <c r="D25" s="366">
        <f>VLOOKUP($B25,'Análise Física Detalhada'!$E$13:$V$380,18,0)</f>
        <v>4000</v>
      </c>
      <c r="E25" s="367">
        <f>VLOOKUP($B25,'Análise Física Detalhada'!$E$13:$P$380,12,0)</f>
        <v>1</v>
      </c>
      <c r="F25" s="368">
        <f t="shared" si="5"/>
        <v>4000</v>
      </c>
      <c r="G25" s="696">
        <f>SUMIF('[2]Despesas Diretas'!$B$5:$B$9944,$B25,'[2]Despesas Diretas'!$H$5:$H$9944)</f>
        <v>3500</v>
      </c>
      <c r="H25" s="696">
        <f>SUMIF('[3]Despesas Diretas'!$B$5:$B$9999,$B25,'[3]Despesas Diretas'!$H$5:$H$9999)</f>
        <v>0</v>
      </c>
      <c r="I25" s="696">
        <f>SUMIF([4]Comprometimento!$B$6:$B$147,$B25,[4]Comprometimento!$E$6:$E$147)</f>
        <v>0</v>
      </c>
      <c r="J25" s="696">
        <f>SUMIF([4]Estoque!$B$6:$B$880,$B25,[4]Estoque!$H$6:$H$880)</f>
        <v>0</v>
      </c>
      <c r="K25" s="697">
        <f t="shared" si="6"/>
        <v>3500</v>
      </c>
      <c r="L25" s="698">
        <f t="shared" si="4"/>
        <v>0.875</v>
      </c>
      <c r="M25" s="699">
        <f t="shared" si="7"/>
        <v>-500</v>
      </c>
      <c r="N25" s="698">
        <v>0</v>
      </c>
      <c r="O25" s="699">
        <v>-4000</v>
      </c>
      <c r="P25" s="699">
        <f t="shared" si="8"/>
        <v>3500</v>
      </c>
      <c r="Q25" s="698">
        <f t="shared" si="1"/>
        <v>0.875</v>
      </c>
      <c r="R25" s="700">
        <f t="shared" si="2"/>
        <v>3500</v>
      </c>
    </row>
    <row r="26" spans="1:18" s="130" customFormat="1" ht="21.95" customHeight="1" x14ac:dyDescent="0.2">
      <c r="A26" s="393" t="s">
        <v>82</v>
      </c>
      <c r="B26" s="959" t="s">
        <v>518</v>
      </c>
      <c r="C26" s="959" t="s">
        <v>1378</v>
      </c>
      <c r="D26" s="366">
        <f>VLOOKUP($B26,'Análise Física Detalhada'!$E$13:$V$380,18,0)</f>
        <v>3000</v>
      </c>
      <c r="E26" s="367">
        <f>VLOOKUP($B26,'Análise Física Detalhada'!$E$13:$P$380,12,0)</f>
        <v>1</v>
      </c>
      <c r="F26" s="368">
        <f t="shared" si="5"/>
        <v>3000</v>
      </c>
      <c r="G26" s="696">
        <f>SUMIF('[2]Despesas Diretas'!$B$5:$B$9944,$B26,'[2]Despesas Diretas'!$H$5:$H$9944)</f>
        <v>1400</v>
      </c>
      <c r="H26" s="696">
        <f>SUMIF('[3]Despesas Diretas'!$B$5:$B$9999,$B26,'[3]Despesas Diretas'!$H$5:$H$9999)</f>
        <v>0</v>
      </c>
      <c r="I26" s="696">
        <f>SUMIF([4]Comprometimento!$B$6:$B$147,$B26,[4]Comprometimento!$E$6:$E$147)</f>
        <v>0</v>
      </c>
      <c r="J26" s="696">
        <f>SUMIF([4]Estoque!$B$6:$B$880,$B26,[4]Estoque!$H$6:$H$880)</f>
        <v>0</v>
      </c>
      <c r="K26" s="697">
        <f t="shared" si="6"/>
        <v>1400</v>
      </c>
      <c r="L26" s="698">
        <f t="shared" si="4"/>
        <v>0.46666666666666667</v>
      </c>
      <c r="M26" s="699">
        <f t="shared" si="7"/>
        <v>-1600</v>
      </c>
      <c r="N26" s="698">
        <v>0.46666666666666667</v>
      </c>
      <c r="O26" s="699">
        <v>-1600</v>
      </c>
      <c r="P26" s="699">
        <f t="shared" si="8"/>
        <v>0</v>
      </c>
      <c r="Q26" s="698">
        <f t="shared" si="1"/>
        <v>0.46666666666666667</v>
      </c>
      <c r="R26" s="700">
        <f t="shared" si="2"/>
        <v>1400</v>
      </c>
    </row>
    <row r="27" spans="1:18" s="130" customFormat="1" ht="21.95" customHeight="1" x14ac:dyDescent="0.2">
      <c r="A27" s="393" t="s">
        <v>82</v>
      </c>
      <c r="B27" s="959" t="s">
        <v>519</v>
      </c>
      <c r="C27" s="959" t="s">
        <v>1379</v>
      </c>
      <c r="D27" s="366">
        <f>VLOOKUP($B27,'Análise Física Detalhada'!$E$13:$V$380,18,0)</f>
        <v>10291.006800000001</v>
      </c>
      <c r="E27" s="367">
        <f>VLOOKUP($B27,'Análise Física Detalhada'!$E$13:$P$380,12,0)</f>
        <v>0</v>
      </c>
      <c r="F27" s="368">
        <f t="shared" si="5"/>
        <v>0</v>
      </c>
      <c r="G27" s="696">
        <f>SUMIF('[2]Despesas Diretas'!$B$5:$B$9944,$B27,'[2]Despesas Diretas'!$H$5:$H$9944)</f>
        <v>0</v>
      </c>
      <c r="H27" s="696">
        <f>SUMIF('[3]Despesas Diretas'!$B$5:$B$9999,$B27,'[3]Despesas Diretas'!$H$5:$H$9999)</f>
        <v>0</v>
      </c>
      <c r="I27" s="696">
        <f>SUMIF([4]Comprometimento!$B$6:$B$147,$B27,[4]Comprometimento!$E$6:$E$147)</f>
        <v>0</v>
      </c>
      <c r="J27" s="696">
        <f>SUMIF([4]Estoque!$B$6:$B$880,$B27,[4]Estoque!$H$6:$H$880)</f>
        <v>0</v>
      </c>
      <c r="K27" s="697">
        <f t="shared" si="6"/>
        <v>0</v>
      </c>
      <c r="L27" s="698">
        <f t="shared" si="4"/>
        <v>0</v>
      </c>
      <c r="M27" s="699">
        <f t="shared" si="7"/>
        <v>0</v>
      </c>
      <c r="N27" s="698">
        <v>0</v>
      </c>
      <c r="O27" s="699">
        <v>0</v>
      </c>
      <c r="P27" s="699">
        <f t="shared" si="8"/>
        <v>0</v>
      </c>
      <c r="Q27" s="698">
        <f t="shared" si="1"/>
        <v>1</v>
      </c>
      <c r="R27" s="700">
        <f t="shared" si="2"/>
        <v>10291.006800000001</v>
      </c>
    </row>
    <row r="28" spans="1:18" s="177" customFormat="1" ht="21.95" customHeight="1" x14ac:dyDescent="0.2">
      <c r="A28" s="393" t="s">
        <v>86</v>
      </c>
      <c r="B28" s="161" t="s">
        <v>86</v>
      </c>
      <c r="C28" s="161" t="s">
        <v>595</v>
      </c>
      <c r="D28" s="163">
        <f>VLOOKUP($B28,'Análise Física Detalhada'!$E$13:$V$380,18,0)</f>
        <v>43061.185044504804</v>
      </c>
      <c r="E28" s="530">
        <f>F28/D28</f>
        <v>0.6503478745663035</v>
      </c>
      <c r="F28" s="1001">
        <f>SUM(F29:F46)</f>
        <v>28004.750169999996</v>
      </c>
      <c r="G28" s="1000">
        <f>SUM(G29:G46)</f>
        <v>39182.879999999997</v>
      </c>
      <c r="H28" s="1000">
        <f t="shared" ref="H28:K28" si="10">SUM(H29:H46)</f>
        <v>2600.91</v>
      </c>
      <c r="I28" s="1000">
        <f t="shared" si="10"/>
        <v>0</v>
      </c>
      <c r="J28" s="1000">
        <f t="shared" si="10"/>
        <v>11351.900000000001</v>
      </c>
      <c r="K28" s="1000">
        <f t="shared" si="10"/>
        <v>30431.889999999992</v>
      </c>
      <c r="L28" s="537">
        <f>IF($F28=0,0,$K28/$F28)</f>
        <v>1.0866688620775509</v>
      </c>
      <c r="M28" s="163">
        <f>IF($L28=0,0,$K28-$F28)</f>
        <v>2427.1398299999964</v>
      </c>
      <c r="N28" s="537">
        <v>0.40273824343076969</v>
      </c>
      <c r="O28" s="163">
        <v>-16720.97</v>
      </c>
      <c r="P28" s="163">
        <f>$M28-$O28</f>
        <v>19148.109829999998</v>
      </c>
      <c r="Q28" s="537">
        <f t="shared" si="1"/>
        <v>1.0715168861603832</v>
      </c>
      <c r="R28" s="163">
        <f t="shared" si="2"/>
        <v>46140.786913263852</v>
      </c>
    </row>
    <row r="29" spans="1:18" s="130" customFormat="1" ht="21.95" customHeight="1" x14ac:dyDescent="0.2">
      <c r="A29" s="393" t="s">
        <v>86</v>
      </c>
      <c r="B29" s="959" t="s">
        <v>87</v>
      </c>
      <c r="C29" s="959" t="s">
        <v>436</v>
      </c>
      <c r="D29" s="366">
        <f>VLOOKUP($B29,'Análise Física Detalhada'!$E$13:$V$380,18,0)</f>
        <v>2500</v>
      </c>
      <c r="E29" s="367">
        <f>VLOOKUP($B29,'Análise Física Detalhada'!$E$13:$P$380,12,0)</f>
        <v>1</v>
      </c>
      <c r="F29" s="368">
        <f t="shared" si="5"/>
        <v>2500</v>
      </c>
      <c r="G29" s="696">
        <f>SUMIF('[2]Despesas Diretas'!$B$5:$B$9944,$B29,'[2]Despesas Diretas'!$H$5:$H$9944)</f>
        <v>0</v>
      </c>
      <c r="H29" s="696">
        <f>SUMIF('[3]Despesas Diretas'!$B$5:$B$9999,$B29,'[3]Despesas Diretas'!$H$5:$H$9999)</f>
        <v>0</v>
      </c>
      <c r="I29" s="696">
        <f>SUMIF([4]Comprometimento!$B$6:$B$147,$B29,[4]Comprometimento!$E$6:$E$147)</f>
        <v>0</v>
      </c>
      <c r="J29" s="696">
        <f>SUMIF([4]Estoque!$B$6:$B$880,$B29,[4]Estoque!$H$6:$H$880)</f>
        <v>0</v>
      </c>
      <c r="K29" s="697">
        <f t="shared" si="6"/>
        <v>0</v>
      </c>
      <c r="L29" s="698">
        <f t="shared" si="4"/>
        <v>0</v>
      </c>
      <c r="M29" s="699">
        <f t="shared" si="7"/>
        <v>-2500</v>
      </c>
      <c r="N29" s="698">
        <v>0</v>
      </c>
      <c r="O29" s="699">
        <v>-2500</v>
      </c>
      <c r="P29" s="699">
        <f t="shared" si="8"/>
        <v>0</v>
      </c>
      <c r="Q29" s="698">
        <f t="shared" si="1"/>
        <v>0</v>
      </c>
      <c r="R29" s="700">
        <f t="shared" si="2"/>
        <v>0</v>
      </c>
    </row>
    <row r="30" spans="1:18" s="155" customFormat="1" ht="21.95" customHeight="1" x14ac:dyDescent="0.2">
      <c r="A30" s="393" t="s">
        <v>86</v>
      </c>
      <c r="B30" s="959" t="s">
        <v>88</v>
      </c>
      <c r="C30" s="959" t="s">
        <v>426</v>
      </c>
      <c r="D30" s="366">
        <f>VLOOKUP($B30,'Análise Física Detalhada'!$E$13:$V$380,18,0)</f>
        <v>4000</v>
      </c>
      <c r="E30" s="367">
        <f>VLOOKUP($B30,'Análise Física Detalhada'!$E$13:$P$380,12,0)</f>
        <v>1</v>
      </c>
      <c r="F30" s="368">
        <f t="shared" si="5"/>
        <v>4000</v>
      </c>
      <c r="G30" s="696">
        <f>SUMIF('[2]Despesas Diretas'!$B$5:$B$9944,$B30,'[2]Despesas Diretas'!$H$5:$H$9944)</f>
        <v>6045.15</v>
      </c>
      <c r="H30" s="696">
        <f>SUMIF('[3]Despesas Diretas'!$B$5:$B$9999,$B30,'[3]Despesas Diretas'!$H$5:$H$9999)</f>
        <v>346</v>
      </c>
      <c r="I30" s="696">
        <f>SUMIF([4]Comprometimento!$B$6:$B$147,$B30,[4]Comprometimento!$E$6:$E$147)</f>
        <v>0</v>
      </c>
      <c r="J30" s="696">
        <f>SUMIF([4]Estoque!$B$6:$B$880,$B30,[4]Estoque!$H$6:$H$880)</f>
        <v>1497.8999999999996</v>
      </c>
      <c r="K30" s="697">
        <f t="shared" si="6"/>
        <v>4893.25</v>
      </c>
      <c r="L30" s="698">
        <f t="shared" si="4"/>
        <v>1.2233125</v>
      </c>
      <c r="M30" s="699">
        <f t="shared" si="7"/>
        <v>893.25</v>
      </c>
      <c r="N30" s="698">
        <v>0.13217250000000008</v>
      </c>
      <c r="O30" s="699">
        <v>-3471.3099999999995</v>
      </c>
      <c r="P30" s="699">
        <f t="shared" si="8"/>
        <v>4364.5599999999995</v>
      </c>
      <c r="Q30" s="698">
        <f t="shared" si="1"/>
        <v>1.2233125</v>
      </c>
      <c r="R30" s="700">
        <f t="shared" si="2"/>
        <v>4893.25</v>
      </c>
    </row>
    <row r="31" spans="1:18" s="130" customFormat="1" ht="21.95" customHeight="1" x14ac:dyDescent="0.2">
      <c r="A31" s="393" t="s">
        <v>86</v>
      </c>
      <c r="B31" s="959" t="s">
        <v>89</v>
      </c>
      <c r="C31" s="959" t="s">
        <v>442</v>
      </c>
      <c r="D31" s="366">
        <f>VLOOKUP($B31,'Análise Física Detalhada'!$E$13:$V$380,18,0)</f>
        <v>960</v>
      </c>
      <c r="E31" s="367">
        <f>VLOOKUP($B31,'Análise Física Detalhada'!$E$13:$P$380,12,0)</f>
        <v>1</v>
      </c>
      <c r="F31" s="368">
        <f t="shared" si="5"/>
        <v>960</v>
      </c>
      <c r="G31" s="696">
        <f>SUMIF('[2]Despesas Diretas'!$B$5:$B$9944,$B31,'[2]Despesas Diretas'!$H$5:$H$9944)</f>
        <v>0</v>
      </c>
      <c r="H31" s="696">
        <f>SUMIF('[3]Despesas Diretas'!$B$5:$B$9999,$B31,'[3]Despesas Diretas'!$H$5:$H$9999)</f>
        <v>0</v>
      </c>
      <c r="I31" s="696">
        <f>SUMIF([4]Comprometimento!$B$6:$B$147,$B31,[4]Comprometimento!$E$6:$E$147)</f>
        <v>0</v>
      </c>
      <c r="J31" s="696">
        <f>SUMIF([4]Estoque!$B$6:$B$880,$B31,[4]Estoque!$H$6:$H$880)</f>
        <v>0</v>
      </c>
      <c r="K31" s="697">
        <f t="shared" si="6"/>
        <v>0</v>
      </c>
      <c r="L31" s="698">
        <f t="shared" si="4"/>
        <v>0</v>
      </c>
      <c r="M31" s="699">
        <f t="shared" si="7"/>
        <v>-960</v>
      </c>
      <c r="N31" s="698">
        <v>0</v>
      </c>
      <c r="O31" s="699">
        <v>-960</v>
      </c>
      <c r="P31" s="699">
        <f t="shared" si="8"/>
        <v>0</v>
      </c>
      <c r="Q31" s="698">
        <f t="shared" si="1"/>
        <v>0</v>
      </c>
      <c r="R31" s="700">
        <f t="shared" si="2"/>
        <v>0</v>
      </c>
    </row>
    <row r="32" spans="1:18" s="130" customFormat="1" ht="21.95" customHeight="1" x14ac:dyDescent="0.2">
      <c r="A32" s="393" t="s">
        <v>86</v>
      </c>
      <c r="B32" s="959" t="s">
        <v>1380</v>
      </c>
      <c r="C32" s="959" t="s">
        <v>768</v>
      </c>
      <c r="D32" s="366">
        <f>VLOOKUP($B32,'Análise Física Detalhada'!$E$13:$V$380,18,0)</f>
        <v>8400</v>
      </c>
      <c r="E32" s="367">
        <f>VLOOKUP($B32,'Análise Física Detalhada'!$E$13:$P$380,12,0)</f>
        <v>1</v>
      </c>
      <c r="F32" s="368">
        <f t="shared" si="5"/>
        <v>8400</v>
      </c>
      <c r="G32" s="696">
        <f>SUMIF('[2]Despesas Diretas'!$B$5:$B$9944,$B32,'[2]Despesas Diretas'!$H$5:$H$9944)</f>
        <v>6400.4699999999993</v>
      </c>
      <c r="H32" s="696">
        <f>SUMIF('[3]Despesas Diretas'!$B$5:$B$9999,$B32,'[3]Despesas Diretas'!$H$5:$H$9999)</f>
        <v>0</v>
      </c>
      <c r="I32" s="696">
        <f>SUMIF([4]Comprometimento!$B$6:$B$147,$B32,[4]Comprometimento!$E$6:$E$147)</f>
        <v>0</v>
      </c>
      <c r="J32" s="696">
        <f>SUMIF([4]Estoque!$B$6:$B$880,$B32,[4]Estoque!$H$6:$H$880)</f>
        <v>5739.58</v>
      </c>
      <c r="K32" s="697">
        <f t="shared" si="6"/>
        <v>660.88999999999942</v>
      </c>
      <c r="L32" s="698">
        <f t="shared" si="4"/>
        <v>7.8677380952380888E-2</v>
      </c>
      <c r="M32" s="699">
        <f t="shared" si="7"/>
        <v>-7739.1100000000006</v>
      </c>
      <c r="N32" s="698">
        <v>0.31208809523809528</v>
      </c>
      <c r="O32" s="699">
        <v>-5778.4599999999991</v>
      </c>
      <c r="P32" s="699">
        <f t="shared" si="8"/>
        <v>-1960.6500000000015</v>
      </c>
      <c r="Q32" s="698">
        <f t="shared" si="1"/>
        <v>7.8677380952380888E-2</v>
      </c>
      <c r="R32" s="700">
        <f t="shared" si="2"/>
        <v>660.88999999999942</v>
      </c>
    </row>
    <row r="33" spans="1:18" s="130" customFormat="1" ht="21.95" customHeight="1" x14ac:dyDescent="0.2">
      <c r="A33" s="393" t="s">
        <v>86</v>
      </c>
      <c r="B33" s="959" t="s">
        <v>1381</v>
      </c>
      <c r="C33" s="959" t="s">
        <v>1382</v>
      </c>
      <c r="D33" s="366">
        <f>VLOOKUP($B33,'Análise Física Detalhada'!$E$13:$V$380,18,0)</f>
        <v>2029.0003400000001</v>
      </c>
      <c r="E33" s="367">
        <f>VLOOKUP($B33,'Análise Física Detalhada'!$E$13:$P$380,12,0)</f>
        <v>0.5</v>
      </c>
      <c r="F33" s="368">
        <f t="shared" si="5"/>
        <v>1014.50017</v>
      </c>
      <c r="G33" s="696">
        <f>SUMIF('[2]Despesas Diretas'!$B$5:$B$9944,$B33,'[2]Despesas Diretas'!$H$5:$H$9944)</f>
        <v>0</v>
      </c>
      <c r="H33" s="696">
        <f>SUMIF('[3]Despesas Diretas'!$B$5:$B$9999,$B33,'[3]Despesas Diretas'!$H$5:$H$9999)</f>
        <v>0</v>
      </c>
      <c r="I33" s="696">
        <f>SUMIF([4]Comprometimento!$B$6:$B$147,$B33,[4]Comprometimento!$E$6:$E$147)</f>
        <v>0</v>
      </c>
      <c r="J33" s="696">
        <f>SUMIF([4]Estoque!$B$6:$B$880,$B33,[4]Estoque!$H$6:$H$880)</f>
        <v>0</v>
      </c>
      <c r="K33" s="697">
        <f t="shared" si="6"/>
        <v>0</v>
      </c>
      <c r="L33" s="698">
        <f t="shared" si="4"/>
        <v>0</v>
      </c>
      <c r="M33" s="699">
        <f t="shared" si="7"/>
        <v>-1014.50017</v>
      </c>
      <c r="N33" s="698">
        <v>0</v>
      </c>
      <c r="O33" s="699">
        <v>-1005.8</v>
      </c>
      <c r="P33" s="699">
        <f t="shared" si="8"/>
        <v>-8.700170000000071</v>
      </c>
      <c r="Q33" s="698">
        <f t="shared" si="1"/>
        <v>0.25</v>
      </c>
      <c r="R33" s="700">
        <f t="shared" si="2"/>
        <v>507.25008500000001</v>
      </c>
    </row>
    <row r="34" spans="1:18" s="130" customFormat="1" ht="21.95" customHeight="1" x14ac:dyDescent="0.2">
      <c r="A34" s="393" t="s">
        <v>86</v>
      </c>
      <c r="B34" s="967" t="s">
        <v>596</v>
      </c>
      <c r="C34" s="967" t="s">
        <v>599</v>
      </c>
      <c r="D34" s="366">
        <f>VLOOKUP($B34,'Análise Física Detalhada'!$E$13:$V$380,18,0)</f>
        <v>0</v>
      </c>
      <c r="E34" s="367">
        <f>VLOOKUP($B34,'Análise Física Detalhada'!$E$13:$P$380,12,0)</f>
        <v>0</v>
      </c>
      <c r="F34" s="368">
        <f t="shared" si="5"/>
        <v>0</v>
      </c>
      <c r="G34" s="696">
        <f>SUMIF('[2]Despesas Diretas'!$B$5:$B$9944,$B34,'[2]Despesas Diretas'!$H$5:$H$9944)</f>
        <v>0</v>
      </c>
      <c r="H34" s="696">
        <f>SUMIF('[3]Despesas Diretas'!$B$5:$B$9999,$B34,'[3]Despesas Diretas'!$H$5:$H$9999)</f>
        <v>0</v>
      </c>
      <c r="I34" s="696">
        <f>SUMIF([4]Comprometimento!$B$6:$B$147,$B34,[4]Comprometimento!$E$6:$E$147)</f>
        <v>0</v>
      </c>
      <c r="J34" s="696">
        <f>SUMIF([4]Estoque!$B$6:$B$880,$B34,[4]Estoque!$H$6:$H$880)</f>
        <v>0</v>
      </c>
      <c r="K34" s="697">
        <f t="shared" si="6"/>
        <v>0</v>
      </c>
      <c r="L34" s="698">
        <f t="shared" si="4"/>
        <v>0</v>
      </c>
      <c r="M34" s="699">
        <f t="shared" si="7"/>
        <v>0</v>
      </c>
      <c r="N34" s="698">
        <v>0</v>
      </c>
      <c r="O34" s="699">
        <v>0</v>
      </c>
      <c r="P34" s="699">
        <f t="shared" si="8"/>
        <v>0</v>
      </c>
      <c r="Q34" s="698">
        <f t="shared" si="1"/>
        <v>0</v>
      </c>
      <c r="R34" s="700">
        <f t="shared" si="2"/>
        <v>0</v>
      </c>
    </row>
    <row r="35" spans="1:18" s="130" customFormat="1" ht="21.95" customHeight="1" x14ac:dyDescent="0.2">
      <c r="A35" s="393" t="s">
        <v>86</v>
      </c>
      <c r="B35" s="959" t="s">
        <v>597</v>
      </c>
      <c r="C35" s="959" t="s">
        <v>2202</v>
      </c>
      <c r="D35" s="366">
        <f>VLOOKUP($B35,'Análise Física Detalhada'!$E$13:$V$380,18,0)</f>
        <v>4213.1381839200012</v>
      </c>
      <c r="E35" s="367">
        <f>VLOOKUP($B35,'Análise Física Detalhada'!$E$13:$P$380,12,0)</f>
        <v>0</v>
      </c>
      <c r="F35" s="368">
        <f t="shared" si="5"/>
        <v>0</v>
      </c>
      <c r="G35" s="696">
        <f>SUMIF('[2]Despesas Diretas'!$B$5:$B$9944,$B35,'[2]Despesas Diretas'!$H$5:$H$9944)</f>
        <v>2769.31</v>
      </c>
      <c r="H35" s="696">
        <f>SUMIF('[3]Despesas Diretas'!$B$5:$B$9999,$B35,'[3]Despesas Diretas'!$H$5:$H$9999)</f>
        <v>157.9</v>
      </c>
      <c r="I35" s="696">
        <f>SUMIF([4]Comprometimento!$B$6:$B$147,$B35,[4]Comprometimento!$E$6:$E$147)</f>
        <v>0</v>
      </c>
      <c r="J35" s="696">
        <f>SUMIF([4]Estoque!$B$6:$B$880,$B35,[4]Estoque!$H$6:$H$880)</f>
        <v>0</v>
      </c>
      <c r="K35" s="697">
        <f t="shared" si="6"/>
        <v>2927.21</v>
      </c>
      <c r="L35" s="698">
        <f t="shared" si="4"/>
        <v>0</v>
      </c>
      <c r="M35" s="699">
        <f t="shared" si="7"/>
        <v>2927.21</v>
      </c>
      <c r="N35" s="698">
        <v>0</v>
      </c>
      <c r="O35" s="699">
        <v>985.04</v>
      </c>
      <c r="P35" s="699">
        <f t="shared" si="8"/>
        <v>1942.17</v>
      </c>
      <c r="Q35" s="698">
        <f t="shared" si="1"/>
        <v>1</v>
      </c>
      <c r="R35" s="700">
        <f t="shared" si="2"/>
        <v>4213.1381839200012</v>
      </c>
    </row>
    <row r="36" spans="1:18" s="130" customFormat="1" ht="21.95" customHeight="1" x14ac:dyDescent="0.2">
      <c r="A36" s="393" t="s">
        <v>86</v>
      </c>
      <c r="B36" s="959" t="s">
        <v>769</v>
      </c>
      <c r="C36" s="959" t="s">
        <v>2203</v>
      </c>
      <c r="D36" s="366">
        <f>VLOOKUP($B36,'Análise Física Detalhada'!$E$13:$V$380,18,0)</f>
        <v>1914.8579262828005</v>
      </c>
      <c r="E36" s="367">
        <f>VLOOKUP($B36,'Análise Física Detalhada'!$E$13:$P$380,12,0)</f>
        <v>0</v>
      </c>
      <c r="F36" s="368">
        <f t="shared" si="5"/>
        <v>0</v>
      </c>
      <c r="G36" s="696">
        <f>SUMIF('[2]Despesas Diretas'!$B$5:$B$9944,$B36,'[2]Despesas Diretas'!$H$5:$H$9944)</f>
        <v>0</v>
      </c>
      <c r="H36" s="696">
        <f>SUMIF('[3]Despesas Diretas'!$B$5:$B$9999,$B36,'[3]Despesas Diretas'!$H$5:$H$9999)</f>
        <v>0</v>
      </c>
      <c r="I36" s="696">
        <f>SUMIF([4]Comprometimento!$B$6:$B$147,$B36,[4]Comprometimento!$E$6:$E$147)</f>
        <v>0</v>
      </c>
      <c r="J36" s="696">
        <f>SUMIF([4]Estoque!$B$6:$B$880,$B36,[4]Estoque!$H$6:$H$880)</f>
        <v>0</v>
      </c>
      <c r="K36" s="697">
        <f t="shared" si="6"/>
        <v>0</v>
      </c>
      <c r="L36" s="698">
        <f t="shared" si="4"/>
        <v>0</v>
      </c>
      <c r="M36" s="699">
        <f t="shared" si="7"/>
        <v>0</v>
      </c>
      <c r="N36" s="698">
        <v>0</v>
      </c>
      <c r="O36" s="699">
        <v>0</v>
      </c>
      <c r="P36" s="699">
        <f t="shared" si="8"/>
        <v>0</v>
      </c>
      <c r="Q36" s="698">
        <f t="shared" si="1"/>
        <v>1</v>
      </c>
      <c r="R36" s="700">
        <f t="shared" si="2"/>
        <v>1914.8579262828005</v>
      </c>
    </row>
    <row r="37" spans="1:18" s="155" customFormat="1" ht="21.95" customHeight="1" x14ac:dyDescent="0.2">
      <c r="A37" s="393" t="s">
        <v>86</v>
      </c>
      <c r="B37" s="959" t="s">
        <v>770</v>
      </c>
      <c r="C37" s="959" t="s">
        <v>2204</v>
      </c>
      <c r="D37" s="366">
        <f>VLOOKUP($B37,'Análise Física Detalhada'!$E$13:$V$380,18,0)</f>
        <v>1441.5951055644</v>
      </c>
      <c r="E37" s="367">
        <f>VLOOKUP($B37,'Análise Física Detalhada'!$E$13:$P$380,12,0)</f>
        <v>0</v>
      </c>
      <c r="F37" s="368">
        <f t="shared" si="5"/>
        <v>0</v>
      </c>
      <c r="G37" s="696">
        <f>SUMIF('[2]Despesas Diretas'!$B$5:$B$9944,$B37,'[2]Despesas Diretas'!$H$5:$H$9944)</f>
        <v>1835.25</v>
      </c>
      <c r="H37" s="696">
        <f>SUMIF('[3]Despesas Diretas'!$B$5:$B$9999,$B37,'[3]Despesas Diretas'!$H$5:$H$9999)</f>
        <v>138.42000000000002</v>
      </c>
      <c r="I37" s="696">
        <f>SUMIF([4]Comprometimento!$B$6:$B$147,$B37,[4]Comprometimento!$E$6:$E$147)</f>
        <v>0</v>
      </c>
      <c r="J37" s="696">
        <f>SUMIF([4]Estoque!$B$6:$B$880,$B37,[4]Estoque!$H$6:$H$880)</f>
        <v>0</v>
      </c>
      <c r="K37" s="697">
        <f t="shared" si="6"/>
        <v>1973.67</v>
      </c>
      <c r="L37" s="698">
        <f t="shared" si="4"/>
        <v>0</v>
      </c>
      <c r="M37" s="699">
        <f t="shared" si="7"/>
        <v>1973.67</v>
      </c>
      <c r="N37" s="698">
        <v>0</v>
      </c>
      <c r="O37" s="699">
        <v>271.04000000000002</v>
      </c>
      <c r="P37" s="699">
        <f t="shared" si="8"/>
        <v>1702.63</v>
      </c>
      <c r="Q37" s="698">
        <f t="shared" si="1"/>
        <v>1</v>
      </c>
      <c r="R37" s="700">
        <f t="shared" si="2"/>
        <v>1441.5951055644</v>
      </c>
    </row>
    <row r="38" spans="1:18" s="130" customFormat="1" ht="21.95" customHeight="1" x14ac:dyDescent="0.2">
      <c r="A38" s="393" t="s">
        <v>86</v>
      </c>
      <c r="B38" s="959" t="s">
        <v>1384</v>
      </c>
      <c r="C38" s="959" t="s">
        <v>2205</v>
      </c>
      <c r="D38" s="366">
        <f>VLOOKUP($B38,'Análise Física Detalhada'!$E$13:$V$380,18,0)</f>
        <v>1303.7882335056004</v>
      </c>
      <c r="E38" s="367">
        <f>VLOOKUP($B38,'Análise Física Detalhada'!$E$13:$P$380,12,0)</f>
        <v>0</v>
      </c>
      <c r="F38" s="368">
        <f t="shared" si="5"/>
        <v>0</v>
      </c>
      <c r="G38" s="696">
        <f>SUMIF('[2]Despesas Diretas'!$B$5:$B$9944,$B38,'[2]Despesas Diretas'!$H$5:$H$9944)</f>
        <v>1287.3599999999999</v>
      </c>
      <c r="H38" s="696">
        <f>SUMIF('[3]Despesas Diretas'!$B$5:$B$9999,$B38,'[3]Despesas Diretas'!$H$5:$H$9999)</f>
        <v>99.47</v>
      </c>
      <c r="I38" s="696">
        <f>SUMIF([4]Comprometimento!$B$6:$B$147,$B38,[4]Comprometimento!$E$6:$E$147)</f>
        <v>0</v>
      </c>
      <c r="J38" s="696">
        <f>SUMIF([4]Estoque!$B$6:$B$880,$B38,[4]Estoque!$H$6:$H$880)</f>
        <v>0</v>
      </c>
      <c r="K38" s="697">
        <f t="shared" si="6"/>
        <v>1386.83</v>
      </c>
      <c r="L38" s="698">
        <f t="shared" si="4"/>
        <v>0</v>
      </c>
      <c r="M38" s="699">
        <f t="shared" si="7"/>
        <v>1386.83</v>
      </c>
      <c r="N38" s="698">
        <v>0</v>
      </c>
      <c r="O38" s="699">
        <v>163.28</v>
      </c>
      <c r="P38" s="699">
        <f t="shared" si="8"/>
        <v>1223.55</v>
      </c>
      <c r="Q38" s="698">
        <f t="shared" si="1"/>
        <v>1</v>
      </c>
      <c r="R38" s="700">
        <f t="shared" si="2"/>
        <v>1303.7882335056004</v>
      </c>
    </row>
    <row r="39" spans="1:18" s="130" customFormat="1" ht="21.95" customHeight="1" x14ac:dyDescent="0.2">
      <c r="A39" s="393" t="s">
        <v>86</v>
      </c>
      <c r="B39" s="959" t="s">
        <v>1386</v>
      </c>
      <c r="C39" s="959" t="s">
        <v>2206</v>
      </c>
      <c r="D39" s="366">
        <f>VLOOKUP($B39,'Análise Física Detalhada'!$E$13:$V$380,18,0)</f>
        <v>2433.2159387988004</v>
      </c>
      <c r="E39" s="367">
        <f>VLOOKUP($B39,'Análise Física Detalhada'!$E$13:$P$380,12,0)</f>
        <v>0</v>
      </c>
      <c r="F39" s="368">
        <f t="shared" si="5"/>
        <v>0</v>
      </c>
      <c r="G39" s="696">
        <f>SUMIF('[2]Despesas Diretas'!$B$5:$B$9944,$B39,'[2]Despesas Diretas'!$H$5:$H$9944)</f>
        <v>204.41</v>
      </c>
      <c r="H39" s="696">
        <f>SUMIF('[3]Despesas Diretas'!$B$5:$B$9999,$B39,'[3]Despesas Diretas'!$H$5:$H$9999)</f>
        <v>0</v>
      </c>
      <c r="I39" s="696">
        <f>SUMIF([4]Comprometimento!$B$6:$B$147,$B39,[4]Comprometimento!$E$6:$E$147)</f>
        <v>0</v>
      </c>
      <c r="J39" s="696">
        <f>SUMIF([4]Estoque!$B$6:$B$880,$B39,[4]Estoque!$H$6:$H$880)</f>
        <v>0</v>
      </c>
      <c r="K39" s="697">
        <f t="shared" si="6"/>
        <v>204.41</v>
      </c>
      <c r="L39" s="698">
        <f t="shared" si="4"/>
        <v>0</v>
      </c>
      <c r="M39" s="699">
        <f t="shared" si="7"/>
        <v>204.41</v>
      </c>
      <c r="N39" s="698">
        <v>0</v>
      </c>
      <c r="O39" s="699">
        <v>204.41</v>
      </c>
      <c r="P39" s="699">
        <f t="shared" si="8"/>
        <v>0</v>
      </c>
      <c r="Q39" s="698">
        <f t="shared" si="1"/>
        <v>1</v>
      </c>
      <c r="R39" s="700">
        <f t="shared" si="2"/>
        <v>2433.2159387988004</v>
      </c>
    </row>
    <row r="40" spans="1:18" s="130" customFormat="1" ht="21.95" customHeight="1" x14ac:dyDescent="0.2">
      <c r="A40" s="393" t="s">
        <v>86</v>
      </c>
      <c r="B40" s="959" t="s">
        <v>1387</v>
      </c>
      <c r="C40" s="959" t="s">
        <v>2207</v>
      </c>
      <c r="D40" s="366">
        <f>VLOOKUP($B40,'Análise Física Detalhada'!$E$13:$V$380,18,0)</f>
        <v>513.57269435400008</v>
      </c>
      <c r="E40" s="367">
        <f>VLOOKUP($B40,'Análise Física Detalhada'!$E$13:$P$380,12,0)</f>
        <v>0</v>
      </c>
      <c r="F40" s="368">
        <f t="shared" si="5"/>
        <v>0</v>
      </c>
      <c r="G40" s="696">
        <f>SUMIF('[2]Despesas Diretas'!$B$5:$B$9944,$B40,'[2]Despesas Diretas'!$H$5:$H$9944)</f>
        <v>0</v>
      </c>
      <c r="H40" s="696">
        <f>SUMIF('[3]Despesas Diretas'!$B$5:$B$9999,$B40,'[3]Despesas Diretas'!$H$5:$H$9999)</f>
        <v>0</v>
      </c>
      <c r="I40" s="696">
        <f>SUMIF([4]Comprometimento!$B$6:$B$147,$B40,[4]Comprometimento!$E$6:$E$147)</f>
        <v>0</v>
      </c>
      <c r="J40" s="696">
        <f>SUMIF([4]Estoque!$B$6:$B$880,$B40,[4]Estoque!$H$6:$H$880)</f>
        <v>0</v>
      </c>
      <c r="K40" s="697">
        <f t="shared" si="6"/>
        <v>0</v>
      </c>
      <c r="L40" s="698">
        <f t="shared" si="4"/>
        <v>0</v>
      </c>
      <c r="M40" s="699">
        <f t="shared" si="7"/>
        <v>0</v>
      </c>
      <c r="N40" s="698">
        <v>0</v>
      </c>
      <c r="O40" s="699">
        <v>0</v>
      </c>
      <c r="P40" s="699">
        <f t="shared" si="8"/>
        <v>0</v>
      </c>
      <c r="Q40" s="698">
        <f t="shared" si="1"/>
        <v>1</v>
      </c>
      <c r="R40" s="700">
        <f t="shared" si="2"/>
        <v>513.57269435400008</v>
      </c>
    </row>
    <row r="41" spans="1:18" s="130" customFormat="1" ht="21.95" customHeight="1" x14ac:dyDescent="0.2">
      <c r="A41" s="393" t="s">
        <v>86</v>
      </c>
      <c r="B41" s="959" t="s">
        <v>1388</v>
      </c>
      <c r="C41" s="959" t="s">
        <v>424</v>
      </c>
      <c r="D41" s="366">
        <f>VLOOKUP($B41,'Análise Física Detalhada'!$E$13:$V$380,18,0)</f>
        <v>2221.7666220792003</v>
      </c>
      <c r="E41" s="367">
        <f>VLOOKUP($B41,'Análise Física Detalhada'!$E$13:$P$380,12,0)</f>
        <v>0</v>
      </c>
      <c r="F41" s="368">
        <f t="shared" si="5"/>
        <v>0</v>
      </c>
      <c r="G41" s="696">
        <f>SUMIF('[2]Despesas Diretas'!$B$5:$B$9944,$B41,'[2]Despesas Diretas'!$H$5:$H$9944)</f>
        <v>7324.5899999999992</v>
      </c>
      <c r="H41" s="696">
        <f>SUMIF('[3]Despesas Diretas'!$B$5:$B$9999,$B41,'[3]Despesas Diretas'!$H$5:$H$9999)</f>
        <v>1002.5</v>
      </c>
      <c r="I41" s="696">
        <f>SUMIF([4]Comprometimento!$B$6:$B$147,$B41,[4]Comprometimento!$E$6:$E$147)</f>
        <v>0</v>
      </c>
      <c r="J41" s="696">
        <f>SUMIF([4]Estoque!$B$6:$B$880,$B41,[4]Estoque!$H$6:$H$880)</f>
        <v>3927.3000000000006</v>
      </c>
      <c r="K41" s="697">
        <f t="shared" si="6"/>
        <v>4399.7899999999991</v>
      </c>
      <c r="L41" s="698">
        <f t="shared" si="4"/>
        <v>0</v>
      </c>
      <c r="M41" s="699">
        <f t="shared" si="7"/>
        <v>4399.7899999999991</v>
      </c>
      <c r="N41" s="698">
        <v>0</v>
      </c>
      <c r="O41" s="699">
        <v>3074.6599999999994</v>
      </c>
      <c r="P41" s="699">
        <f t="shared" si="8"/>
        <v>1325.1299999999997</v>
      </c>
      <c r="Q41" s="698">
        <f t="shared" si="1"/>
        <v>1</v>
      </c>
      <c r="R41" s="700">
        <f t="shared" si="2"/>
        <v>2221.7666220792003</v>
      </c>
    </row>
    <row r="42" spans="1:18" s="130" customFormat="1" ht="21.95" customHeight="1" x14ac:dyDescent="0.2">
      <c r="A42" s="393" t="s">
        <v>86</v>
      </c>
      <c r="B42" s="967" t="s">
        <v>598</v>
      </c>
      <c r="C42" s="967" t="s">
        <v>117</v>
      </c>
      <c r="D42" s="366">
        <f>VLOOKUP($B42,'Análise Física Detalhada'!$E$13:$V$380,18,0)</f>
        <v>0</v>
      </c>
      <c r="E42" s="367">
        <f>VLOOKUP($B42,'Análise Física Detalhada'!$E$13:$P$380,12,0)</f>
        <v>0</v>
      </c>
      <c r="F42" s="368">
        <f t="shared" si="5"/>
        <v>0</v>
      </c>
      <c r="G42" s="696">
        <f>SUMIF('[2]Despesas Diretas'!$B$5:$B$9944,$B42,'[2]Despesas Diretas'!$H$5:$H$9944)</f>
        <v>0</v>
      </c>
      <c r="H42" s="696">
        <f>SUMIF('[3]Despesas Diretas'!$B$5:$B$9999,$B42,'[3]Despesas Diretas'!$H$5:$H$9999)</f>
        <v>0</v>
      </c>
      <c r="I42" s="696">
        <f>SUMIF([4]Comprometimento!$B$6:$B$147,$B42,[4]Comprometimento!$E$6:$E$147)</f>
        <v>0</v>
      </c>
      <c r="J42" s="696">
        <f>SUMIF([4]Estoque!$B$6:$B$880,$B42,[4]Estoque!$H$6:$H$880)</f>
        <v>0</v>
      </c>
      <c r="K42" s="697">
        <f t="shared" si="6"/>
        <v>0</v>
      </c>
      <c r="L42" s="698">
        <f t="shared" si="4"/>
        <v>0</v>
      </c>
      <c r="M42" s="699">
        <f t="shared" si="7"/>
        <v>0</v>
      </c>
      <c r="N42" s="698">
        <v>0</v>
      </c>
      <c r="O42" s="699">
        <v>0</v>
      </c>
      <c r="P42" s="699">
        <f t="shared" si="8"/>
        <v>0</v>
      </c>
      <c r="Q42" s="698">
        <f t="shared" si="1"/>
        <v>0</v>
      </c>
      <c r="R42" s="700">
        <f t="shared" si="2"/>
        <v>0</v>
      </c>
    </row>
    <row r="43" spans="1:18" s="130" customFormat="1" ht="21.95" customHeight="1" x14ac:dyDescent="0.2">
      <c r="A43" s="393" t="s">
        <v>86</v>
      </c>
      <c r="B43" s="959" t="s">
        <v>600</v>
      </c>
      <c r="C43" s="959" t="s">
        <v>430</v>
      </c>
      <c r="D43" s="366">
        <f>VLOOKUP($B43,'Análise Física Detalhada'!$E$13:$V$380,18,0)</f>
        <v>800</v>
      </c>
      <c r="E43" s="367">
        <f>VLOOKUP($B43,'Análise Física Detalhada'!$E$13:$P$380,12,0)</f>
        <v>1</v>
      </c>
      <c r="F43" s="368">
        <f t="shared" si="5"/>
        <v>800</v>
      </c>
      <c r="G43" s="696">
        <f>SUMIF('[2]Despesas Diretas'!$B$5:$B$9944,$B43,'[2]Despesas Diretas'!$H$5:$H$9944)</f>
        <v>210</v>
      </c>
      <c r="H43" s="696">
        <f>SUMIF('[3]Despesas Diretas'!$B$5:$B$9999,$B43,'[3]Despesas Diretas'!$H$5:$H$9999)</f>
        <v>0</v>
      </c>
      <c r="I43" s="696">
        <f>SUMIF([4]Comprometimento!$B$6:$B$147,$B43,[4]Comprometimento!$E$6:$E$147)</f>
        <v>0</v>
      </c>
      <c r="J43" s="696">
        <f>SUMIF([4]Estoque!$B$6:$B$880,$B43,[4]Estoque!$H$6:$H$880)</f>
        <v>0</v>
      </c>
      <c r="K43" s="697">
        <f t="shared" si="6"/>
        <v>210</v>
      </c>
      <c r="L43" s="698">
        <f t="shared" si="4"/>
        <v>0.26250000000000001</v>
      </c>
      <c r="M43" s="699">
        <f t="shared" si="7"/>
        <v>-590</v>
      </c>
      <c r="N43" s="698">
        <v>0</v>
      </c>
      <c r="O43" s="699">
        <v>-800</v>
      </c>
      <c r="P43" s="699">
        <f t="shared" si="8"/>
        <v>210</v>
      </c>
      <c r="Q43" s="698">
        <f t="shared" si="1"/>
        <v>0.26250000000000001</v>
      </c>
      <c r="R43" s="700">
        <f t="shared" si="2"/>
        <v>210</v>
      </c>
    </row>
    <row r="44" spans="1:18" s="130" customFormat="1" ht="21.95" customHeight="1" x14ac:dyDescent="0.2">
      <c r="A44" s="393" t="s">
        <v>86</v>
      </c>
      <c r="B44" s="959" t="s">
        <v>601</v>
      </c>
      <c r="C44" s="959" t="s">
        <v>449</v>
      </c>
      <c r="D44" s="366">
        <f>VLOOKUP($B44,'Análise Física Detalhada'!$E$13:$V$380,18,0)</f>
        <v>3039.1</v>
      </c>
      <c r="E44" s="367">
        <f>VLOOKUP($B44,'Análise Física Detalhada'!$E$13:$P$380,12,0)</f>
        <v>1</v>
      </c>
      <c r="F44" s="368">
        <f t="shared" si="5"/>
        <v>3039.1</v>
      </c>
      <c r="G44" s="696">
        <f>SUMIF('[2]Despesas Diretas'!$B$5:$B$9944,$B44,'[2]Despesas Diretas'!$H$5:$H$9944)</f>
        <v>0</v>
      </c>
      <c r="H44" s="696">
        <f>SUMIF('[3]Despesas Diretas'!$B$5:$B$9999,$B44,'[3]Despesas Diretas'!$H$5:$H$9999)</f>
        <v>0</v>
      </c>
      <c r="I44" s="696">
        <f>SUMIF([4]Comprometimento!$B$6:$B$147,$B44,[4]Comprometimento!$E$6:$E$147)</f>
        <v>0</v>
      </c>
      <c r="J44" s="696">
        <f>SUMIF([4]Estoque!$B$6:$B$880,$B44,[4]Estoque!$H$6:$H$880)</f>
        <v>0</v>
      </c>
      <c r="K44" s="697">
        <f t="shared" si="6"/>
        <v>0</v>
      </c>
      <c r="L44" s="698">
        <f t="shared" si="4"/>
        <v>0</v>
      </c>
      <c r="M44" s="699">
        <f t="shared" si="7"/>
        <v>-3039.1</v>
      </c>
      <c r="N44" s="698">
        <v>0</v>
      </c>
      <c r="O44" s="699">
        <v>-3039.1</v>
      </c>
      <c r="P44" s="699">
        <f t="shared" si="8"/>
        <v>0</v>
      </c>
      <c r="Q44" s="698">
        <f t="shared" si="1"/>
        <v>0</v>
      </c>
      <c r="R44" s="700">
        <f t="shared" si="2"/>
        <v>0</v>
      </c>
    </row>
    <row r="45" spans="1:18" s="155" customFormat="1" ht="21.95" customHeight="1" x14ac:dyDescent="0.2">
      <c r="A45" s="393" t="s">
        <v>86</v>
      </c>
      <c r="B45" s="959" t="s">
        <v>602</v>
      </c>
      <c r="C45" s="959" t="s">
        <v>2040</v>
      </c>
      <c r="D45" s="366">
        <f>VLOOKUP($B45,'Análise Física Detalhada'!$E$13:$V$380,18,0)</f>
        <v>4513.49</v>
      </c>
      <c r="E45" s="367">
        <f>VLOOKUP($B45,'Análise Física Detalhada'!$E$13:$P$380,12,0)</f>
        <v>1</v>
      </c>
      <c r="F45" s="368">
        <f t="shared" si="5"/>
        <v>4513.49</v>
      </c>
      <c r="G45" s="696">
        <f>SUMIF('[2]Despesas Diretas'!$B$5:$B$9944,$B45,'[2]Despesas Diretas'!$H$5:$H$9944)</f>
        <v>3800.87</v>
      </c>
      <c r="H45" s="696">
        <f>SUMIF('[3]Despesas Diretas'!$B$5:$B$9999,$B45,'[3]Despesas Diretas'!$H$5:$H$9999)</f>
        <v>190.59</v>
      </c>
      <c r="I45" s="696">
        <f>SUMIF([4]Comprometimento!$B$6:$B$147,$B45,[4]Comprometimento!$E$6:$E$147)</f>
        <v>0</v>
      </c>
      <c r="J45" s="696">
        <f>SUMIF([4]Estoque!$B$6:$B$880,$B45,[4]Estoque!$H$6:$H$880)</f>
        <v>0</v>
      </c>
      <c r="K45" s="697">
        <f t="shared" si="6"/>
        <v>3991.46</v>
      </c>
      <c r="L45" s="698">
        <f t="shared" si="4"/>
        <v>0.88434005614280753</v>
      </c>
      <c r="M45" s="699">
        <f t="shared" si="7"/>
        <v>-522.02999999999975</v>
      </c>
      <c r="N45" s="698">
        <v>0.36493046400900414</v>
      </c>
      <c r="O45" s="699">
        <v>-2866.38</v>
      </c>
      <c r="P45" s="699">
        <f t="shared" si="8"/>
        <v>2344.3500000000004</v>
      </c>
      <c r="Q45" s="698">
        <f t="shared" si="1"/>
        <v>0.88434005614280753</v>
      </c>
      <c r="R45" s="700">
        <f t="shared" si="2"/>
        <v>3991.46</v>
      </c>
    </row>
    <row r="46" spans="1:18" s="177" customFormat="1" ht="21.95" customHeight="1" x14ac:dyDescent="0.2">
      <c r="A46" s="393" t="s">
        <v>86</v>
      </c>
      <c r="B46" s="959" t="s">
        <v>603</v>
      </c>
      <c r="C46" s="959" t="s">
        <v>451</v>
      </c>
      <c r="D46" s="366">
        <f>VLOOKUP($B46,'Análise Física Detalhada'!$E$13:$V$380,18,0)</f>
        <v>2777.66</v>
      </c>
      <c r="E46" s="367">
        <f>VLOOKUP($B46,'Análise Física Detalhada'!$E$13:$P$380,12,0)</f>
        <v>1</v>
      </c>
      <c r="F46" s="368">
        <f t="shared" si="5"/>
        <v>2777.66</v>
      </c>
      <c r="G46" s="696">
        <f>SUMIF('[2]Despesas Diretas'!$B$5:$B$9944,$B46,'[2]Despesas Diretas'!$H$5:$H$9944)</f>
        <v>9305.4699999999993</v>
      </c>
      <c r="H46" s="696">
        <f>SUMIF('[3]Despesas Diretas'!$B$5:$B$9999,$B46,'[3]Despesas Diretas'!$H$5:$H$9999)</f>
        <v>666.03</v>
      </c>
      <c r="I46" s="696">
        <f>SUMIF([4]Comprometimento!$B$6:$B$147,$B46,[4]Comprometimento!$E$6:$E$147)</f>
        <v>0</v>
      </c>
      <c r="J46" s="696">
        <f>SUMIF([4]Estoque!$B$6:$B$880,$B46,[4]Estoque!$H$6:$H$880)</f>
        <v>187.12</v>
      </c>
      <c r="K46" s="697">
        <f t="shared" si="6"/>
        <v>9784.3799999999992</v>
      </c>
      <c r="L46" s="698">
        <f t="shared" si="4"/>
        <v>3.5225261551089764</v>
      </c>
      <c r="M46" s="699">
        <f t="shared" si="7"/>
        <v>7006.7199999999993</v>
      </c>
      <c r="N46" s="698">
        <v>0.64057876053944685</v>
      </c>
      <c r="O46" s="699">
        <v>-998.34999999999991</v>
      </c>
      <c r="P46" s="699">
        <f t="shared" si="8"/>
        <v>8005.07</v>
      </c>
      <c r="Q46" s="698">
        <f t="shared" si="1"/>
        <v>3.5225261551089764</v>
      </c>
      <c r="R46" s="700">
        <f t="shared" si="2"/>
        <v>9784.3799999999992</v>
      </c>
    </row>
    <row r="47" spans="1:18" s="130" customFormat="1" ht="21.95" customHeight="1" x14ac:dyDescent="0.2">
      <c r="A47" s="393" t="s">
        <v>91</v>
      </c>
      <c r="B47" s="161" t="s">
        <v>91</v>
      </c>
      <c r="C47" s="161" t="s">
        <v>604</v>
      </c>
      <c r="D47" s="163">
        <f>VLOOKUP($B47,'Análise Física Detalhada'!$E$13:$V$380,18,0)</f>
        <v>39800</v>
      </c>
      <c r="E47" s="530">
        <f>F47/D47</f>
        <v>1</v>
      </c>
      <c r="F47" s="1001">
        <f>SUM(F48:F49)</f>
        <v>39800</v>
      </c>
      <c r="G47" s="1000">
        <f>SUM(G48:G49)</f>
        <v>27237.09</v>
      </c>
      <c r="H47" s="1000">
        <f t="shared" ref="H47:K47" si="11">SUM(H48:H49)</f>
        <v>26.29</v>
      </c>
      <c r="I47" s="1000">
        <f t="shared" si="11"/>
        <v>0</v>
      </c>
      <c r="J47" s="1000">
        <f t="shared" si="11"/>
        <v>0</v>
      </c>
      <c r="K47" s="1000">
        <f t="shared" si="11"/>
        <v>27263.38</v>
      </c>
      <c r="L47" s="537">
        <f>IF($F47=0,0,$K47/$F47)</f>
        <v>0.68500954773869349</v>
      </c>
      <c r="M47" s="163">
        <f>IF($L47=0,0,$K47-$F47)</f>
        <v>-12536.619999999999</v>
      </c>
      <c r="N47" s="537">
        <v>0.64572864321608037</v>
      </c>
      <c r="O47" s="163">
        <v>-14100</v>
      </c>
      <c r="P47" s="163">
        <f>$M47-$O47</f>
        <v>1563.380000000001</v>
      </c>
      <c r="Q47" s="537">
        <f t="shared" si="1"/>
        <v>0.68500954773869349</v>
      </c>
      <c r="R47" s="163">
        <f t="shared" si="2"/>
        <v>27263.38</v>
      </c>
    </row>
    <row r="48" spans="1:18" s="130" customFormat="1" ht="21.95" customHeight="1" x14ac:dyDescent="0.2">
      <c r="A48" s="393" t="s">
        <v>91</v>
      </c>
      <c r="B48" s="959" t="s">
        <v>92</v>
      </c>
      <c r="C48" s="959" t="s">
        <v>2041</v>
      </c>
      <c r="D48" s="366">
        <f>VLOOKUP($B48,'Análise Física Detalhada'!$E$13:$V$380,18,0)</f>
        <v>24000</v>
      </c>
      <c r="E48" s="367">
        <f>VLOOKUP($B48,'Análise Física Detalhada'!$E$13:$P$380,12,0)</f>
        <v>1</v>
      </c>
      <c r="F48" s="368">
        <f t="shared" si="5"/>
        <v>24000</v>
      </c>
      <c r="G48" s="696">
        <f>SUMIF('[2]Despesas Diretas'!$B$5:$B$9944,$B48,'[2]Despesas Diretas'!$H$5:$H$9944)</f>
        <v>27237.09</v>
      </c>
      <c r="H48" s="696">
        <f>SUMIF('[3]Despesas Diretas'!$B$5:$B$9999,$B48,'[3]Despesas Diretas'!$H$5:$H$9999)</f>
        <v>26.29</v>
      </c>
      <c r="I48" s="696">
        <f>SUMIF([4]Comprometimento!$B$6:$B$147,$B48,[4]Comprometimento!$E$6:$E$147)</f>
        <v>0</v>
      </c>
      <c r="J48" s="696">
        <f>SUMIF([4]Estoque!$B$6:$B$880,$B48,[4]Estoque!$H$6:$H$880)</f>
        <v>0</v>
      </c>
      <c r="K48" s="697">
        <f t="shared" si="6"/>
        <v>27263.38</v>
      </c>
      <c r="L48" s="698">
        <f t="shared" si="4"/>
        <v>1.1359741666666667</v>
      </c>
      <c r="M48" s="699">
        <f t="shared" si="7"/>
        <v>3263.380000000001</v>
      </c>
      <c r="N48" s="698">
        <v>1.0708333333333333</v>
      </c>
      <c r="O48" s="699">
        <v>1700</v>
      </c>
      <c r="P48" s="699">
        <f t="shared" si="8"/>
        <v>1563.380000000001</v>
      </c>
      <c r="Q48" s="698">
        <f t="shared" si="1"/>
        <v>1.1359741666666667</v>
      </c>
      <c r="R48" s="700">
        <f t="shared" si="2"/>
        <v>27263.38</v>
      </c>
    </row>
    <row r="49" spans="1:18" s="130" customFormat="1" ht="21.95" customHeight="1" x14ac:dyDescent="0.2">
      <c r="A49" s="393" t="s">
        <v>91</v>
      </c>
      <c r="B49" s="959" t="s">
        <v>93</v>
      </c>
      <c r="C49" s="959" t="s">
        <v>1601</v>
      </c>
      <c r="D49" s="366">
        <f>VLOOKUP($B49,'Análise Física Detalhada'!$E$13:$V$380,18,0)</f>
        <v>15800</v>
      </c>
      <c r="E49" s="367">
        <f>VLOOKUP($B49,'Análise Física Detalhada'!$E$13:$P$380,12,0)</f>
        <v>1</v>
      </c>
      <c r="F49" s="368">
        <f t="shared" si="5"/>
        <v>15800</v>
      </c>
      <c r="G49" s="696">
        <f>SUMIF('[2]Despesas Diretas'!$B$5:$B$9944,$B49,'[2]Despesas Diretas'!$H$5:$H$9944)</f>
        <v>0</v>
      </c>
      <c r="H49" s="696">
        <f>SUMIF('[3]Despesas Diretas'!$B$5:$B$9999,$B49,'[3]Despesas Diretas'!$H$5:$H$9999)</f>
        <v>0</v>
      </c>
      <c r="I49" s="696">
        <f>SUMIF([4]Comprometimento!$B$6:$B$147,$B49,[4]Comprometimento!$E$6:$E$147)</f>
        <v>0</v>
      </c>
      <c r="J49" s="696">
        <f>SUMIF([4]Estoque!$B$6:$B$880,$B49,[4]Estoque!$H$6:$H$880)</f>
        <v>0</v>
      </c>
      <c r="K49" s="697">
        <f t="shared" si="6"/>
        <v>0</v>
      </c>
      <c r="L49" s="698">
        <f t="shared" si="4"/>
        <v>0</v>
      </c>
      <c r="M49" s="699">
        <f t="shared" si="7"/>
        <v>-15800</v>
      </c>
      <c r="N49" s="698">
        <v>0</v>
      </c>
      <c r="O49" s="699">
        <v>-15800</v>
      </c>
      <c r="P49" s="699">
        <f t="shared" si="8"/>
        <v>0</v>
      </c>
      <c r="Q49" s="698">
        <f t="shared" si="1"/>
        <v>0</v>
      </c>
      <c r="R49" s="700">
        <f t="shared" si="2"/>
        <v>0</v>
      </c>
    </row>
    <row r="50" spans="1:18" s="130" customFormat="1" ht="21.95" customHeight="1" x14ac:dyDescent="0.2">
      <c r="A50" s="393" t="s">
        <v>95</v>
      </c>
      <c r="B50" s="161" t="s">
        <v>95</v>
      </c>
      <c r="C50" s="161" t="s">
        <v>605</v>
      </c>
      <c r="D50" s="163">
        <f>VLOOKUP($B50,'Análise Física Detalhada'!$E$13:$V$380,18,0)</f>
        <v>580536.68538212858</v>
      </c>
      <c r="E50" s="530">
        <f>F50/D50</f>
        <v>0.53967913597323025</v>
      </c>
      <c r="F50" s="1001">
        <f>SUM(F51:F73)</f>
        <v>313303.53676779015</v>
      </c>
      <c r="G50" s="1000">
        <f>SUM(G51:G73)</f>
        <v>221018.28999999998</v>
      </c>
      <c r="H50" s="1000">
        <f t="shared" ref="H50:K50" si="12">SUM(H51:H73)</f>
        <v>11995.730000000001</v>
      </c>
      <c r="I50" s="1000">
        <f t="shared" si="12"/>
        <v>90838.307036726692</v>
      </c>
      <c r="J50" s="1000">
        <f t="shared" si="12"/>
        <v>35001.549999999996</v>
      </c>
      <c r="K50" s="1000">
        <f t="shared" si="12"/>
        <v>288850.77703672671</v>
      </c>
      <c r="L50" s="537">
        <f>IF($F50=0,0,$K50/$F50)</f>
        <v>0.92195185543281311</v>
      </c>
      <c r="M50" s="163">
        <f>IF($L50=0,0,$K50-$F50)</f>
        <v>-24452.759731063445</v>
      </c>
      <c r="N50" s="537">
        <v>1.1974911622693707</v>
      </c>
      <c r="O50" s="163">
        <v>19507.800295534544</v>
      </c>
      <c r="P50" s="163">
        <f>$M50-$O50</f>
        <v>-43960.560026597988</v>
      </c>
      <c r="Q50" s="537">
        <f t="shared" si="1"/>
        <v>0.93991545010423994</v>
      </c>
      <c r="R50" s="163">
        <f t="shared" si="2"/>
        <v>545655.39994296688</v>
      </c>
    </row>
    <row r="51" spans="1:18" s="130" customFormat="1" ht="21.95" customHeight="1" x14ac:dyDescent="0.2">
      <c r="A51" s="393" t="s">
        <v>95</v>
      </c>
      <c r="B51" s="967" t="s">
        <v>96</v>
      </c>
      <c r="C51" s="967" t="s">
        <v>606</v>
      </c>
      <c r="D51" s="366">
        <f>VLOOKUP($B51,'Análise Física Detalhada'!$E$13:$V$380,18,0)</f>
        <v>0</v>
      </c>
      <c r="E51" s="367">
        <f>VLOOKUP($B51,'Análise Física Detalhada'!$E$13:$P$380,12,0)</f>
        <v>0</v>
      </c>
      <c r="F51" s="368">
        <f t="shared" si="5"/>
        <v>0</v>
      </c>
      <c r="G51" s="696">
        <f>SUMIF('[2]Despesas Diretas'!$B$5:$B$9944,$B51,'[2]Despesas Diretas'!$H$5:$H$9944)</f>
        <v>0</v>
      </c>
      <c r="H51" s="696">
        <f>SUMIF('[3]Despesas Diretas'!$B$5:$B$9999,$B51,'[3]Despesas Diretas'!$H$5:$H$9999)</f>
        <v>0</v>
      </c>
      <c r="I51" s="696">
        <f>SUMIF([4]Comprometimento!$B$6:$B$147,$B51,[4]Comprometimento!$E$6:$E$147)</f>
        <v>0</v>
      </c>
      <c r="J51" s="696">
        <f>SUMIF([4]Estoque!$B$6:$B$880,$B51,[4]Estoque!$H$6:$H$880)</f>
        <v>0</v>
      </c>
      <c r="K51" s="697">
        <f t="shared" si="6"/>
        <v>0</v>
      </c>
      <c r="L51" s="698">
        <f t="shared" si="4"/>
        <v>0</v>
      </c>
      <c r="M51" s="699">
        <f t="shared" si="7"/>
        <v>0</v>
      </c>
      <c r="N51" s="698">
        <v>0</v>
      </c>
      <c r="O51" s="699">
        <v>0</v>
      </c>
      <c r="P51" s="699">
        <f t="shared" si="8"/>
        <v>0</v>
      </c>
      <c r="Q51" s="698">
        <f t="shared" si="1"/>
        <v>0</v>
      </c>
      <c r="R51" s="700">
        <f t="shared" si="2"/>
        <v>0</v>
      </c>
    </row>
    <row r="52" spans="1:18" s="177" customFormat="1" ht="21.95" customHeight="1" x14ac:dyDescent="0.2">
      <c r="A52" s="393" t="s">
        <v>95</v>
      </c>
      <c r="B52" s="959" t="s">
        <v>97</v>
      </c>
      <c r="C52" s="959" t="s">
        <v>2208</v>
      </c>
      <c r="D52" s="366">
        <f>VLOOKUP($B52,'Análise Física Detalhada'!$E$13:$V$380,18,0)</f>
        <v>13266.342686016003</v>
      </c>
      <c r="E52" s="367">
        <f>VLOOKUP($B52,'Análise Física Detalhada'!$E$13:$P$380,12,0)</f>
        <v>0</v>
      </c>
      <c r="F52" s="368">
        <f t="shared" si="5"/>
        <v>0</v>
      </c>
      <c r="G52" s="696">
        <f>SUMIF('[2]Despesas Diretas'!$B$5:$B$9944,$B52,'[2]Despesas Diretas'!$H$5:$H$9944)</f>
        <v>0</v>
      </c>
      <c r="H52" s="696">
        <f>SUMIF('[3]Despesas Diretas'!$B$5:$B$9999,$B52,'[3]Despesas Diretas'!$H$5:$H$9999)</f>
        <v>0</v>
      </c>
      <c r="I52" s="696">
        <f>SUMIF([4]Comprometimento!$B$6:$B$147,$B52,[4]Comprometimento!$E$6:$E$147)</f>
        <v>0</v>
      </c>
      <c r="J52" s="696">
        <f>SUMIF([4]Estoque!$B$6:$B$880,$B52,[4]Estoque!$H$6:$H$880)</f>
        <v>0</v>
      </c>
      <c r="K52" s="697">
        <f t="shared" si="6"/>
        <v>0</v>
      </c>
      <c r="L52" s="698">
        <f t="shared" si="4"/>
        <v>0</v>
      </c>
      <c r="M52" s="699">
        <f t="shared" si="7"/>
        <v>0</v>
      </c>
      <c r="N52" s="698">
        <v>0</v>
      </c>
      <c r="O52" s="699">
        <v>408.62</v>
      </c>
      <c r="P52" s="699">
        <f t="shared" si="8"/>
        <v>-408.62</v>
      </c>
      <c r="Q52" s="698">
        <f t="shared" si="1"/>
        <v>1</v>
      </c>
      <c r="R52" s="700">
        <f t="shared" si="2"/>
        <v>13266.342686016003</v>
      </c>
    </row>
    <row r="53" spans="1:18" s="130" customFormat="1" ht="21.95" customHeight="1" x14ac:dyDescent="0.2">
      <c r="A53" s="393" t="s">
        <v>95</v>
      </c>
      <c r="B53" s="959" t="s">
        <v>98</v>
      </c>
      <c r="C53" s="959" t="s">
        <v>2209</v>
      </c>
      <c r="D53" s="366">
        <f>VLOOKUP($B53,'Análise Física Detalhada'!$E$13:$V$380,18,0)</f>
        <v>2057.9955398640004</v>
      </c>
      <c r="E53" s="367">
        <f>VLOOKUP($B53,'Análise Física Detalhada'!$E$13:$P$380,12,0)</f>
        <v>0</v>
      </c>
      <c r="F53" s="368">
        <f t="shared" si="5"/>
        <v>0</v>
      </c>
      <c r="G53" s="696">
        <f>SUMIF('[2]Despesas Diretas'!$B$5:$B$9944,$B53,'[2]Despesas Diretas'!$H$5:$H$9944)</f>
        <v>0</v>
      </c>
      <c r="H53" s="696">
        <f>SUMIF('[3]Despesas Diretas'!$B$5:$B$9999,$B53,'[3]Despesas Diretas'!$H$5:$H$9999)</f>
        <v>0</v>
      </c>
      <c r="I53" s="696">
        <f>SUMIF([4]Comprometimento!$B$6:$B$147,$B53,[4]Comprometimento!$E$6:$E$147)</f>
        <v>0</v>
      </c>
      <c r="J53" s="696">
        <f>SUMIF([4]Estoque!$B$6:$B$880,$B53,[4]Estoque!$H$6:$H$880)</f>
        <v>0</v>
      </c>
      <c r="K53" s="697">
        <f t="shared" si="6"/>
        <v>0</v>
      </c>
      <c r="L53" s="698">
        <f t="shared" si="4"/>
        <v>0</v>
      </c>
      <c r="M53" s="699">
        <f t="shared" si="7"/>
        <v>0</v>
      </c>
      <c r="N53" s="698">
        <v>0</v>
      </c>
      <c r="O53" s="699">
        <v>0</v>
      </c>
      <c r="P53" s="699">
        <f t="shared" si="8"/>
        <v>0</v>
      </c>
      <c r="Q53" s="698">
        <f t="shared" si="1"/>
        <v>1</v>
      </c>
      <c r="R53" s="700">
        <f t="shared" si="2"/>
        <v>2057.9955398640004</v>
      </c>
    </row>
    <row r="54" spans="1:18" s="177" customFormat="1" ht="21.95" customHeight="1" x14ac:dyDescent="0.2">
      <c r="A54" s="393" t="s">
        <v>95</v>
      </c>
      <c r="B54" s="959" t="s">
        <v>99</v>
      </c>
      <c r="C54" s="959" t="s">
        <v>2210</v>
      </c>
      <c r="D54" s="366">
        <f>VLOOKUP($B54,'Análise Física Detalhada'!$E$13:$V$380,18,0)</f>
        <v>2196.2757982356006</v>
      </c>
      <c r="E54" s="367">
        <f>VLOOKUP($B54,'Análise Física Detalhada'!$E$13:$P$380,12,0)</f>
        <v>0</v>
      </c>
      <c r="F54" s="368">
        <f t="shared" si="5"/>
        <v>0</v>
      </c>
      <c r="G54" s="696">
        <f>SUMIF('[2]Despesas Diretas'!$B$5:$B$9944,$B54,'[2]Despesas Diretas'!$H$5:$H$9944)</f>
        <v>0</v>
      </c>
      <c r="H54" s="696">
        <f>SUMIF('[3]Despesas Diretas'!$B$5:$B$9999,$B54,'[3]Despesas Diretas'!$H$5:$H$9999)</f>
        <v>0</v>
      </c>
      <c r="I54" s="696">
        <f>SUMIF([4]Comprometimento!$B$6:$B$147,$B54,[4]Comprometimento!$E$6:$E$147)</f>
        <v>0</v>
      </c>
      <c r="J54" s="696">
        <f>SUMIF([4]Estoque!$B$6:$B$880,$B54,[4]Estoque!$H$6:$H$880)</f>
        <v>0</v>
      </c>
      <c r="K54" s="697">
        <f t="shared" si="6"/>
        <v>0</v>
      </c>
      <c r="L54" s="698">
        <f t="shared" si="4"/>
        <v>0</v>
      </c>
      <c r="M54" s="699">
        <f t="shared" si="7"/>
        <v>0</v>
      </c>
      <c r="N54" s="698">
        <v>0</v>
      </c>
      <c r="O54" s="699">
        <v>0</v>
      </c>
      <c r="P54" s="699">
        <f t="shared" si="8"/>
        <v>0</v>
      </c>
      <c r="Q54" s="698">
        <f t="shared" si="1"/>
        <v>1</v>
      </c>
      <c r="R54" s="700">
        <f t="shared" si="2"/>
        <v>2196.2757982356006</v>
      </c>
    </row>
    <row r="55" spans="1:18" s="130" customFormat="1" ht="21.95" customHeight="1" x14ac:dyDescent="0.2">
      <c r="A55" s="393" t="s">
        <v>95</v>
      </c>
      <c r="B55" s="959" t="s">
        <v>100</v>
      </c>
      <c r="C55" s="959" t="s">
        <v>2211</v>
      </c>
      <c r="D55" s="366">
        <f>VLOOKUP($B55,'Análise Física Detalhada'!$E$13:$V$380,18,0)</f>
        <v>26981.877527845201</v>
      </c>
      <c r="E55" s="367">
        <f>VLOOKUP($B55,'Análise Física Detalhada'!$E$13:$P$380,12,0)</f>
        <v>0</v>
      </c>
      <c r="F55" s="368">
        <f t="shared" si="5"/>
        <v>0</v>
      </c>
      <c r="G55" s="696">
        <f>SUMIF('[2]Despesas Diretas'!$B$5:$B$9944,$B55,'[2]Despesas Diretas'!$H$5:$H$9944)</f>
        <v>0</v>
      </c>
      <c r="H55" s="696">
        <f>SUMIF('[3]Despesas Diretas'!$B$5:$B$9999,$B55,'[3]Despesas Diretas'!$H$5:$H$9999)</f>
        <v>0</v>
      </c>
      <c r="I55" s="696">
        <f>SUMIF([4]Comprometimento!$B$6:$B$147,$B55,[4]Comprometimento!$E$6:$E$147)</f>
        <v>0</v>
      </c>
      <c r="J55" s="696">
        <f>SUMIF([4]Estoque!$B$6:$B$880,$B55,[4]Estoque!$H$6:$H$880)</f>
        <v>188.26</v>
      </c>
      <c r="K55" s="697">
        <f t="shared" si="6"/>
        <v>-188.26</v>
      </c>
      <c r="L55" s="698">
        <f t="shared" si="4"/>
        <v>0</v>
      </c>
      <c r="M55" s="699">
        <f t="shared" si="7"/>
        <v>-188.26</v>
      </c>
      <c r="N55" s="698">
        <v>0</v>
      </c>
      <c r="O55" s="699">
        <v>-17.080000000000041</v>
      </c>
      <c r="P55" s="699">
        <f t="shared" si="8"/>
        <v>-171.17999999999995</v>
      </c>
      <c r="Q55" s="698">
        <f t="shared" si="1"/>
        <v>1</v>
      </c>
      <c r="R55" s="700">
        <f t="shared" si="2"/>
        <v>26981.877527845201</v>
      </c>
    </row>
    <row r="56" spans="1:18" s="130" customFormat="1" ht="21.95" customHeight="1" x14ac:dyDescent="0.2">
      <c r="A56" s="393" t="s">
        <v>95</v>
      </c>
      <c r="B56" s="959" t="s">
        <v>102</v>
      </c>
      <c r="C56" s="959" t="s">
        <v>2212</v>
      </c>
      <c r="D56" s="366">
        <f>VLOOKUP($B56,'Análise Física Detalhada'!$E$13:$V$380,18,0)</f>
        <v>43496.885240485208</v>
      </c>
      <c r="E56" s="367">
        <f>VLOOKUP($B56,'Análise Física Detalhada'!$E$13:$P$380,12,0)</f>
        <v>0</v>
      </c>
      <c r="F56" s="368">
        <f t="shared" si="5"/>
        <v>0</v>
      </c>
      <c r="G56" s="696">
        <f>SUMIF('[2]Despesas Diretas'!$B$5:$B$9944,$B56,'[2]Despesas Diretas'!$H$5:$H$9944)</f>
        <v>19406.57</v>
      </c>
      <c r="H56" s="696">
        <f>SUMIF('[3]Despesas Diretas'!$B$5:$B$9999,$B56,'[3]Despesas Diretas'!$H$5:$H$9999)</f>
        <v>0</v>
      </c>
      <c r="I56" s="696">
        <f>SUMIF([4]Comprometimento!$B$6:$B$147,$B56,[4]Comprometimento!$E$6:$E$147)</f>
        <v>0</v>
      </c>
      <c r="J56" s="696">
        <f>SUMIF([4]Estoque!$B$6:$B$880,$B56,[4]Estoque!$H$6:$H$880)</f>
        <v>19156.23</v>
      </c>
      <c r="K56" s="697">
        <f t="shared" si="6"/>
        <v>250.34000000000015</v>
      </c>
      <c r="L56" s="698">
        <f t="shared" si="4"/>
        <v>0</v>
      </c>
      <c r="M56" s="699">
        <f t="shared" si="7"/>
        <v>250.34000000000015</v>
      </c>
      <c r="N56" s="698">
        <v>0</v>
      </c>
      <c r="O56" s="699">
        <v>0</v>
      </c>
      <c r="P56" s="699">
        <f t="shared" si="8"/>
        <v>250.34000000000015</v>
      </c>
      <c r="Q56" s="698">
        <f t="shared" si="1"/>
        <v>1</v>
      </c>
      <c r="R56" s="700">
        <f t="shared" si="2"/>
        <v>43496.885240485208</v>
      </c>
    </row>
    <row r="57" spans="1:18" s="155" customFormat="1" ht="21.95" customHeight="1" x14ac:dyDescent="0.2">
      <c r="A57" s="393" t="s">
        <v>95</v>
      </c>
      <c r="B57" s="959" t="s">
        <v>607</v>
      </c>
      <c r="C57" s="959" t="s">
        <v>2213</v>
      </c>
      <c r="D57" s="366">
        <f>VLOOKUP($B57,'Análise Física Detalhada'!$E$13:$V$380,18,0)</f>
        <v>27053.008966846803</v>
      </c>
      <c r="E57" s="367">
        <f>VLOOKUP($B57,'Análise Física Detalhada'!$E$13:$P$380,12,0)</f>
        <v>0</v>
      </c>
      <c r="F57" s="368">
        <f t="shared" si="5"/>
        <v>0</v>
      </c>
      <c r="G57" s="696">
        <f>SUMIF('[2]Despesas Diretas'!$B$5:$B$9944,$B57,'[2]Despesas Diretas'!$H$5:$H$9944)</f>
        <v>0</v>
      </c>
      <c r="H57" s="696">
        <f>SUMIF('[3]Despesas Diretas'!$B$5:$B$9999,$B57,'[3]Despesas Diretas'!$H$5:$H$9999)</f>
        <v>0</v>
      </c>
      <c r="I57" s="696">
        <f>SUMIF([4]Comprometimento!$B$6:$B$147,$B57,[4]Comprometimento!$E$6:$E$147)</f>
        <v>0</v>
      </c>
      <c r="J57" s="696">
        <f>SUMIF([4]Estoque!$B$6:$B$880,$B57,[4]Estoque!$H$6:$H$880)</f>
        <v>0</v>
      </c>
      <c r="K57" s="697">
        <f t="shared" si="6"/>
        <v>0</v>
      </c>
      <c r="L57" s="698">
        <f t="shared" si="4"/>
        <v>0</v>
      </c>
      <c r="M57" s="699">
        <f t="shared" si="7"/>
        <v>0</v>
      </c>
      <c r="N57" s="698">
        <v>0</v>
      </c>
      <c r="O57" s="699">
        <v>-265</v>
      </c>
      <c r="P57" s="699">
        <f t="shared" si="8"/>
        <v>265</v>
      </c>
      <c r="Q57" s="698">
        <f t="shared" si="1"/>
        <v>1</v>
      </c>
      <c r="R57" s="700">
        <f t="shared" si="2"/>
        <v>27053.008966846803</v>
      </c>
    </row>
    <row r="58" spans="1:18" s="130" customFormat="1" ht="21.95" customHeight="1" x14ac:dyDescent="0.2">
      <c r="A58" s="393" t="s">
        <v>95</v>
      </c>
      <c r="B58" s="959" t="s">
        <v>2214</v>
      </c>
      <c r="C58" s="959" t="s">
        <v>2215</v>
      </c>
      <c r="D58" s="366">
        <f>VLOOKUP($B58,'Análise Física Detalhada'!$E$13:$V$380,18,0)</f>
        <v>1107.5387338296002</v>
      </c>
      <c r="E58" s="367">
        <f>VLOOKUP($B58,'Análise Física Detalhada'!$E$13:$P$380,12,0)</f>
        <v>0</v>
      </c>
      <c r="F58" s="368">
        <f t="shared" si="5"/>
        <v>0</v>
      </c>
      <c r="G58" s="696">
        <f>SUMIF('[2]Despesas Diretas'!$B$5:$B$9944,$B58,'[2]Despesas Diretas'!$H$5:$H$9944)</f>
        <v>0</v>
      </c>
      <c r="H58" s="696">
        <f>SUMIF('[3]Despesas Diretas'!$B$5:$B$9999,$B58,'[3]Despesas Diretas'!$H$5:$H$9999)</f>
        <v>0</v>
      </c>
      <c r="I58" s="696">
        <f>SUMIF([4]Comprometimento!$B$6:$B$147,$B58,[4]Comprometimento!$E$6:$E$147)</f>
        <v>0</v>
      </c>
      <c r="J58" s="696">
        <f>SUMIF([4]Estoque!$B$6:$B$880,$B58,[4]Estoque!$H$6:$H$880)</f>
        <v>0</v>
      </c>
      <c r="K58" s="697">
        <f t="shared" si="6"/>
        <v>0</v>
      </c>
      <c r="L58" s="698">
        <f t="shared" si="4"/>
        <v>0</v>
      </c>
      <c r="M58" s="699">
        <f t="shared" si="7"/>
        <v>0</v>
      </c>
      <c r="N58" s="698">
        <v>0</v>
      </c>
      <c r="O58" s="699">
        <v>0</v>
      </c>
      <c r="P58" s="699">
        <f t="shared" si="8"/>
        <v>0</v>
      </c>
      <c r="Q58" s="698">
        <f t="shared" si="1"/>
        <v>1</v>
      </c>
      <c r="R58" s="700">
        <f t="shared" si="2"/>
        <v>1107.5387338296002</v>
      </c>
    </row>
    <row r="59" spans="1:18" s="130" customFormat="1" ht="21.95" customHeight="1" x14ac:dyDescent="0.2">
      <c r="A59" s="393" t="s">
        <v>95</v>
      </c>
      <c r="B59" s="959" t="s">
        <v>2216</v>
      </c>
      <c r="C59" s="959" t="s">
        <v>2217</v>
      </c>
      <c r="D59" s="366">
        <f>VLOOKUP($B59,'Análise Física Detalhada'!$E$13:$V$380,18,0)</f>
        <v>8702.404662297602</v>
      </c>
      <c r="E59" s="367">
        <f>VLOOKUP($B59,'Análise Física Detalhada'!$E$13:$P$380,12,0)</f>
        <v>0</v>
      </c>
      <c r="F59" s="368">
        <f t="shared" si="5"/>
        <v>0</v>
      </c>
      <c r="G59" s="696">
        <f>SUMIF('[2]Despesas Diretas'!$B$5:$B$9944,$B59,'[2]Despesas Diretas'!$H$5:$H$9944)</f>
        <v>0</v>
      </c>
      <c r="H59" s="696">
        <f>SUMIF('[3]Despesas Diretas'!$B$5:$B$9999,$B59,'[3]Despesas Diretas'!$H$5:$H$9999)</f>
        <v>0</v>
      </c>
      <c r="I59" s="696">
        <f>SUMIF([4]Comprometimento!$B$6:$B$147,$B59,[4]Comprometimento!$E$6:$E$147)</f>
        <v>0</v>
      </c>
      <c r="J59" s="696">
        <f>SUMIF([4]Estoque!$B$6:$B$880,$B59,[4]Estoque!$H$6:$H$880)</f>
        <v>0</v>
      </c>
      <c r="K59" s="697">
        <f t="shared" si="6"/>
        <v>0</v>
      </c>
      <c r="L59" s="698">
        <f t="shared" si="4"/>
        <v>0</v>
      </c>
      <c r="M59" s="699">
        <f t="shared" si="7"/>
        <v>0</v>
      </c>
      <c r="N59" s="698">
        <v>0</v>
      </c>
      <c r="O59" s="699">
        <v>2121.94</v>
      </c>
      <c r="P59" s="699">
        <f t="shared" si="8"/>
        <v>-2121.94</v>
      </c>
      <c r="Q59" s="698">
        <f t="shared" si="1"/>
        <v>1</v>
      </c>
      <c r="R59" s="700">
        <f t="shared" si="2"/>
        <v>8702.404662297602</v>
      </c>
    </row>
    <row r="60" spans="1:18" s="155" customFormat="1" ht="21.95" customHeight="1" x14ac:dyDescent="0.2">
      <c r="A60" s="393" t="s">
        <v>95</v>
      </c>
      <c r="B60" s="967" t="s">
        <v>103</v>
      </c>
      <c r="C60" s="967" t="s">
        <v>773</v>
      </c>
      <c r="D60" s="366">
        <f>VLOOKUP($B60,'Análise Física Detalhada'!$E$13:$V$380,18,0)</f>
        <v>0</v>
      </c>
      <c r="E60" s="367">
        <f>VLOOKUP($B60,'Análise Física Detalhada'!$E$13:$P$380,12,0)</f>
        <v>0</v>
      </c>
      <c r="F60" s="368">
        <f t="shared" si="5"/>
        <v>0</v>
      </c>
      <c r="G60" s="696">
        <f>SUMIF('[2]Despesas Diretas'!$B$5:$B$9944,$B60,'[2]Despesas Diretas'!$H$5:$H$9944)</f>
        <v>0</v>
      </c>
      <c r="H60" s="696">
        <f>SUMIF('[3]Despesas Diretas'!$B$5:$B$9999,$B60,'[3]Despesas Diretas'!$H$5:$H$9999)</f>
        <v>0</v>
      </c>
      <c r="I60" s="696">
        <f>SUMIF([4]Comprometimento!$B$6:$B$147,$B60,[4]Comprometimento!$E$6:$E$147)</f>
        <v>0</v>
      </c>
      <c r="J60" s="696">
        <f>SUMIF([4]Estoque!$B$6:$B$880,$B60,[4]Estoque!$H$6:$H$880)</f>
        <v>0</v>
      </c>
      <c r="K60" s="697">
        <f t="shared" si="6"/>
        <v>0</v>
      </c>
      <c r="L60" s="698">
        <f t="shared" si="4"/>
        <v>0</v>
      </c>
      <c r="M60" s="699">
        <f t="shared" si="7"/>
        <v>0</v>
      </c>
      <c r="N60" s="698">
        <v>0</v>
      </c>
      <c r="O60" s="699">
        <v>0</v>
      </c>
      <c r="P60" s="699">
        <f t="shared" si="8"/>
        <v>0</v>
      </c>
      <c r="Q60" s="698">
        <f t="shared" si="1"/>
        <v>0</v>
      </c>
      <c r="R60" s="700">
        <f t="shared" si="2"/>
        <v>0</v>
      </c>
    </row>
    <row r="61" spans="1:18" s="130" customFormat="1" ht="21.95" customHeight="1" x14ac:dyDescent="0.2">
      <c r="A61" s="393" t="s">
        <v>95</v>
      </c>
      <c r="B61" s="959" t="s">
        <v>104</v>
      </c>
      <c r="C61" s="959" t="s">
        <v>774</v>
      </c>
      <c r="D61" s="366">
        <f>VLOOKUP($B61,'Análise Física Detalhada'!$E$13:$V$380,18,0)</f>
        <v>43340.415814942433</v>
      </c>
      <c r="E61" s="367">
        <f>VLOOKUP($B61,'Análise Física Detalhada'!$E$13:$P$380,12,0)</f>
        <v>0.78</v>
      </c>
      <c r="F61" s="368">
        <f t="shared" si="5"/>
        <v>33805.5243356551</v>
      </c>
      <c r="G61" s="696">
        <f>SUMIF('[2]Despesas Diretas'!$B$5:$B$9944,$B61,'[2]Despesas Diretas'!$H$5:$H$9944)</f>
        <v>34774.009999999995</v>
      </c>
      <c r="H61" s="696">
        <f>SUMIF('[3]Despesas Diretas'!$B$5:$B$9999,$B61,'[3]Despesas Diretas'!$H$5:$H$9999)</f>
        <v>3588.1</v>
      </c>
      <c r="I61" s="696">
        <f>SUMIF([4]Comprometimento!$B$6:$B$147,$B61,[4]Comprometimento!$E$6:$E$147)</f>
        <v>4951.45</v>
      </c>
      <c r="J61" s="696">
        <f>SUMIF([4]Estoque!$B$6:$B$880,$B61,[4]Estoque!$H$6:$H$880)</f>
        <v>4292.54</v>
      </c>
      <c r="K61" s="697">
        <f t="shared" si="6"/>
        <v>39021.01999999999</v>
      </c>
      <c r="L61" s="698">
        <f t="shared" si="4"/>
        <v>1.1542793897399795</v>
      </c>
      <c r="M61" s="699">
        <f t="shared" si="7"/>
        <v>5215.4956643448895</v>
      </c>
      <c r="N61" s="698">
        <v>2.4201658275769375</v>
      </c>
      <c r="O61" s="699">
        <v>17732.93545872275</v>
      </c>
      <c r="P61" s="699">
        <f t="shared" si="8"/>
        <v>-12517.43979437786</v>
      </c>
      <c r="Q61" s="698">
        <f t="shared" si="1"/>
        <v>1.1373086568685817</v>
      </c>
      <c r="R61" s="700">
        <f t="shared" si="2"/>
        <v>49291.430098618017</v>
      </c>
    </row>
    <row r="62" spans="1:18" s="155" customFormat="1" ht="21.95" customHeight="1" x14ac:dyDescent="0.2">
      <c r="A62" s="393" t="s">
        <v>95</v>
      </c>
      <c r="B62" s="959" t="s">
        <v>608</v>
      </c>
      <c r="C62" s="959" t="s">
        <v>775</v>
      </c>
      <c r="D62" s="366">
        <f>VLOOKUP($B62,'Análise Física Detalhada'!$E$13:$V$380,18,0)</f>
        <v>67684.040072860138</v>
      </c>
      <c r="E62" s="367">
        <f>VLOOKUP($B62,'Análise Física Detalhada'!$E$13:$P$380,12,0)</f>
        <v>0.78</v>
      </c>
      <c r="F62" s="368">
        <f t="shared" si="5"/>
        <v>52793.551256830906</v>
      </c>
      <c r="G62" s="696">
        <f>SUMIF('[2]Despesas Diretas'!$B$5:$B$9944,$B62,'[2]Despesas Diretas'!$H$5:$H$9944)</f>
        <v>51163.99</v>
      </c>
      <c r="H62" s="696">
        <f>SUMIF('[3]Despesas Diretas'!$B$5:$B$9999,$B62,'[3]Despesas Diretas'!$H$5:$H$9999)</f>
        <v>1225.1100000000001</v>
      </c>
      <c r="I62" s="696">
        <f>SUMIF([4]Comprometimento!$B$6:$B$147,$B62,[4]Comprometimento!$E$6:$E$147)</f>
        <v>4951.45</v>
      </c>
      <c r="J62" s="696">
        <f>SUMIF([4]Estoque!$B$6:$B$880,$B62,[4]Estoque!$H$6:$H$880)</f>
        <v>0</v>
      </c>
      <c r="K62" s="697">
        <f t="shared" si="6"/>
        <v>57340.549999999996</v>
      </c>
      <c r="L62" s="698">
        <f t="shared" si="4"/>
        <v>1.0861279196970246</v>
      </c>
      <c r="M62" s="699">
        <f t="shared" si="7"/>
        <v>4546.9987431690897</v>
      </c>
      <c r="N62" s="698">
        <v>1.0606472919239469</v>
      </c>
      <c r="O62" s="699">
        <v>1182.6226389450167</v>
      </c>
      <c r="P62" s="699">
        <f t="shared" si="8"/>
        <v>3364.3761042240731</v>
      </c>
      <c r="Q62" s="698">
        <f t="shared" si="1"/>
        <v>1.0766538485303518</v>
      </c>
      <c r="R62" s="700">
        <f t="shared" si="2"/>
        <v>72872.282228527431</v>
      </c>
    </row>
    <row r="63" spans="1:18" s="177" customFormat="1" ht="21.95" customHeight="1" x14ac:dyDescent="0.2">
      <c r="A63" s="393" t="s">
        <v>95</v>
      </c>
      <c r="B63" s="959" t="s">
        <v>609</v>
      </c>
      <c r="C63" s="959" t="s">
        <v>2218</v>
      </c>
      <c r="D63" s="366">
        <f>VLOOKUP($B63,'Análise Física Detalhada'!$E$13:$V$380,18,0)</f>
        <v>176309.41705968717</v>
      </c>
      <c r="E63" s="367">
        <f>VLOOKUP($B63,'Análise Física Detalhada'!$E$13:$P$380,12,0)</f>
        <v>0.71</v>
      </c>
      <c r="F63" s="368">
        <f t="shared" si="5"/>
        <v>125179.68611237788</v>
      </c>
      <c r="G63" s="696">
        <f>SUMIF('[2]Despesas Diretas'!$B$5:$B$9944,$B63,'[2]Despesas Diretas'!$H$5:$H$9944)</f>
        <v>57733.31</v>
      </c>
      <c r="H63" s="696">
        <f>SUMIF('[3]Despesas Diretas'!$B$5:$B$9999,$B63,'[3]Despesas Diretas'!$H$5:$H$9999)</f>
        <v>558.67999999999995</v>
      </c>
      <c r="I63" s="696">
        <f>SUMIF([4]Comprometimento!$B$6:$B$147,$B63,[4]Comprometimento!$E$6:$E$147)</f>
        <v>67255.407036726698</v>
      </c>
      <c r="J63" s="696">
        <f>SUMIF([4]Estoque!$B$6:$B$880,$B63,[4]Estoque!$H$6:$H$880)</f>
        <v>1888.96</v>
      </c>
      <c r="K63" s="697">
        <f t="shared" si="6"/>
        <v>123658.4370367267</v>
      </c>
      <c r="L63" s="698">
        <f t="shared" si="4"/>
        <v>0.98784747651239913</v>
      </c>
      <c r="M63" s="699">
        <f t="shared" si="7"/>
        <v>-1521.2490756511834</v>
      </c>
      <c r="N63" s="698">
        <v>1.0813239950115727</v>
      </c>
      <c r="O63" s="699">
        <v>2515.2034431797329</v>
      </c>
      <c r="P63" s="699">
        <f t="shared" si="8"/>
        <v>-4036.4525188309162</v>
      </c>
      <c r="Q63" s="698">
        <f t="shared" si="1"/>
        <v>0.9896095924181012</v>
      </c>
      <c r="R63" s="700">
        <f t="shared" si="2"/>
        <v>174477.49035591003</v>
      </c>
    </row>
    <row r="64" spans="1:18" s="177" customFormat="1" ht="21.95" customHeight="1" x14ac:dyDescent="0.2">
      <c r="A64" s="393" t="s">
        <v>95</v>
      </c>
      <c r="B64" s="959" t="s">
        <v>610</v>
      </c>
      <c r="C64" s="959" t="s">
        <v>2219</v>
      </c>
      <c r="D64" s="366">
        <f>VLOOKUP($B64,'Análise Física Detalhada'!$E$13:$V$380,18,0)</f>
        <v>62402.827609700362</v>
      </c>
      <c r="E64" s="367">
        <f>VLOOKUP($B64,'Análise Física Detalhada'!$E$13:$P$380,12,0)</f>
        <v>0.78</v>
      </c>
      <c r="F64" s="368">
        <f t="shared" si="5"/>
        <v>48674.205535566281</v>
      </c>
      <c r="G64" s="696">
        <f>SUMIF('[2]Despesas Diretas'!$B$5:$B$9944,$B64,'[2]Despesas Diretas'!$H$5:$H$9944)</f>
        <v>29324.899999999998</v>
      </c>
      <c r="H64" s="696">
        <f>SUMIF('[3]Despesas Diretas'!$B$5:$B$9999,$B64,'[3]Despesas Diretas'!$H$5:$H$9999)</f>
        <v>6290.65</v>
      </c>
      <c r="I64" s="696">
        <f>SUMIF([4]Comprometimento!$B$6:$B$147,$B64,[4]Comprometimento!$E$6:$E$147)</f>
        <v>0</v>
      </c>
      <c r="J64" s="696">
        <f>SUMIF([4]Estoque!$B$6:$B$880,$B64,[4]Estoque!$H$6:$H$880)</f>
        <v>8794</v>
      </c>
      <c r="K64" s="697">
        <f t="shared" si="6"/>
        <v>26821.549999999996</v>
      </c>
      <c r="L64" s="698">
        <f t="shared" si="4"/>
        <v>0.55104237870716688</v>
      </c>
      <c r="M64" s="699">
        <f t="shared" si="7"/>
        <v>-21852.655535566286</v>
      </c>
      <c r="N64" s="698">
        <v>1.0000689146499153</v>
      </c>
      <c r="O64" s="699">
        <v>1.3079551141672709</v>
      </c>
      <c r="P64" s="699">
        <f t="shared" si="8"/>
        <v>-21853.963490680453</v>
      </c>
      <c r="Q64" s="698">
        <f t="shared" si="1"/>
        <v>0.60042771704937858</v>
      </c>
      <c r="R64" s="700">
        <f t="shared" si="2"/>
        <v>37468.387319118316</v>
      </c>
    </row>
    <row r="65" spans="1:18" s="130" customFormat="1" ht="21.95" customHeight="1" x14ac:dyDescent="0.2">
      <c r="A65" s="393" t="s">
        <v>95</v>
      </c>
      <c r="B65" s="959" t="s">
        <v>611</v>
      </c>
      <c r="C65" s="959" t="s">
        <v>2042</v>
      </c>
      <c r="D65" s="366">
        <f>VLOOKUP($B65,'Análise Física Detalhada'!$E$13:$V$380,18,0)</f>
        <v>2868.7158913797734</v>
      </c>
      <c r="E65" s="367">
        <f>VLOOKUP($B65,'Análise Física Detalhada'!$E$13:$P$380,12,0)</f>
        <v>0.71</v>
      </c>
      <c r="F65" s="368">
        <f t="shared" si="5"/>
        <v>2036.7882828796389</v>
      </c>
      <c r="G65" s="696">
        <f>SUMIF('[2]Despesas Diretas'!$B$5:$B$9944,$B65,'[2]Despesas Diretas'!$H$5:$H$9944)</f>
        <v>0</v>
      </c>
      <c r="H65" s="696">
        <f>SUMIF('[3]Despesas Diretas'!$B$5:$B$9999,$B65,'[3]Despesas Diretas'!$H$5:$H$9999)</f>
        <v>0</v>
      </c>
      <c r="I65" s="696">
        <f>SUMIF([4]Comprometimento!$B$6:$B$147,$B65,[4]Comprometimento!$E$6:$E$147)</f>
        <v>0</v>
      </c>
      <c r="J65" s="696">
        <f>SUMIF([4]Estoque!$B$6:$B$880,$B65,[4]Estoque!$H$6:$H$880)</f>
        <v>0</v>
      </c>
      <c r="K65" s="697">
        <f t="shared" si="6"/>
        <v>0</v>
      </c>
      <c r="L65" s="698">
        <f t="shared" si="4"/>
        <v>0</v>
      </c>
      <c r="M65" s="699">
        <f t="shared" si="7"/>
        <v>-2036.7882828796389</v>
      </c>
      <c r="N65" s="698">
        <v>0</v>
      </c>
      <c r="O65" s="699">
        <v>-503.22990720580248</v>
      </c>
      <c r="P65" s="699">
        <f t="shared" si="8"/>
        <v>-1533.5583756738365</v>
      </c>
      <c r="Q65" s="698">
        <f t="shared" si="1"/>
        <v>0.14500000000000002</v>
      </c>
      <c r="R65" s="700">
        <f t="shared" si="2"/>
        <v>415.9638042500672</v>
      </c>
    </row>
    <row r="66" spans="1:18" s="130" customFormat="1" ht="21.95" customHeight="1" x14ac:dyDescent="0.2">
      <c r="A66" s="393" t="s">
        <v>95</v>
      </c>
      <c r="B66" s="959" t="s">
        <v>612</v>
      </c>
      <c r="C66" s="959" t="s">
        <v>2220</v>
      </c>
      <c r="D66" s="366">
        <f>VLOOKUP($B66,'Análise Física Detalhada'!$E$13:$V$380,18,0)</f>
        <v>56857.346526041889</v>
      </c>
      <c r="E66" s="367">
        <f>VLOOKUP($B66,'Análise Física Detalhada'!$E$13:$P$380,12,0)</f>
        <v>0.78</v>
      </c>
      <c r="F66" s="368">
        <f t="shared" si="5"/>
        <v>44348.730290312677</v>
      </c>
      <c r="G66" s="696">
        <f>SUMIF('[2]Despesas Diretas'!$B$5:$B$9944,$B66,'[2]Despesas Diretas'!$H$5:$H$9944)</f>
        <v>21558.43</v>
      </c>
      <c r="H66" s="696">
        <f>SUMIF('[3]Despesas Diretas'!$B$5:$B$9999,$B66,'[3]Despesas Diretas'!$H$5:$H$9999)</f>
        <v>333.19</v>
      </c>
      <c r="I66" s="696">
        <f>SUMIF([4]Comprometimento!$B$6:$B$147,$B66,[4]Comprometimento!$E$6:$E$147)</f>
        <v>13680</v>
      </c>
      <c r="J66" s="696">
        <f>SUMIF([4]Estoque!$B$6:$B$880,$B66,[4]Estoque!$H$6:$H$880)</f>
        <v>0</v>
      </c>
      <c r="K66" s="697">
        <f t="shared" si="6"/>
        <v>35571.619999999995</v>
      </c>
      <c r="L66" s="698">
        <f t="shared" si="4"/>
        <v>0.8020888031549821</v>
      </c>
      <c r="M66" s="699">
        <f t="shared" si="7"/>
        <v>-8777.1102903126812</v>
      </c>
      <c r="N66" s="698">
        <v>0.80629215727376635</v>
      </c>
      <c r="O66" s="699">
        <v>-3173.0892932213137</v>
      </c>
      <c r="P66" s="699">
        <f t="shared" si="8"/>
        <v>-5604.0209970913675</v>
      </c>
      <c r="Q66" s="698">
        <f t="shared" si="1"/>
        <v>0.82385903480793399</v>
      </c>
      <c r="R66" s="700">
        <f t="shared" si="2"/>
        <v>46842.438630685108</v>
      </c>
    </row>
    <row r="67" spans="1:18" s="130" customFormat="1" ht="21.95" customHeight="1" x14ac:dyDescent="0.2">
      <c r="A67" s="393" t="s">
        <v>95</v>
      </c>
      <c r="B67" s="967" t="s">
        <v>772</v>
      </c>
      <c r="C67" s="967" t="s">
        <v>2221</v>
      </c>
      <c r="D67" s="366">
        <f>VLOOKUP($B67,'Análise Física Detalhada'!$E$13:$V$380,18,0)</f>
        <v>0</v>
      </c>
      <c r="E67" s="367">
        <f>VLOOKUP($B67,'Análise Física Detalhada'!$E$13:$P$380,12,0)</f>
        <v>0</v>
      </c>
      <c r="F67" s="368">
        <f t="shared" si="5"/>
        <v>0</v>
      </c>
      <c r="G67" s="696">
        <f>SUMIF('[2]Despesas Diretas'!$B$5:$B$9944,$B67,'[2]Despesas Diretas'!$H$5:$H$9944)</f>
        <v>0</v>
      </c>
      <c r="H67" s="696">
        <f>SUMIF('[3]Despesas Diretas'!$B$5:$B$9999,$B67,'[3]Despesas Diretas'!$H$5:$H$9999)</f>
        <v>0</v>
      </c>
      <c r="I67" s="696">
        <f>SUMIF([4]Comprometimento!$B$6:$B$147,$B67,[4]Comprometimento!$E$6:$E$147)</f>
        <v>0</v>
      </c>
      <c r="J67" s="696">
        <f>SUMIF([4]Estoque!$B$6:$B$880,$B67,[4]Estoque!$H$6:$H$880)</f>
        <v>0</v>
      </c>
      <c r="K67" s="697">
        <f t="shared" si="6"/>
        <v>0</v>
      </c>
      <c r="L67" s="698">
        <f t="shared" si="4"/>
        <v>0</v>
      </c>
      <c r="M67" s="699">
        <f t="shared" si="7"/>
        <v>0</v>
      </c>
      <c r="N67" s="698">
        <v>0</v>
      </c>
      <c r="O67" s="699">
        <v>0</v>
      </c>
      <c r="P67" s="699">
        <f t="shared" si="8"/>
        <v>0</v>
      </c>
      <c r="Q67" s="698">
        <f t="shared" si="1"/>
        <v>0</v>
      </c>
      <c r="R67" s="700">
        <f t="shared" si="2"/>
        <v>0</v>
      </c>
    </row>
    <row r="68" spans="1:18" s="130" customFormat="1" ht="21.95" customHeight="1" x14ac:dyDescent="0.2">
      <c r="A68" s="393" t="s">
        <v>95</v>
      </c>
      <c r="B68" s="967" t="s">
        <v>2222</v>
      </c>
      <c r="C68" s="967" t="s">
        <v>2223</v>
      </c>
      <c r="D68" s="366">
        <f>VLOOKUP($B68,'Análise Física Detalhada'!$E$13:$V$380,18,0)</f>
        <v>0</v>
      </c>
      <c r="E68" s="367">
        <f>VLOOKUP($B68,'Análise Física Detalhada'!$E$13:$P$380,12,0)</f>
        <v>0</v>
      </c>
      <c r="F68" s="368">
        <f t="shared" si="5"/>
        <v>0</v>
      </c>
      <c r="G68" s="696">
        <f>SUMIF('[2]Despesas Diretas'!$B$5:$B$9944,$B68,'[2]Despesas Diretas'!$H$5:$H$9944)</f>
        <v>0</v>
      </c>
      <c r="H68" s="696">
        <f>SUMIF('[3]Despesas Diretas'!$B$5:$B$9999,$B68,'[3]Despesas Diretas'!$H$5:$H$9999)</f>
        <v>0</v>
      </c>
      <c r="I68" s="696">
        <f>SUMIF([4]Comprometimento!$B$6:$B$147,$B68,[4]Comprometimento!$E$6:$E$147)</f>
        <v>0</v>
      </c>
      <c r="J68" s="696">
        <f>SUMIF([4]Estoque!$B$6:$B$880,$B68,[4]Estoque!$H$6:$H$880)</f>
        <v>0</v>
      </c>
      <c r="K68" s="697">
        <f t="shared" si="6"/>
        <v>0</v>
      </c>
      <c r="L68" s="698">
        <f t="shared" si="4"/>
        <v>0</v>
      </c>
      <c r="M68" s="699">
        <f t="shared" si="7"/>
        <v>0</v>
      </c>
      <c r="N68" s="698">
        <v>0</v>
      </c>
      <c r="O68" s="699">
        <v>0</v>
      </c>
      <c r="P68" s="699">
        <f t="shared" si="8"/>
        <v>0</v>
      </c>
      <c r="Q68" s="698">
        <f t="shared" si="1"/>
        <v>0</v>
      </c>
      <c r="R68" s="700">
        <f t="shared" si="2"/>
        <v>0</v>
      </c>
    </row>
    <row r="69" spans="1:18" s="130" customFormat="1" ht="21.95" customHeight="1" x14ac:dyDescent="0.2">
      <c r="A69" s="393" t="s">
        <v>95</v>
      </c>
      <c r="B69" s="959" t="s">
        <v>2224</v>
      </c>
      <c r="C69" s="959" t="s">
        <v>776</v>
      </c>
      <c r="D69" s="366">
        <f>VLOOKUP($B69,'Análise Física Detalhada'!$E$13:$V$380,18,0)</f>
        <v>8081.3136927096011</v>
      </c>
      <c r="E69" s="367">
        <f>VLOOKUP($B69,'Análise Física Detalhada'!$E$13:$P$380,12,0)</f>
        <v>0.8</v>
      </c>
      <c r="F69" s="368">
        <f t="shared" si="5"/>
        <v>6465.0509541676811</v>
      </c>
      <c r="G69" s="696">
        <f>SUMIF('[2]Despesas Diretas'!$B$5:$B$9944,$B69,'[2]Despesas Diretas'!$H$5:$H$9944)</f>
        <v>6375.52</v>
      </c>
      <c r="H69" s="696">
        <f>SUMIF('[3]Despesas Diretas'!$B$5:$B$9999,$B69,'[3]Despesas Diretas'!$H$5:$H$9999)</f>
        <v>0</v>
      </c>
      <c r="I69" s="696">
        <f>SUMIF([4]Comprometimento!$B$6:$B$147,$B69,[4]Comprometimento!$E$6:$E$147)</f>
        <v>0</v>
      </c>
      <c r="J69" s="696">
        <f>SUMIF([4]Estoque!$B$6:$B$880,$B69,[4]Estoque!$H$6:$H$880)</f>
        <v>0</v>
      </c>
      <c r="K69" s="697">
        <f t="shared" si="6"/>
        <v>6375.52</v>
      </c>
      <c r="L69" s="698">
        <f t="shared" si="4"/>
        <v>0.98615154701758934</v>
      </c>
      <c r="M69" s="699">
        <f t="shared" si="7"/>
        <v>-89.530954167680648</v>
      </c>
      <c r="N69" s="698">
        <v>0</v>
      </c>
      <c r="O69" s="699">
        <v>-926.52</v>
      </c>
      <c r="P69" s="699">
        <f t="shared" si="8"/>
        <v>836.98904583231933</v>
      </c>
      <c r="Q69" s="698">
        <f t="shared" si="1"/>
        <v>0.98753639231583046</v>
      </c>
      <c r="R69" s="700">
        <f t="shared" si="2"/>
        <v>7980.591369270961</v>
      </c>
    </row>
    <row r="70" spans="1:18" s="130" customFormat="1" ht="21.95" customHeight="1" x14ac:dyDescent="0.2">
      <c r="A70" s="393" t="s">
        <v>95</v>
      </c>
      <c r="B70" s="959" t="s">
        <v>2225</v>
      </c>
      <c r="C70" s="959" t="s">
        <v>1394</v>
      </c>
      <c r="D70" s="366">
        <f>VLOOKUP($B70,'Análise Física Detalhada'!$E$13:$V$380,18,0)</f>
        <v>15346.618255602001</v>
      </c>
      <c r="E70" s="367">
        <f>VLOOKUP($B70,'Análise Física Detalhada'!$E$13:$P$380,12,0)</f>
        <v>0</v>
      </c>
      <c r="F70" s="368">
        <f t="shared" si="5"/>
        <v>0</v>
      </c>
      <c r="G70" s="696">
        <f>SUMIF('[2]Despesas Diretas'!$B$5:$B$9944,$B70,'[2]Despesas Diretas'!$H$5:$H$9944)</f>
        <v>681.56000000000006</v>
      </c>
      <c r="H70" s="696">
        <f>SUMIF('[3]Despesas Diretas'!$B$5:$B$9999,$B70,'[3]Despesas Diretas'!$H$5:$H$9999)</f>
        <v>0</v>
      </c>
      <c r="I70" s="696">
        <f>SUMIF([4]Comprometimento!$B$6:$B$147,$B70,[4]Comprometimento!$E$6:$E$147)</f>
        <v>0</v>
      </c>
      <c r="J70" s="696">
        <f>SUMIF([4]Estoque!$B$6:$B$880,$B70,[4]Estoque!$H$6:$H$880)</f>
        <v>681.56000000000006</v>
      </c>
      <c r="K70" s="697">
        <f t="shared" si="6"/>
        <v>0</v>
      </c>
      <c r="L70" s="698">
        <f t="shared" si="4"/>
        <v>0</v>
      </c>
      <c r="M70" s="699">
        <f t="shared" si="7"/>
        <v>0</v>
      </c>
      <c r="N70" s="698">
        <v>0</v>
      </c>
      <c r="O70" s="699">
        <v>430.09000000000003</v>
      </c>
      <c r="P70" s="699">
        <f t="shared" si="8"/>
        <v>-430.09000000000003</v>
      </c>
      <c r="Q70" s="698">
        <f t="shared" si="1"/>
        <v>1</v>
      </c>
      <c r="R70" s="700">
        <f t="shared" si="2"/>
        <v>15346.618255602001</v>
      </c>
    </row>
    <row r="71" spans="1:18" s="177" customFormat="1" ht="21.95" customHeight="1" x14ac:dyDescent="0.2">
      <c r="A71" s="393" t="s">
        <v>95</v>
      </c>
      <c r="B71" s="959" t="s">
        <v>2226</v>
      </c>
      <c r="C71" s="959" t="s">
        <v>771</v>
      </c>
      <c r="D71" s="366">
        <f>VLOOKUP($B71,'Análise Física Detalhada'!$E$13:$V$380,18,0)</f>
        <v>11468.8845653076</v>
      </c>
      <c r="E71" s="367">
        <f>VLOOKUP($B71,'Análise Física Detalhada'!$E$13:$P$380,12,0)</f>
        <v>0</v>
      </c>
      <c r="F71" s="368">
        <f t="shared" si="5"/>
        <v>0</v>
      </c>
      <c r="G71" s="696">
        <f>SUMIF('[2]Despesas Diretas'!$B$5:$B$9944,$B71,'[2]Despesas Diretas'!$H$5:$H$9944)</f>
        <v>0</v>
      </c>
      <c r="H71" s="696">
        <f>SUMIF('[3]Despesas Diretas'!$B$5:$B$9999,$B71,'[3]Despesas Diretas'!$H$5:$H$9999)</f>
        <v>0</v>
      </c>
      <c r="I71" s="696">
        <f>SUMIF([4]Comprometimento!$B$6:$B$147,$B71,[4]Comprometimento!$E$6:$E$147)</f>
        <v>0</v>
      </c>
      <c r="J71" s="696">
        <f>SUMIF([4]Estoque!$B$6:$B$880,$B71,[4]Estoque!$H$6:$H$880)</f>
        <v>0</v>
      </c>
      <c r="K71" s="697">
        <f t="shared" si="6"/>
        <v>0</v>
      </c>
      <c r="L71" s="698">
        <f t="shared" si="4"/>
        <v>0</v>
      </c>
      <c r="M71" s="699">
        <f t="shared" si="7"/>
        <v>0</v>
      </c>
      <c r="N71" s="698">
        <v>0</v>
      </c>
      <c r="O71" s="699">
        <v>0</v>
      </c>
      <c r="P71" s="699">
        <f t="shared" si="8"/>
        <v>0</v>
      </c>
      <c r="Q71" s="698">
        <f t="shared" si="1"/>
        <v>1</v>
      </c>
      <c r="R71" s="700">
        <f t="shared" si="2"/>
        <v>11468.8845653076</v>
      </c>
    </row>
    <row r="72" spans="1:18" s="130" customFormat="1" ht="21.95" customHeight="1" x14ac:dyDescent="0.2">
      <c r="A72" s="393" t="s">
        <v>95</v>
      </c>
      <c r="B72" s="959" t="s">
        <v>2227</v>
      </c>
      <c r="C72" s="959" t="s">
        <v>1389</v>
      </c>
      <c r="D72" s="366">
        <f>VLOOKUP($B72,'Análise Física Detalhada'!$E$13:$V$380,18,0)</f>
        <v>6696.2655056988015</v>
      </c>
      <c r="E72" s="367">
        <f>VLOOKUP($B72,'Análise Física Detalhada'!$E$13:$P$380,12,0)</f>
        <v>0</v>
      </c>
      <c r="F72" s="368">
        <f t="shared" si="5"/>
        <v>0</v>
      </c>
      <c r="G72" s="696">
        <f>SUMIF('[2]Despesas Diretas'!$B$5:$B$9944,$B72,'[2]Despesas Diretas'!$H$5:$H$9944)</f>
        <v>0</v>
      </c>
      <c r="H72" s="696">
        <f>SUMIF('[3]Despesas Diretas'!$B$5:$B$9999,$B72,'[3]Despesas Diretas'!$H$5:$H$9999)</f>
        <v>0</v>
      </c>
      <c r="I72" s="696">
        <f>SUMIF([4]Comprometimento!$B$6:$B$147,$B72,[4]Comprometimento!$E$6:$E$147)</f>
        <v>0</v>
      </c>
      <c r="J72" s="696">
        <f>SUMIF([4]Estoque!$B$6:$B$880,$B72,[4]Estoque!$H$6:$H$880)</f>
        <v>0</v>
      </c>
      <c r="K72" s="697">
        <f t="shared" si="6"/>
        <v>0</v>
      </c>
      <c r="L72" s="698">
        <f t="shared" si="4"/>
        <v>0</v>
      </c>
      <c r="M72" s="699">
        <f t="shared" si="7"/>
        <v>0</v>
      </c>
      <c r="N72" s="698">
        <v>0</v>
      </c>
      <c r="O72" s="699">
        <v>0</v>
      </c>
      <c r="P72" s="699">
        <f t="shared" si="8"/>
        <v>0</v>
      </c>
      <c r="Q72" s="698">
        <f t="shared" ref="Q72:Q135" si="13">IF($D72=0,0,IF(($F72/$D72)&lt;20%,1,IF($D72=0,0,IF(($F72/$D72)=1,$L72,IF(($F72/$D72)=0,1,IF($L72&lt;1,(+$L72*($F72/$D72))+(1-((1-$L72)/2))*(1-($F72/$D72)),(+$L72*($F72/$D72))+(1+(($L72-1)/2))*(1-($F72/$D72))))))))</f>
        <v>1</v>
      </c>
      <c r="R72" s="700">
        <f t="shared" ref="R72:R135" si="14">IF($Q72="","",$Q72*$D72)</f>
        <v>6696.2655056988015</v>
      </c>
    </row>
    <row r="73" spans="1:18" s="130" customFormat="1" ht="21.95" customHeight="1" x14ac:dyDescent="0.2">
      <c r="A73" s="393" t="s">
        <v>95</v>
      </c>
      <c r="B73" s="959" t="s">
        <v>2228</v>
      </c>
      <c r="C73" s="959" t="s">
        <v>446</v>
      </c>
      <c r="D73" s="366">
        <f>VLOOKUP($B73,'Análise Física Detalhada'!$E$13:$V$380,18,0)</f>
        <v>4618.5112327788011</v>
      </c>
      <c r="E73" s="367">
        <f>VLOOKUP($B73,'Análise Física Detalhada'!$E$13:$P$380,12,0)</f>
        <v>0</v>
      </c>
      <c r="F73" s="368">
        <f t="shared" si="5"/>
        <v>0</v>
      </c>
      <c r="G73" s="696">
        <f>SUMIF('[2]Despesas Diretas'!$B$5:$B$9944,$B73,'[2]Despesas Diretas'!$H$5:$H$9944)</f>
        <v>0</v>
      </c>
      <c r="H73" s="696">
        <f>SUMIF('[3]Despesas Diretas'!$B$5:$B$9999,$B73,'[3]Despesas Diretas'!$H$5:$H$9999)</f>
        <v>0</v>
      </c>
      <c r="I73" s="696">
        <f>SUMIF([4]Comprometimento!$B$6:$B$147,$B73,[4]Comprometimento!$E$6:$E$147)</f>
        <v>0</v>
      </c>
      <c r="J73" s="696">
        <f>SUMIF([4]Estoque!$B$6:$B$880,$B73,[4]Estoque!$H$6:$H$880)</f>
        <v>0</v>
      </c>
      <c r="K73" s="697">
        <f t="shared" si="6"/>
        <v>0</v>
      </c>
      <c r="L73" s="698">
        <f t="shared" ref="L73:L136" si="15">IF($F73=0,0,$K73/$F73)</f>
        <v>0</v>
      </c>
      <c r="M73" s="699">
        <f t="shared" si="7"/>
        <v>0</v>
      </c>
      <c r="N73" s="698">
        <v>0</v>
      </c>
      <c r="O73" s="699">
        <v>0</v>
      </c>
      <c r="P73" s="699">
        <f t="shared" si="8"/>
        <v>0</v>
      </c>
      <c r="Q73" s="698">
        <f t="shared" si="13"/>
        <v>1</v>
      </c>
      <c r="R73" s="700">
        <f t="shared" si="14"/>
        <v>4618.5112327788011</v>
      </c>
    </row>
    <row r="74" spans="1:18" s="130" customFormat="1" ht="21.95" customHeight="1" x14ac:dyDescent="0.2">
      <c r="A74" s="393" t="s">
        <v>105</v>
      </c>
      <c r="B74" s="161" t="s">
        <v>105</v>
      </c>
      <c r="C74" s="161" t="s">
        <v>613</v>
      </c>
      <c r="D74" s="163">
        <f>VLOOKUP($B74,'Análise Física Detalhada'!$E$13:$V$380,18,0)</f>
        <v>1100502.1344380185</v>
      </c>
      <c r="E74" s="530">
        <f>F74/D74</f>
        <v>0</v>
      </c>
      <c r="F74" s="1001">
        <f>SUM(F75:F78)</f>
        <v>0</v>
      </c>
      <c r="G74" s="1000">
        <f>SUM(G75:G78)</f>
        <v>0</v>
      </c>
      <c r="H74" s="1000">
        <f t="shared" ref="H74:K74" si="16">SUM(H75:H78)</f>
        <v>0</v>
      </c>
      <c r="I74" s="1000">
        <f t="shared" si="16"/>
        <v>0</v>
      </c>
      <c r="J74" s="1000">
        <f t="shared" si="16"/>
        <v>0</v>
      </c>
      <c r="K74" s="1000">
        <f t="shared" si="16"/>
        <v>0</v>
      </c>
      <c r="L74" s="537">
        <f>IF($F74=0,0,$K74/$F74)</f>
        <v>0</v>
      </c>
      <c r="M74" s="163">
        <f>IF($L74=0,0,$K74-$F74)</f>
        <v>0</v>
      </c>
      <c r="N74" s="537">
        <v>0</v>
      </c>
      <c r="O74" s="163">
        <v>0</v>
      </c>
      <c r="P74" s="163">
        <f>$M74-$O74</f>
        <v>0</v>
      </c>
      <c r="Q74" s="537">
        <f t="shared" si="13"/>
        <v>1</v>
      </c>
      <c r="R74" s="163">
        <f t="shared" si="14"/>
        <v>1100502.1344380185</v>
      </c>
    </row>
    <row r="75" spans="1:18" s="177" customFormat="1" ht="21.95" customHeight="1" x14ac:dyDescent="0.2">
      <c r="A75" s="393" t="s">
        <v>105</v>
      </c>
      <c r="B75" s="959" t="s">
        <v>106</v>
      </c>
      <c r="C75" s="959" t="s">
        <v>460</v>
      </c>
      <c r="D75" s="366">
        <f>VLOOKUP($B75,'Análise Física Detalhada'!$E$13:$V$380,18,0)</f>
        <v>450615.39176263328</v>
      </c>
      <c r="E75" s="367">
        <f>VLOOKUP($B75,'Análise Física Detalhada'!$E$13:$P$380,12,0)</f>
        <v>0</v>
      </c>
      <c r="F75" s="368">
        <f t="shared" ref="F75:F137" si="17">E75*D75</f>
        <v>0</v>
      </c>
      <c r="G75" s="696">
        <f>SUMIF('[2]Despesas Diretas'!$B$5:$B$9944,$B75,'[2]Despesas Diretas'!$H$5:$H$9944)</f>
        <v>0</v>
      </c>
      <c r="H75" s="696">
        <f>SUMIF('[3]Despesas Diretas'!$B$5:$B$9999,$B75,'[3]Despesas Diretas'!$H$5:$H$9999)</f>
        <v>0</v>
      </c>
      <c r="I75" s="696">
        <f>SUMIF([4]Comprometimento!$B$6:$B$147,$B75,[4]Comprometimento!$E$6:$E$147)</f>
        <v>0</v>
      </c>
      <c r="J75" s="696">
        <f>SUMIF([4]Estoque!$B$6:$B$880,$B75,[4]Estoque!$H$6:$H$880)</f>
        <v>0</v>
      </c>
      <c r="K75" s="697">
        <f t="shared" ref="K75:K137" si="18">SUM($G75:$I75)-$J75</f>
        <v>0</v>
      </c>
      <c r="L75" s="698">
        <f t="shared" si="15"/>
        <v>0</v>
      </c>
      <c r="M75" s="699">
        <f t="shared" ref="M75:M137" si="19">$K75-$F75</f>
        <v>0</v>
      </c>
      <c r="N75" s="698">
        <v>0</v>
      </c>
      <c r="O75" s="699">
        <v>0</v>
      </c>
      <c r="P75" s="699">
        <f t="shared" ref="P75:P137" si="20">$M75-$O75</f>
        <v>0</v>
      </c>
      <c r="Q75" s="698">
        <f t="shared" si="13"/>
        <v>1</v>
      </c>
      <c r="R75" s="700">
        <f t="shared" si="14"/>
        <v>450615.39176263328</v>
      </c>
    </row>
    <row r="76" spans="1:18" s="130" customFormat="1" ht="21.95" customHeight="1" x14ac:dyDescent="0.2">
      <c r="A76" s="393" t="s">
        <v>105</v>
      </c>
      <c r="B76" s="959" t="s">
        <v>107</v>
      </c>
      <c r="C76" s="959" t="s">
        <v>771</v>
      </c>
      <c r="D76" s="366">
        <f>VLOOKUP($B76,'Análise Física Detalhada'!$E$13:$V$380,18,0)</f>
        <v>404451.84938509803</v>
      </c>
      <c r="E76" s="367">
        <f>VLOOKUP($B76,'Análise Física Detalhada'!$E$13:$P$380,12,0)</f>
        <v>0</v>
      </c>
      <c r="F76" s="368">
        <f t="shared" si="17"/>
        <v>0</v>
      </c>
      <c r="G76" s="696">
        <f>SUMIF('[2]Despesas Diretas'!$B$5:$B$9944,$B76,'[2]Despesas Diretas'!$H$5:$H$9944)</f>
        <v>0</v>
      </c>
      <c r="H76" s="696">
        <f>SUMIF('[3]Despesas Diretas'!$B$5:$B$9999,$B76,'[3]Despesas Diretas'!$H$5:$H$9999)</f>
        <v>0</v>
      </c>
      <c r="I76" s="696">
        <f>SUMIF([4]Comprometimento!$B$6:$B$147,$B76,[4]Comprometimento!$E$6:$E$147)</f>
        <v>0</v>
      </c>
      <c r="J76" s="696">
        <f>SUMIF([4]Estoque!$B$6:$B$880,$B76,[4]Estoque!$H$6:$H$880)</f>
        <v>0</v>
      </c>
      <c r="K76" s="697">
        <f t="shared" si="18"/>
        <v>0</v>
      </c>
      <c r="L76" s="698">
        <f t="shared" si="15"/>
        <v>0</v>
      </c>
      <c r="M76" s="699">
        <f t="shared" si="19"/>
        <v>0</v>
      </c>
      <c r="N76" s="698">
        <v>0</v>
      </c>
      <c r="O76" s="699">
        <v>134.80000000000001</v>
      </c>
      <c r="P76" s="699">
        <f t="shared" si="20"/>
        <v>-134.80000000000001</v>
      </c>
      <c r="Q76" s="698">
        <f t="shared" si="13"/>
        <v>1</v>
      </c>
      <c r="R76" s="700">
        <f t="shared" si="14"/>
        <v>404451.84938509803</v>
      </c>
    </row>
    <row r="77" spans="1:18" s="177" customFormat="1" ht="21.95" customHeight="1" x14ac:dyDescent="0.2">
      <c r="A77" s="393" t="s">
        <v>105</v>
      </c>
      <c r="B77" s="959" t="s">
        <v>614</v>
      </c>
      <c r="C77" s="959" t="s">
        <v>1395</v>
      </c>
      <c r="D77" s="366">
        <f>VLOOKUP($B77,'Análise Física Detalhada'!$E$13:$V$380,18,0)</f>
        <v>226227.63470668564</v>
      </c>
      <c r="E77" s="367">
        <f>VLOOKUP($B77,'Análise Física Detalhada'!$E$13:$P$380,12,0)</f>
        <v>0</v>
      </c>
      <c r="F77" s="368">
        <f t="shared" si="17"/>
        <v>0</v>
      </c>
      <c r="G77" s="696">
        <f>SUMIF('[2]Despesas Diretas'!$B$5:$B$9944,$B77,'[2]Despesas Diretas'!$H$5:$H$9944)</f>
        <v>0</v>
      </c>
      <c r="H77" s="696">
        <f>SUMIF('[3]Despesas Diretas'!$B$5:$B$9999,$B77,'[3]Despesas Diretas'!$H$5:$H$9999)</f>
        <v>0</v>
      </c>
      <c r="I77" s="696">
        <f>SUMIF([4]Comprometimento!$B$6:$B$147,$B77,[4]Comprometimento!$E$6:$E$147)</f>
        <v>0</v>
      </c>
      <c r="J77" s="696">
        <f>SUMIF([4]Estoque!$B$6:$B$880,$B77,[4]Estoque!$H$6:$H$880)</f>
        <v>0</v>
      </c>
      <c r="K77" s="697">
        <f t="shared" si="18"/>
        <v>0</v>
      </c>
      <c r="L77" s="698">
        <f t="shared" si="15"/>
        <v>0</v>
      </c>
      <c r="M77" s="699">
        <f t="shared" si="19"/>
        <v>0</v>
      </c>
      <c r="N77" s="698">
        <v>0</v>
      </c>
      <c r="O77" s="699">
        <v>0</v>
      </c>
      <c r="P77" s="699">
        <f t="shared" si="20"/>
        <v>0</v>
      </c>
      <c r="Q77" s="698">
        <f t="shared" si="13"/>
        <v>1</v>
      </c>
      <c r="R77" s="700">
        <f t="shared" si="14"/>
        <v>226227.63470668564</v>
      </c>
    </row>
    <row r="78" spans="1:18" s="130" customFormat="1" ht="21.95" customHeight="1" x14ac:dyDescent="0.2">
      <c r="A78" s="393" t="s">
        <v>105</v>
      </c>
      <c r="B78" s="959" t="s">
        <v>615</v>
      </c>
      <c r="C78" s="959" t="s">
        <v>459</v>
      </c>
      <c r="D78" s="366">
        <f>VLOOKUP($B78,'Análise Física Detalhada'!$E$13:$V$380,18,0)</f>
        <v>19207.258583601601</v>
      </c>
      <c r="E78" s="367">
        <f>VLOOKUP($B78,'Análise Física Detalhada'!$E$13:$P$380,12,0)</f>
        <v>0</v>
      </c>
      <c r="F78" s="368">
        <f t="shared" si="17"/>
        <v>0</v>
      </c>
      <c r="G78" s="696">
        <f>SUMIF('[2]Despesas Diretas'!$B$5:$B$9944,$B78,'[2]Despesas Diretas'!$H$5:$H$9944)</f>
        <v>0</v>
      </c>
      <c r="H78" s="696">
        <f>SUMIF('[3]Despesas Diretas'!$B$5:$B$9999,$B78,'[3]Despesas Diretas'!$H$5:$H$9999)</f>
        <v>0</v>
      </c>
      <c r="I78" s="696">
        <f>SUMIF([4]Comprometimento!$B$6:$B$147,$B78,[4]Comprometimento!$E$6:$E$147)</f>
        <v>0</v>
      </c>
      <c r="J78" s="696">
        <f>SUMIF([4]Estoque!$B$6:$B$880,$B78,[4]Estoque!$H$6:$H$880)</f>
        <v>0</v>
      </c>
      <c r="K78" s="697">
        <f t="shared" si="18"/>
        <v>0</v>
      </c>
      <c r="L78" s="698">
        <f t="shared" si="15"/>
        <v>0</v>
      </c>
      <c r="M78" s="699">
        <f t="shared" si="19"/>
        <v>0</v>
      </c>
      <c r="N78" s="698">
        <v>0</v>
      </c>
      <c r="O78" s="699">
        <v>0</v>
      </c>
      <c r="P78" s="699">
        <f t="shared" si="20"/>
        <v>0</v>
      </c>
      <c r="Q78" s="698">
        <f t="shared" si="13"/>
        <v>1</v>
      </c>
      <c r="R78" s="700">
        <f t="shared" si="14"/>
        <v>19207.258583601601</v>
      </c>
    </row>
    <row r="79" spans="1:18" s="177" customFormat="1" ht="21.95" customHeight="1" x14ac:dyDescent="0.2">
      <c r="A79" s="393" t="s">
        <v>108</v>
      </c>
      <c r="B79" s="161" t="s">
        <v>108</v>
      </c>
      <c r="C79" s="161" t="s">
        <v>616</v>
      </c>
      <c r="D79" s="163">
        <f>VLOOKUP($B79,'Análise Física Detalhada'!$E$13:$V$380,18,0)</f>
        <v>223315.11512617685</v>
      </c>
      <c r="E79" s="530">
        <f>F79/D79</f>
        <v>0</v>
      </c>
      <c r="F79" s="1001">
        <f>SUM(F80:F98)</f>
        <v>0</v>
      </c>
      <c r="G79" s="1000">
        <f>SUM(G80:G98)</f>
        <v>0</v>
      </c>
      <c r="H79" s="1000">
        <f t="shared" ref="H79:K79" si="21">SUM(H80:H98)</f>
        <v>0</v>
      </c>
      <c r="I79" s="1000">
        <f t="shared" si="21"/>
        <v>0</v>
      </c>
      <c r="J79" s="1000">
        <f t="shared" si="21"/>
        <v>0</v>
      </c>
      <c r="K79" s="1000">
        <f t="shared" si="21"/>
        <v>0</v>
      </c>
      <c r="L79" s="537">
        <f>IF($F79=0,0,$K79/$F79)</f>
        <v>0</v>
      </c>
      <c r="M79" s="163">
        <f>IF($L79=0,0,$K79-$F79)</f>
        <v>0</v>
      </c>
      <c r="N79" s="537">
        <v>0</v>
      </c>
      <c r="O79" s="163">
        <v>0</v>
      </c>
      <c r="P79" s="163">
        <f>$M79-$O79</f>
        <v>0</v>
      </c>
      <c r="Q79" s="537">
        <f t="shared" si="13"/>
        <v>1</v>
      </c>
      <c r="R79" s="163">
        <f t="shared" si="14"/>
        <v>223315.11512617685</v>
      </c>
    </row>
    <row r="80" spans="1:18" s="130" customFormat="1" ht="21.95" customHeight="1" x14ac:dyDescent="0.2">
      <c r="A80" s="393" t="s">
        <v>108</v>
      </c>
      <c r="B80" s="967" t="s">
        <v>617</v>
      </c>
      <c r="C80" s="967" t="s">
        <v>618</v>
      </c>
      <c r="D80" s="366">
        <f>VLOOKUP($B80,'Análise Física Detalhada'!$E$13:$V$380,18,0)</f>
        <v>0</v>
      </c>
      <c r="E80" s="367">
        <f>VLOOKUP($B80,'Análise Física Detalhada'!$E$13:$P$380,12,0)</f>
        <v>0</v>
      </c>
      <c r="F80" s="368">
        <f t="shared" si="17"/>
        <v>0</v>
      </c>
      <c r="G80" s="696">
        <f>SUMIF('[2]Despesas Diretas'!$B$5:$B$9944,$B80,'[2]Despesas Diretas'!$H$5:$H$9944)</f>
        <v>0</v>
      </c>
      <c r="H80" s="696">
        <f>SUMIF('[3]Despesas Diretas'!$B$5:$B$9999,$B80,'[3]Despesas Diretas'!$H$5:$H$9999)</f>
        <v>0</v>
      </c>
      <c r="I80" s="696">
        <f>SUMIF([4]Comprometimento!$B$6:$B$147,$B80,[4]Comprometimento!$E$6:$E$147)</f>
        <v>0</v>
      </c>
      <c r="J80" s="696">
        <f>SUMIF([4]Estoque!$B$6:$B$880,$B80,[4]Estoque!$H$6:$H$880)</f>
        <v>0</v>
      </c>
      <c r="K80" s="697">
        <f t="shared" si="18"/>
        <v>0</v>
      </c>
      <c r="L80" s="698">
        <f t="shared" si="15"/>
        <v>0</v>
      </c>
      <c r="M80" s="699">
        <f t="shared" si="19"/>
        <v>0</v>
      </c>
      <c r="N80" s="698">
        <v>0</v>
      </c>
      <c r="O80" s="699">
        <v>0</v>
      </c>
      <c r="P80" s="699">
        <f t="shared" si="20"/>
        <v>0</v>
      </c>
      <c r="Q80" s="698">
        <f t="shared" si="13"/>
        <v>0</v>
      </c>
      <c r="R80" s="700">
        <f t="shared" si="14"/>
        <v>0</v>
      </c>
    </row>
    <row r="81" spans="1:18" s="130" customFormat="1" ht="21.95" customHeight="1" x14ac:dyDescent="0.2">
      <c r="A81" s="393" t="s">
        <v>108</v>
      </c>
      <c r="B81" s="959" t="s">
        <v>619</v>
      </c>
      <c r="C81" s="959" t="s">
        <v>777</v>
      </c>
      <c r="D81" s="366">
        <f>VLOOKUP($B81,'Análise Física Detalhada'!$E$13:$V$380,18,0)</f>
        <v>4114.9311060276004</v>
      </c>
      <c r="E81" s="367">
        <f>VLOOKUP($B81,'Análise Física Detalhada'!$E$13:$P$380,12,0)</f>
        <v>0</v>
      </c>
      <c r="F81" s="368">
        <f t="shared" si="17"/>
        <v>0</v>
      </c>
      <c r="G81" s="696">
        <f>SUMIF('[2]Despesas Diretas'!$B$5:$B$9944,$B81,'[2]Despesas Diretas'!$H$5:$H$9944)</f>
        <v>0</v>
      </c>
      <c r="H81" s="696">
        <f>SUMIF('[3]Despesas Diretas'!$B$5:$B$9999,$B81,'[3]Despesas Diretas'!$H$5:$H$9999)</f>
        <v>0</v>
      </c>
      <c r="I81" s="696">
        <f>SUMIF([4]Comprometimento!$B$6:$B$147,$B81,[4]Comprometimento!$E$6:$E$147)</f>
        <v>0</v>
      </c>
      <c r="J81" s="696">
        <f>SUMIF([4]Estoque!$B$6:$B$880,$B81,[4]Estoque!$H$6:$H$880)</f>
        <v>0</v>
      </c>
      <c r="K81" s="697">
        <f t="shared" si="18"/>
        <v>0</v>
      </c>
      <c r="L81" s="698">
        <f t="shared" si="15"/>
        <v>0</v>
      </c>
      <c r="M81" s="699">
        <f t="shared" si="19"/>
        <v>0</v>
      </c>
      <c r="N81" s="698">
        <v>0</v>
      </c>
      <c r="O81" s="699">
        <v>0</v>
      </c>
      <c r="P81" s="699">
        <f t="shared" si="20"/>
        <v>0</v>
      </c>
      <c r="Q81" s="698">
        <f t="shared" si="13"/>
        <v>1</v>
      </c>
      <c r="R81" s="700">
        <f t="shared" si="14"/>
        <v>4114.9311060276004</v>
      </c>
    </row>
    <row r="82" spans="1:18" s="177" customFormat="1" ht="21.95" customHeight="1" x14ac:dyDescent="0.2">
      <c r="A82" s="393" t="s">
        <v>108</v>
      </c>
      <c r="B82" s="959" t="s">
        <v>620</v>
      </c>
      <c r="C82" s="959" t="s">
        <v>778</v>
      </c>
      <c r="D82" s="366">
        <f>VLOOKUP($B82,'Análise Física Detalhada'!$E$13:$V$380,18,0)</f>
        <v>59321.263486777207</v>
      </c>
      <c r="E82" s="367">
        <f>VLOOKUP($B82,'Análise Física Detalhada'!$E$13:$P$380,12,0)</f>
        <v>0</v>
      </c>
      <c r="F82" s="368">
        <f t="shared" si="17"/>
        <v>0</v>
      </c>
      <c r="G82" s="696">
        <f>SUMIF('[2]Despesas Diretas'!$B$5:$B$9944,$B82,'[2]Despesas Diretas'!$H$5:$H$9944)</f>
        <v>0</v>
      </c>
      <c r="H82" s="696">
        <f>SUMIF('[3]Despesas Diretas'!$B$5:$B$9999,$B82,'[3]Despesas Diretas'!$H$5:$H$9999)</f>
        <v>0</v>
      </c>
      <c r="I82" s="696">
        <f>SUMIF([4]Comprometimento!$B$6:$B$147,$B82,[4]Comprometimento!$E$6:$E$147)</f>
        <v>0</v>
      </c>
      <c r="J82" s="696">
        <f>SUMIF([4]Estoque!$B$6:$B$880,$B82,[4]Estoque!$H$6:$H$880)</f>
        <v>0</v>
      </c>
      <c r="K82" s="697">
        <f t="shared" si="18"/>
        <v>0</v>
      </c>
      <c r="L82" s="698">
        <f t="shared" si="15"/>
        <v>0</v>
      </c>
      <c r="M82" s="699">
        <f t="shared" si="19"/>
        <v>0</v>
      </c>
      <c r="N82" s="698">
        <v>0</v>
      </c>
      <c r="O82" s="699">
        <v>0</v>
      </c>
      <c r="P82" s="699">
        <f t="shared" si="20"/>
        <v>0</v>
      </c>
      <c r="Q82" s="698">
        <f t="shared" si="13"/>
        <v>1</v>
      </c>
      <c r="R82" s="700">
        <f t="shared" si="14"/>
        <v>59321.263486777207</v>
      </c>
    </row>
    <row r="83" spans="1:18" s="130" customFormat="1" ht="21.95" customHeight="1" x14ac:dyDescent="0.2">
      <c r="A83" s="393" t="s">
        <v>108</v>
      </c>
      <c r="B83" s="959" t="s">
        <v>621</v>
      </c>
      <c r="C83" s="959" t="s">
        <v>779</v>
      </c>
      <c r="D83" s="366">
        <f>VLOOKUP($B83,'Análise Física Detalhada'!$E$13:$V$380,18,0)</f>
        <v>20207.575317582003</v>
      </c>
      <c r="E83" s="367">
        <f>VLOOKUP($B83,'Análise Física Detalhada'!$E$13:$P$380,12,0)</f>
        <v>0</v>
      </c>
      <c r="F83" s="368">
        <f t="shared" si="17"/>
        <v>0</v>
      </c>
      <c r="G83" s="696">
        <f>SUMIF('[2]Despesas Diretas'!$B$5:$B$9944,$B83,'[2]Despesas Diretas'!$H$5:$H$9944)</f>
        <v>0</v>
      </c>
      <c r="H83" s="696">
        <f>SUMIF('[3]Despesas Diretas'!$B$5:$B$9999,$B83,'[3]Despesas Diretas'!$H$5:$H$9999)</f>
        <v>0</v>
      </c>
      <c r="I83" s="696">
        <f>SUMIF([4]Comprometimento!$B$6:$B$147,$B83,[4]Comprometimento!$E$6:$E$147)</f>
        <v>0</v>
      </c>
      <c r="J83" s="696">
        <f>SUMIF([4]Estoque!$B$6:$B$880,$B83,[4]Estoque!$H$6:$H$880)</f>
        <v>0</v>
      </c>
      <c r="K83" s="697">
        <f t="shared" si="18"/>
        <v>0</v>
      </c>
      <c r="L83" s="698">
        <f t="shared" si="15"/>
        <v>0</v>
      </c>
      <c r="M83" s="699">
        <f t="shared" si="19"/>
        <v>0</v>
      </c>
      <c r="N83" s="698">
        <v>0</v>
      </c>
      <c r="O83" s="699">
        <v>0</v>
      </c>
      <c r="P83" s="699">
        <f t="shared" si="20"/>
        <v>0</v>
      </c>
      <c r="Q83" s="698">
        <f t="shared" si="13"/>
        <v>1</v>
      </c>
      <c r="R83" s="700">
        <f t="shared" si="14"/>
        <v>20207.575317582003</v>
      </c>
    </row>
    <row r="84" spans="1:18" s="130" customFormat="1" ht="21.95" customHeight="1" x14ac:dyDescent="0.2">
      <c r="A84" s="393" t="s">
        <v>108</v>
      </c>
      <c r="B84" s="959" t="s">
        <v>622</v>
      </c>
      <c r="C84" s="959" t="s">
        <v>469</v>
      </c>
      <c r="D84" s="366">
        <f>VLOOKUP($B84,'Análise Física Detalhada'!$E$13:$V$380,18,0)</f>
        <v>51635.425058197208</v>
      </c>
      <c r="E84" s="367">
        <f>VLOOKUP($B84,'Análise Física Detalhada'!$E$13:$P$380,12,0)</f>
        <v>0</v>
      </c>
      <c r="F84" s="368">
        <f t="shared" si="17"/>
        <v>0</v>
      </c>
      <c r="G84" s="696">
        <f>SUMIF('[2]Despesas Diretas'!$B$5:$B$9944,$B84,'[2]Despesas Diretas'!$H$5:$H$9944)</f>
        <v>0</v>
      </c>
      <c r="H84" s="696">
        <f>SUMIF('[3]Despesas Diretas'!$B$5:$B$9999,$B84,'[3]Despesas Diretas'!$H$5:$H$9999)</f>
        <v>0</v>
      </c>
      <c r="I84" s="696">
        <f>SUMIF([4]Comprometimento!$B$6:$B$147,$B84,[4]Comprometimento!$E$6:$E$147)</f>
        <v>0</v>
      </c>
      <c r="J84" s="696">
        <f>SUMIF([4]Estoque!$B$6:$B$880,$B84,[4]Estoque!$H$6:$H$880)</f>
        <v>0</v>
      </c>
      <c r="K84" s="697">
        <f t="shared" si="18"/>
        <v>0</v>
      </c>
      <c r="L84" s="698">
        <f t="shared" si="15"/>
        <v>0</v>
      </c>
      <c r="M84" s="699">
        <f t="shared" si="19"/>
        <v>0</v>
      </c>
      <c r="N84" s="698">
        <v>0</v>
      </c>
      <c r="O84" s="699">
        <v>0</v>
      </c>
      <c r="P84" s="699">
        <f t="shared" si="20"/>
        <v>0</v>
      </c>
      <c r="Q84" s="698">
        <f t="shared" si="13"/>
        <v>1</v>
      </c>
      <c r="R84" s="700">
        <f t="shared" si="14"/>
        <v>51635.425058197208</v>
      </c>
    </row>
    <row r="85" spans="1:18" s="130" customFormat="1" ht="21.95" customHeight="1" x14ac:dyDescent="0.2">
      <c r="A85" s="393" t="s">
        <v>108</v>
      </c>
      <c r="B85" s="967" t="s">
        <v>623</v>
      </c>
      <c r="C85" s="967" t="s">
        <v>2229</v>
      </c>
      <c r="D85" s="366">
        <f>VLOOKUP($B85,'Análise Física Detalhada'!$E$13:$V$380,18,0)</f>
        <v>0</v>
      </c>
      <c r="E85" s="367">
        <f>VLOOKUP($B85,'Análise Física Detalhada'!$E$13:$P$380,12,0)</f>
        <v>0</v>
      </c>
      <c r="F85" s="368">
        <f t="shared" si="17"/>
        <v>0</v>
      </c>
      <c r="G85" s="696">
        <f>SUMIF('[2]Despesas Diretas'!$B$5:$B$9944,$B85,'[2]Despesas Diretas'!$H$5:$H$9944)</f>
        <v>0</v>
      </c>
      <c r="H85" s="696">
        <f>SUMIF('[3]Despesas Diretas'!$B$5:$B$9999,$B85,'[3]Despesas Diretas'!$H$5:$H$9999)</f>
        <v>0</v>
      </c>
      <c r="I85" s="696">
        <f>SUMIF([4]Comprometimento!$B$6:$B$147,$B85,[4]Comprometimento!$E$6:$E$147)</f>
        <v>0</v>
      </c>
      <c r="J85" s="696">
        <f>SUMIF([4]Estoque!$B$6:$B$880,$B85,[4]Estoque!$H$6:$H$880)</f>
        <v>0</v>
      </c>
      <c r="K85" s="697">
        <f t="shared" si="18"/>
        <v>0</v>
      </c>
      <c r="L85" s="698">
        <f t="shared" si="15"/>
        <v>0</v>
      </c>
      <c r="M85" s="699">
        <f t="shared" si="19"/>
        <v>0</v>
      </c>
      <c r="N85" s="698">
        <v>0</v>
      </c>
      <c r="O85" s="699">
        <v>0</v>
      </c>
      <c r="P85" s="699">
        <f t="shared" si="20"/>
        <v>0</v>
      </c>
      <c r="Q85" s="698">
        <f t="shared" si="13"/>
        <v>0</v>
      </c>
      <c r="R85" s="700">
        <f t="shared" si="14"/>
        <v>0</v>
      </c>
    </row>
    <row r="86" spans="1:18" s="130" customFormat="1" ht="21.95" customHeight="1" x14ac:dyDescent="0.2">
      <c r="A86" s="393" t="s">
        <v>108</v>
      </c>
      <c r="B86" s="959" t="s">
        <v>624</v>
      </c>
      <c r="C86" s="959" t="s">
        <v>473</v>
      </c>
      <c r="D86" s="366">
        <f>VLOOKUP($B86,'Análise Física Detalhada'!$E$13:$V$380,18,0)</f>
        <v>10282.280026233602</v>
      </c>
      <c r="E86" s="367">
        <f>VLOOKUP($B86,'Análise Física Detalhada'!$E$13:$P$380,12,0)</f>
        <v>0</v>
      </c>
      <c r="F86" s="368">
        <f t="shared" si="17"/>
        <v>0</v>
      </c>
      <c r="G86" s="696">
        <f>SUMIF('[2]Despesas Diretas'!$B$5:$B$9944,$B86,'[2]Despesas Diretas'!$H$5:$H$9944)</f>
        <v>0</v>
      </c>
      <c r="H86" s="696">
        <f>SUMIF('[3]Despesas Diretas'!$B$5:$B$9999,$B86,'[3]Despesas Diretas'!$H$5:$H$9999)</f>
        <v>0</v>
      </c>
      <c r="I86" s="696">
        <f>SUMIF([4]Comprometimento!$B$6:$B$147,$B86,[4]Comprometimento!$E$6:$E$147)</f>
        <v>0</v>
      </c>
      <c r="J86" s="696">
        <f>SUMIF([4]Estoque!$B$6:$B$880,$B86,[4]Estoque!$H$6:$H$880)</f>
        <v>0</v>
      </c>
      <c r="K86" s="697">
        <f t="shared" si="18"/>
        <v>0</v>
      </c>
      <c r="L86" s="698">
        <f t="shared" si="15"/>
        <v>0</v>
      </c>
      <c r="M86" s="699">
        <f t="shared" si="19"/>
        <v>0</v>
      </c>
      <c r="N86" s="698">
        <v>0</v>
      </c>
      <c r="O86" s="699">
        <v>0</v>
      </c>
      <c r="P86" s="699">
        <f t="shared" si="20"/>
        <v>0</v>
      </c>
      <c r="Q86" s="698">
        <f t="shared" si="13"/>
        <v>1</v>
      </c>
      <c r="R86" s="700">
        <f t="shared" si="14"/>
        <v>10282.280026233602</v>
      </c>
    </row>
    <row r="87" spans="1:18" s="130" customFormat="1" ht="21.95" customHeight="1" x14ac:dyDescent="0.2">
      <c r="A87" s="393" t="s">
        <v>108</v>
      </c>
      <c r="B87" s="959" t="s">
        <v>2043</v>
      </c>
      <c r="C87" s="959" t="s">
        <v>2044</v>
      </c>
      <c r="D87" s="366">
        <f>VLOOKUP($B87,'Análise Física Detalhada'!$E$13:$V$380,18,0)</f>
        <v>4445.9516307563999</v>
      </c>
      <c r="E87" s="367">
        <f>VLOOKUP($B87,'Análise Física Detalhada'!$E$13:$P$380,12,0)</f>
        <v>0</v>
      </c>
      <c r="F87" s="368">
        <f t="shared" si="17"/>
        <v>0</v>
      </c>
      <c r="G87" s="696">
        <f>SUMIF('[2]Despesas Diretas'!$B$5:$B$9944,$B87,'[2]Despesas Diretas'!$H$5:$H$9944)</f>
        <v>0</v>
      </c>
      <c r="H87" s="696">
        <f>SUMIF('[3]Despesas Diretas'!$B$5:$B$9999,$B87,'[3]Despesas Diretas'!$H$5:$H$9999)</f>
        <v>0</v>
      </c>
      <c r="I87" s="696">
        <f>SUMIF([4]Comprometimento!$B$6:$B$147,$B87,[4]Comprometimento!$E$6:$E$147)</f>
        <v>0</v>
      </c>
      <c r="J87" s="696">
        <f>SUMIF([4]Estoque!$B$6:$B$880,$B87,[4]Estoque!$H$6:$H$880)</f>
        <v>0</v>
      </c>
      <c r="K87" s="697">
        <f t="shared" si="18"/>
        <v>0</v>
      </c>
      <c r="L87" s="698">
        <f t="shared" si="15"/>
        <v>0</v>
      </c>
      <c r="M87" s="699">
        <f t="shared" si="19"/>
        <v>0</v>
      </c>
      <c r="N87" s="698">
        <v>0</v>
      </c>
      <c r="O87" s="699">
        <v>0</v>
      </c>
      <c r="P87" s="699">
        <f t="shared" si="20"/>
        <v>0</v>
      </c>
      <c r="Q87" s="698">
        <f t="shared" si="13"/>
        <v>1</v>
      </c>
      <c r="R87" s="700">
        <f t="shared" si="14"/>
        <v>4445.9516307563999</v>
      </c>
    </row>
    <row r="88" spans="1:18" s="130" customFormat="1" ht="21.95" customHeight="1" x14ac:dyDescent="0.2">
      <c r="A88" s="393" t="s">
        <v>108</v>
      </c>
      <c r="B88" s="959" t="s">
        <v>2045</v>
      </c>
      <c r="C88" s="959" t="s">
        <v>2046</v>
      </c>
      <c r="D88" s="366">
        <f>VLOOKUP($B88,'Análise Física Detalhada'!$E$13:$V$380,18,0)</f>
        <v>2701.0085177484007</v>
      </c>
      <c r="E88" s="367">
        <f>VLOOKUP($B88,'Análise Física Detalhada'!$E$13:$P$380,12,0)</f>
        <v>0</v>
      </c>
      <c r="F88" s="368">
        <f t="shared" si="17"/>
        <v>0</v>
      </c>
      <c r="G88" s="696">
        <f>SUMIF('[2]Despesas Diretas'!$B$5:$B$9944,$B88,'[2]Despesas Diretas'!$H$5:$H$9944)</f>
        <v>0</v>
      </c>
      <c r="H88" s="696">
        <f>SUMIF('[3]Despesas Diretas'!$B$5:$B$9999,$B88,'[3]Despesas Diretas'!$H$5:$H$9999)</f>
        <v>0</v>
      </c>
      <c r="I88" s="696">
        <f>SUMIF([4]Comprometimento!$B$6:$B$147,$B88,[4]Comprometimento!$E$6:$E$147)</f>
        <v>0</v>
      </c>
      <c r="J88" s="696">
        <f>SUMIF([4]Estoque!$B$6:$B$880,$B88,[4]Estoque!$H$6:$H$880)</f>
        <v>0</v>
      </c>
      <c r="K88" s="697">
        <f t="shared" si="18"/>
        <v>0</v>
      </c>
      <c r="L88" s="698">
        <f t="shared" si="15"/>
        <v>0</v>
      </c>
      <c r="M88" s="699">
        <f t="shared" si="19"/>
        <v>0</v>
      </c>
      <c r="N88" s="698">
        <v>0</v>
      </c>
      <c r="O88" s="699">
        <v>0</v>
      </c>
      <c r="P88" s="699">
        <f t="shared" si="20"/>
        <v>0</v>
      </c>
      <c r="Q88" s="698">
        <f t="shared" si="13"/>
        <v>1</v>
      </c>
      <c r="R88" s="700">
        <f t="shared" si="14"/>
        <v>2701.0085177484007</v>
      </c>
    </row>
    <row r="89" spans="1:18" s="130" customFormat="1" ht="21.95" customHeight="1" x14ac:dyDescent="0.2">
      <c r="A89" s="393" t="s">
        <v>108</v>
      </c>
      <c r="B89" s="959" t="s">
        <v>2047</v>
      </c>
      <c r="C89" s="959" t="s">
        <v>2048</v>
      </c>
      <c r="D89" s="366">
        <f>VLOOKUP($B89,'Análise Física Detalhada'!$E$13:$V$380,18,0)</f>
        <v>4546.4638941720004</v>
      </c>
      <c r="E89" s="367">
        <f>VLOOKUP($B89,'Análise Física Detalhada'!$E$13:$P$380,12,0)</f>
        <v>0</v>
      </c>
      <c r="F89" s="368">
        <f t="shared" si="17"/>
        <v>0</v>
      </c>
      <c r="G89" s="696">
        <f>SUMIF('[2]Despesas Diretas'!$B$5:$B$9944,$B89,'[2]Despesas Diretas'!$H$5:$H$9944)</f>
        <v>0</v>
      </c>
      <c r="H89" s="696">
        <f>SUMIF('[3]Despesas Diretas'!$B$5:$B$9999,$B89,'[3]Despesas Diretas'!$H$5:$H$9999)</f>
        <v>0</v>
      </c>
      <c r="I89" s="696">
        <f>SUMIF([4]Comprometimento!$B$6:$B$147,$B89,[4]Comprometimento!$E$6:$E$147)</f>
        <v>0</v>
      </c>
      <c r="J89" s="696">
        <f>SUMIF([4]Estoque!$B$6:$B$880,$B89,[4]Estoque!$H$6:$H$880)</f>
        <v>0</v>
      </c>
      <c r="K89" s="697">
        <f t="shared" si="18"/>
        <v>0</v>
      </c>
      <c r="L89" s="698">
        <f t="shared" si="15"/>
        <v>0</v>
      </c>
      <c r="M89" s="699">
        <f t="shared" si="19"/>
        <v>0</v>
      </c>
      <c r="N89" s="698">
        <v>0</v>
      </c>
      <c r="O89" s="699">
        <v>0</v>
      </c>
      <c r="P89" s="699">
        <f t="shared" si="20"/>
        <v>0</v>
      </c>
      <c r="Q89" s="698">
        <f t="shared" si="13"/>
        <v>1</v>
      </c>
      <c r="R89" s="700">
        <f t="shared" si="14"/>
        <v>4546.4638941720004</v>
      </c>
    </row>
    <row r="90" spans="1:18" s="130" customFormat="1" ht="21.95" customHeight="1" x14ac:dyDescent="0.2">
      <c r="A90" s="393" t="s">
        <v>108</v>
      </c>
      <c r="B90" s="967" t="s">
        <v>625</v>
      </c>
      <c r="C90" s="967" t="s">
        <v>626</v>
      </c>
      <c r="D90" s="366">
        <f>VLOOKUP($B90,'Análise Física Detalhada'!$E$13:$V$380,18,0)</f>
        <v>0</v>
      </c>
      <c r="E90" s="367">
        <f>VLOOKUP($B90,'Análise Física Detalhada'!$E$13:$P$380,12,0)</f>
        <v>0</v>
      </c>
      <c r="F90" s="368">
        <f t="shared" si="17"/>
        <v>0</v>
      </c>
      <c r="G90" s="696">
        <f>SUMIF('[2]Despesas Diretas'!$B$5:$B$9944,$B90,'[2]Despesas Diretas'!$H$5:$H$9944)</f>
        <v>0</v>
      </c>
      <c r="H90" s="696">
        <f>SUMIF('[3]Despesas Diretas'!$B$5:$B$9999,$B90,'[3]Despesas Diretas'!$H$5:$H$9999)</f>
        <v>0</v>
      </c>
      <c r="I90" s="696">
        <f>SUMIF([4]Comprometimento!$B$6:$B$147,$B90,[4]Comprometimento!$E$6:$E$147)</f>
        <v>0</v>
      </c>
      <c r="J90" s="696">
        <f>SUMIF([4]Estoque!$B$6:$B$880,$B90,[4]Estoque!$H$6:$H$880)</f>
        <v>0</v>
      </c>
      <c r="K90" s="697">
        <f t="shared" si="18"/>
        <v>0</v>
      </c>
      <c r="L90" s="698">
        <f t="shared" si="15"/>
        <v>0</v>
      </c>
      <c r="M90" s="699">
        <f t="shared" si="19"/>
        <v>0</v>
      </c>
      <c r="N90" s="698">
        <v>0</v>
      </c>
      <c r="O90" s="699">
        <v>0</v>
      </c>
      <c r="P90" s="699">
        <f t="shared" si="20"/>
        <v>0</v>
      </c>
      <c r="Q90" s="698">
        <f t="shared" si="13"/>
        <v>0</v>
      </c>
      <c r="R90" s="700">
        <f t="shared" si="14"/>
        <v>0</v>
      </c>
    </row>
    <row r="91" spans="1:18" s="155" customFormat="1" ht="21.95" customHeight="1" x14ac:dyDescent="0.2">
      <c r="A91" s="393" t="s">
        <v>108</v>
      </c>
      <c r="B91" s="959" t="s">
        <v>627</v>
      </c>
      <c r="C91" s="959" t="s">
        <v>109</v>
      </c>
      <c r="D91" s="366">
        <f>VLOOKUP($B91,'Análise Física Detalhada'!$E$13:$V$380,18,0)</f>
        <v>6514.4542885632009</v>
      </c>
      <c r="E91" s="367">
        <f>VLOOKUP($B91,'Análise Física Detalhada'!$E$13:$P$380,12,0)</f>
        <v>0</v>
      </c>
      <c r="F91" s="368">
        <f t="shared" si="17"/>
        <v>0</v>
      </c>
      <c r="G91" s="696">
        <f>SUMIF('[2]Despesas Diretas'!$B$5:$B$9944,$B91,'[2]Despesas Diretas'!$H$5:$H$9944)</f>
        <v>0</v>
      </c>
      <c r="H91" s="696">
        <f>SUMIF('[3]Despesas Diretas'!$B$5:$B$9999,$B91,'[3]Despesas Diretas'!$H$5:$H$9999)</f>
        <v>0</v>
      </c>
      <c r="I91" s="696">
        <f>SUMIF([4]Comprometimento!$B$6:$B$147,$B91,[4]Comprometimento!$E$6:$E$147)</f>
        <v>0</v>
      </c>
      <c r="J91" s="696">
        <f>SUMIF([4]Estoque!$B$6:$B$880,$B91,[4]Estoque!$H$6:$H$880)</f>
        <v>0</v>
      </c>
      <c r="K91" s="697">
        <f t="shared" si="18"/>
        <v>0</v>
      </c>
      <c r="L91" s="698">
        <f t="shared" si="15"/>
        <v>0</v>
      </c>
      <c r="M91" s="699">
        <f t="shared" si="19"/>
        <v>0</v>
      </c>
      <c r="N91" s="698">
        <v>0</v>
      </c>
      <c r="O91" s="699">
        <v>0</v>
      </c>
      <c r="P91" s="699">
        <f t="shared" si="20"/>
        <v>0</v>
      </c>
      <c r="Q91" s="698">
        <f t="shared" si="13"/>
        <v>1</v>
      </c>
      <c r="R91" s="700">
        <f t="shared" si="14"/>
        <v>6514.4542885632009</v>
      </c>
    </row>
    <row r="92" spans="1:18" s="177" customFormat="1" ht="21.95" customHeight="1" x14ac:dyDescent="0.2">
      <c r="A92" s="393" t="s">
        <v>108</v>
      </c>
      <c r="B92" s="959" t="s">
        <v>628</v>
      </c>
      <c r="C92" s="959" t="s">
        <v>1397</v>
      </c>
      <c r="D92" s="366">
        <f>VLOOKUP($B92,'Análise Física Detalhada'!$E$13:$V$380,18,0)</f>
        <v>6360.6551919372005</v>
      </c>
      <c r="E92" s="367">
        <f>VLOOKUP($B92,'Análise Física Detalhada'!$E$13:$P$380,12,0)</f>
        <v>0</v>
      </c>
      <c r="F92" s="368">
        <f t="shared" si="17"/>
        <v>0</v>
      </c>
      <c r="G92" s="696">
        <f>SUMIF('[2]Despesas Diretas'!$B$5:$B$9944,$B92,'[2]Despesas Diretas'!$H$5:$H$9944)</f>
        <v>0</v>
      </c>
      <c r="H92" s="696">
        <f>SUMIF('[3]Despesas Diretas'!$B$5:$B$9999,$B92,'[3]Despesas Diretas'!$H$5:$H$9999)</f>
        <v>0</v>
      </c>
      <c r="I92" s="696">
        <f>SUMIF([4]Comprometimento!$B$6:$B$147,$B92,[4]Comprometimento!$E$6:$E$147)</f>
        <v>0</v>
      </c>
      <c r="J92" s="696">
        <f>SUMIF([4]Estoque!$B$6:$B$880,$B92,[4]Estoque!$H$6:$H$880)</f>
        <v>0</v>
      </c>
      <c r="K92" s="697">
        <f t="shared" si="18"/>
        <v>0</v>
      </c>
      <c r="L92" s="698">
        <f t="shared" si="15"/>
        <v>0</v>
      </c>
      <c r="M92" s="699">
        <f t="shared" si="19"/>
        <v>0</v>
      </c>
      <c r="N92" s="698">
        <v>0</v>
      </c>
      <c r="O92" s="699">
        <v>0</v>
      </c>
      <c r="P92" s="699">
        <f t="shared" si="20"/>
        <v>0</v>
      </c>
      <c r="Q92" s="698">
        <f t="shared" si="13"/>
        <v>1</v>
      </c>
      <c r="R92" s="700">
        <f t="shared" si="14"/>
        <v>6360.6551919372005</v>
      </c>
    </row>
    <row r="93" spans="1:18" s="130" customFormat="1" ht="21.95" customHeight="1" x14ac:dyDescent="0.2">
      <c r="A93" s="393" t="s">
        <v>108</v>
      </c>
      <c r="B93" s="959" t="s">
        <v>629</v>
      </c>
      <c r="C93" s="959" t="s">
        <v>471</v>
      </c>
      <c r="D93" s="366">
        <f>VLOOKUP($B93,'Análise Física Detalhada'!$E$13:$V$380,18,0)</f>
        <v>13567.817730222003</v>
      </c>
      <c r="E93" s="367">
        <f>VLOOKUP($B93,'Análise Física Detalhada'!$E$13:$P$380,12,0)</f>
        <v>0</v>
      </c>
      <c r="F93" s="368">
        <f t="shared" si="17"/>
        <v>0</v>
      </c>
      <c r="G93" s="696">
        <f>SUMIF('[2]Despesas Diretas'!$B$5:$B$9944,$B93,'[2]Despesas Diretas'!$H$5:$H$9944)</f>
        <v>0</v>
      </c>
      <c r="H93" s="696">
        <f>SUMIF('[3]Despesas Diretas'!$B$5:$B$9999,$B93,'[3]Despesas Diretas'!$H$5:$H$9999)</f>
        <v>0</v>
      </c>
      <c r="I93" s="696">
        <f>SUMIF([4]Comprometimento!$B$6:$B$147,$B93,[4]Comprometimento!$E$6:$E$147)</f>
        <v>0</v>
      </c>
      <c r="J93" s="696">
        <f>SUMIF([4]Estoque!$B$6:$B$880,$B93,[4]Estoque!$H$6:$H$880)</f>
        <v>0</v>
      </c>
      <c r="K93" s="697">
        <f t="shared" si="18"/>
        <v>0</v>
      </c>
      <c r="L93" s="698">
        <f t="shared" si="15"/>
        <v>0</v>
      </c>
      <c r="M93" s="699">
        <f t="shared" si="19"/>
        <v>0</v>
      </c>
      <c r="N93" s="698">
        <v>0</v>
      </c>
      <c r="O93" s="699">
        <v>0</v>
      </c>
      <c r="P93" s="699">
        <f t="shared" si="20"/>
        <v>0</v>
      </c>
      <c r="Q93" s="698">
        <f t="shared" si="13"/>
        <v>1</v>
      </c>
      <c r="R93" s="700">
        <f t="shared" si="14"/>
        <v>13567.817730222003</v>
      </c>
    </row>
    <row r="94" spans="1:18" s="130" customFormat="1" ht="21.95" customHeight="1" x14ac:dyDescent="0.2">
      <c r="A94" s="393" t="s">
        <v>108</v>
      </c>
      <c r="B94" s="967" t="s">
        <v>1398</v>
      </c>
      <c r="C94" s="967" t="s">
        <v>1399</v>
      </c>
      <c r="D94" s="366">
        <f>VLOOKUP($B94,'Análise Física Detalhada'!$E$13:$V$380,18,0)</f>
        <v>0</v>
      </c>
      <c r="E94" s="367">
        <f>VLOOKUP($B94,'Análise Física Detalhada'!$E$13:$P$380,12,0)</f>
        <v>0</v>
      </c>
      <c r="F94" s="368">
        <f t="shared" si="17"/>
        <v>0</v>
      </c>
      <c r="G94" s="696">
        <f>SUMIF('[2]Despesas Diretas'!$B$5:$B$9944,$B94,'[2]Despesas Diretas'!$H$5:$H$9944)</f>
        <v>0</v>
      </c>
      <c r="H94" s="696">
        <f>SUMIF('[3]Despesas Diretas'!$B$5:$B$9999,$B94,'[3]Despesas Diretas'!$H$5:$H$9999)</f>
        <v>0</v>
      </c>
      <c r="I94" s="696">
        <f>SUMIF([4]Comprometimento!$B$6:$B$147,$B94,[4]Comprometimento!$E$6:$E$147)</f>
        <v>0</v>
      </c>
      <c r="J94" s="696">
        <f>SUMIF([4]Estoque!$B$6:$B$880,$B94,[4]Estoque!$H$6:$H$880)</f>
        <v>0</v>
      </c>
      <c r="K94" s="697">
        <f t="shared" si="18"/>
        <v>0</v>
      </c>
      <c r="L94" s="698">
        <f t="shared" si="15"/>
        <v>0</v>
      </c>
      <c r="M94" s="699">
        <f t="shared" si="19"/>
        <v>0</v>
      </c>
      <c r="N94" s="698">
        <v>0</v>
      </c>
      <c r="O94" s="699">
        <v>0</v>
      </c>
      <c r="P94" s="699">
        <f t="shared" si="20"/>
        <v>0</v>
      </c>
      <c r="Q94" s="698">
        <f t="shared" si="13"/>
        <v>0</v>
      </c>
      <c r="R94" s="700">
        <f t="shared" si="14"/>
        <v>0</v>
      </c>
    </row>
    <row r="95" spans="1:18" s="177" customFormat="1" ht="21.95" customHeight="1" x14ac:dyDescent="0.2">
      <c r="A95" s="393" t="s">
        <v>108</v>
      </c>
      <c r="B95" s="959" t="s">
        <v>1400</v>
      </c>
      <c r="C95" s="959" t="s">
        <v>1401</v>
      </c>
      <c r="D95" s="366">
        <f>VLOOKUP($B95,'Análise Física Detalhada'!$E$13:$V$380,18,0)</f>
        <v>1440.7409520000001</v>
      </c>
      <c r="E95" s="367">
        <f>VLOOKUP($B95,'Análise Física Detalhada'!$E$13:$P$380,12,0)</f>
        <v>0</v>
      </c>
      <c r="F95" s="368">
        <f t="shared" si="17"/>
        <v>0</v>
      </c>
      <c r="G95" s="696">
        <f>SUMIF('[2]Despesas Diretas'!$B$5:$B$9944,$B95,'[2]Despesas Diretas'!$H$5:$H$9944)</f>
        <v>0</v>
      </c>
      <c r="H95" s="696">
        <f>SUMIF('[3]Despesas Diretas'!$B$5:$B$9999,$B95,'[3]Despesas Diretas'!$H$5:$H$9999)</f>
        <v>0</v>
      </c>
      <c r="I95" s="696">
        <f>SUMIF([4]Comprometimento!$B$6:$B$147,$B95,[4]Comprometimento!$E$6:$E$147)</f>
        <v>0</v>
      </c>
      <c r="J95" s="696">
        <f>SUMIF([4]Estoque!$B$6:$B$880,$B95,[4]Estoque!$H$6:$H$880)</f>
        <v>0</v>
      </c>
      <c r="K95" s="697">
        <f t="shared" si="18"/>
        <v>0</v>
      </c>
      <c r="L95" s="698">
        <f t="shared" si="15"/>
        <v>0</v>
      </c>
      <c r="M95" s="699">
        <f t="shared" si="19"/>
        <v>0</v>
      </c>
      <c r="N95" s="698">
        <v>0</v>
      </c>
      <c r="O95" s="699">
        <v>0</v>
      </c>
      <c r="P95" s="699">
        <f t="shared" si="20"/>
        <v>0</v>
      </c>
      <c r="Q95" s="698">
        <f t="shared" si="13"/>
        <v>1</v>
      </c>
      <c r="R95" s="700">
        <f t="shared" si="14"/>
        <v>1440.7409520000001</v>
      </c>
    </row>
    <row r="96" spans="1:18" s="130" customFormat="1" ht="21.95" customHeight="1" x14ac:dyDescent="0.2">
      <c r="A96" s="393" t="s">
        <v>108</v>
      </c>
      <c r="B96" s="959" t="s">
        <v>1402</v>
      </c>
      <c r="C96" s="959" t="s">
        <v>1403</v>
      </c>
      <c r="D96" s="366">
        <f>VLOOKUP($B96,'Análise Física Detalhada'!$E$13:$V$380,18,0)</f>
        <v>6627.408379200001</v>
      </c>
      <c r="E96" s="367">
        <f>VLOOKUP($B96,'Análise Física Detalhada'!$E$13:$P$380,12,0)</f>
        <v>0</v>
      </c>
      <c r="F96" s="368">
        <f t="shared" si="17"/>
        <v>0</v>
      </c>
      <c r="G96" s="696">
        <f>SUMIF('[2]Despesas Diretas'!$B$5:$B$9944,$B96,'[2]Despesas Diretas'!$H$5:$H$9944)</f>
        <v>0</v>
      </c>
      <c r="H96" s="696">
        <f>SUMIF('[3]Despesas Diretas'!$B$5:$B$9999,$B96,'[3]Despesas Diretas'!$H$5:$H$9999)</f>
        <v>0</v>
      </c>
      <c r="I96" s="696">
        <f>SUMIF([4]Comprometimento!$B$6:$B$147,$B96,[4]Comprometimento!$E$6:$E$147)</f>
        <v>0</v>
      </c>
      <c r="J96" s="696">
        <f>SUMIF([4]Estoque!$B$6:$B$880,$B96,[4]Estoque!$H$6:$H$880)</f>
        <v>0</v>
      </c>
      <c r="K96" s="697">
        <f t="shared" si="18"/>
        <v>0</v>
      </c>
      <c r="L96" s="698">
        <f t="shared" si="15"/>
        <v>0</v>
      </c>
      <c r="M96" s="699">
        <f t="shared" si="19"/>
        <v>0</v>
      </c>
      <c r="N96" s="698">
        <v>0</v>
      </c>
      <c r="O96" s="699">
        <v>0</v>
      </c>
      <c r="P96" s="699">
        <f t="shared" si="20"/>
        <v>0</v>
      </c>
      <c r="Q96" s="698">
        <f t="shared" si="13"/>
        <v>1</v>
      </c>
      <c r="R96" s="700">
        <f t="shared" si="14"/>
        <v>6627.408379200001</v>
      </c>
    </row>
    <row r="97" spans="1:18" s="130" customFormat="1" ht="21.95" customHeight="1" x14ac:dyDescent="0.2">
      <c r="A97" s="393" t="s">
        <v>108</v>
      </c>
      <c r="B97" s="959" t="s">
        <v>2230</v>
      </c>
      <c r="C97" s="959" t="s">
        <v>2049</v>
      </c>
      <c r="D97" s="366">
        <f>VLOOKUP($B97,'Análise Física Detalhada'!$E$13:$V$380,18,0)</f>
        <v>11281.001654160002</v>
      </c>
      <c r="E97" s="367">
        <f>VLOOKUP($B97,'Análise Física Detalhada'!$E$13:$P$380,12,0)</f>
        <v>0</v>
      </c>
      <c r="F97" s="368">
        <f t="shared" si="17"/>
        <v>0</v>
      </c>
      <c r="G97" s="696">
        <f>SUMIF('[2]Despesas Diretas'!$B$5:$B$9944,$B97,'[2]Despesas Diretas'!$H$5:$H$9944)</f>
        <v>0</v>
      </c>
      <c r="H97" s="696">
        <f>SUMIF('[3]Despesas Diretas'!$B$5:$B$9999,$B97,'[3]Despesas Diretas'!$H$5:$H$9999)</f>
        <v>0</v>
      </c>
      <c r="I97" s="696">
        <f>SUMIF([4]Comprometimento!$B$6:$B$147,$B97,[4]Comprometimento!$E$6:$E$147)</f>
        <v>0</v>
      </c>
      <c r="J97" s="696">
        <f>SUMIF([4]Estoque!$B$6:$B$880,$B97,[4]Estoque!$H$6:$H$880)</f>
        <v>0</v>
      </c>
      <c r="K97" s="697">
        <f t="shared" si="18"/>
        <v>0</v>
      </c>
      <c r="L97" s="698">
        <f t="shared" si="15"/>
        <v>0</v>
      </c>
      <c r="M97" s="699">
        <f t="shared" si="19"/>
        <v>0</v>
      </c>
      <c r="N97" s="698">
        <v>0</v>
      </c>
      <c r="O97" s="699">
        <v>0</v>
      </c>
      <c r="P97" s="699">
        <f t="shared" si="20"/>
        <v>0</v>
      </c>
      <c r="Q97" s="698">
        <f t="shared" si="13"/>
        <v>1</v>
      </c>
      <c r="R97" s="700">
        <f t="shared" si="14"/>
        <v>11281.001654160002</v>
      </c>
    </row>
    <row r="98" spans="1:18" s="130" customFormat="1" ht="21.95" customHeight="1" x14ac:dyDescent="0.2">
      <c r="A98" s="393" t="s">
        <v>108</v>
      </c>
      <c r="B98" s="959" t="s">
        <v>2231</v>
      </c>
      <c r="C98" s="959" t="s">
        <v>2232</v>
      </c>
      <c r="D98" s="366">
        <f>VLOOKUP($B98,'Análise Física Detalhada'!$E$13:$V$380,18,0)</f>
        <v>20268.1378926</v>
      </c>
      <c r="E98" s="367">
        <f>VLOOKUP($B98,'Análise Física Detalhada'!$E$13:$P$380,12,0)</f>
        <v>0</v>
      </c>
      <c r="F98" s="368">
        <f t="shared" si="17"/>
        <v>0</v>
      </c>
      <c r="G98" s="696">
        <f>SUMIF('[2]Despesas Diretas'!$B$5:$B$9944,$B98,'[2]Despesas Diretas'!$H$5:$H$9944)</f>
        <v>0</v>
      </c>
      <c r="H98" s="696">
        <f>SUMIF('[3]Despesas Diretas'!$B$5:$B$9999,$B98,'[3]Despesas Diretas'!$H$5:$H$9999)</f>
        <v>0</v>
      </c>
      <c r="I98" s="696">
        <f>SUMIF([4]Comprometimento!$B$6:$B$147,$B98,[4]Comprometimento!$E$6:$E$147)</f>
        <v>0</v>
      </c>
      <c r="J98" s="696">
        <f>SUMIF([4]Estoque!$B$6:$B$880,$B98,[4]Estoque!$H$6:$H$880)</f>
        <v>0</v>
      </c>
      <c r="K98" s="697">
        <f t="shared" si="18"/>
        <v>0</v>
      </c>
      <c r="L98" s="698">
        <f t="shared" si="15"/>
        <v>0</v>
      </c>
      <c r="M98" s="699">
        <f t="shared" si="19"/>
        <v>0</v>
      </c>
      <c r="N98" s="698">
        <v>0</v>
      </c>
      <c r="O98" s="699">
        <v>0</v>
      </c>
      <c r="P98" s="699">
        <f t="shared" si="20"/>
        <v>0</v>
      </c>
      <c r="Q98" s="698">
        <f t="shared" si="13"/>
        <v>1</v>
      </c>
      <c r="R98" s="700">
        <f t="shared" si="14"/>
        <v>20268.1378926</v>
      </c>
    </row>
    <row r="99" spans="1:18" s="177" customFormat="1" ht="21.95" customHeight="1" x14ac:dyDescent="0.2">
      <c r="A99" s="393" t="s">
        <v>110</v>
      </c>
      <c r="B99" s="161" t="s">
        <v>110</v>
      </c>
      <c r="C99" s="161" t="s">
        <v>630</v>
      </c>
      <c r="D99" s="163">
        <f>VLOOKUP($B99,'Análise Física Detalhada'!$E$13:$V$380,18,0)</f>
        <v>85144.774998207606</v>
      </c>
      <c r="E99" s="530">
        <f>F99/D99</f>
        <v>0</v>
      </c>
      <c r="F99" s="1001">
        <f>SUM(F100:F105)</f>
        <v>0</v>
      </c>
      <c r="G99" s="1000">
        <f>SUM(G100:G105)</f>
        <v>0</v>
      </c>
      <c r="H99" s="1000">
        <f t="shared" ref="H99:K99" si="22">SUM(H100:H105)</f>
        <v>0</v>
      </c>
      <c r="I99" s="1000">
        <f t="shared" si="22"/>
        <v>0</v>
      </c>
      <c r="J99" s="1000">
        <f t="shared" si="22"/>
        <v>0</v>
      </c>
      <c r="K99" s="1000">
        <f t="shared" si="22"/>
        <v>0</v>
      </c>
      <c r="L99" s="537">
        <f>IF($F99=0,0,$K99/$F99)</f>
        <v>0</v>
      </c>
      <c r="M99" s="163">
        <f>IF($L99=0,0,$K99-$F99)</f>
        <v>0</v>
      </c>
      <c r="N99" s="537">
        <v>0</v>
      </c>
      <c r="O99" s="163">
        <v>0</v>
      </c>
      <c r="P99" s="163">
        <f>$M99-$O99</f>
        <v>0</v>
      </c>
      <c r="Q99" s="537">
        <f t="shared" si="13"/>
        <v>1</v>
      </c>
      <c r="R99" s="163">
        <f t="shared" si="14"/>
        <v>85144.774998207606</v>
      </c>
    </row>
    <row r="100" spans="1:18" s="130" customFormat="1" ht="21.95" customHeight="1" x14ac:dyDescent="0.2">
      <c r="A100" s="393" t="s">
        <v>110</v>
      </c>
      <c r="B100" s="959" t="s">
        <v>631</v>
      </c>
      <c r="C100" s="959" t="s">
        <v>483</v>
      </c>
      <c r="D100" s="366">
        <f>VLOOKUP($B100,'Análise Física Detalhada'!$E$13:$V$380,18,0)</f>
        <v>55523.789358515998</v>
      </c>
      <c r="E100" s="367">
        <f>VLOOKUP($B100,'Análise Física Detalhada'!$E$13:$P$380,12,0)</f>
        <v>0</v>
      </c>
      <c r="F100" s="368">
        <f t="shared" si="17"/>
        <v>0</v>
      </c>
      <c r="G100" s="696">
        <f>SUMIF('[2]Despesas Diretas'!$B$5:$B$9944,$B100,'[2]Despesas Diretas'!$H$5:$H$9944)</f>
        <v>0</v>
      </c>
      <c r="H100" s="696">
        <f>SUMIF('[3]Despesas Diretas'!$B$5:$B$9999,$B100,'[3]Despesas Diretas'!$H$5:$H$9999)</f>
        <v>0</v>
      </c>
      <c r="I100" s="696">
        <f>SUMIF([4]Comprometimento!$B$6:$B$147,$B100,[4]Comprometimento!$E$6:$E$147)</f>
        <v>0</v>
      </c>
      <c r="J100" s="696">
        <f>SUMIF([4]Estoque!$B$6:$B$880,$B100,[4]Estoque!$H$6:$H$880)</f>
        <v>0</v>
      </c>
      <c r="K100" s="697">
        <f t="shared" si="18"/>
        <v>0</v>
      </c>
      <c r="L100" s="698">
        <f t="shared" si="15"/>
        <v>0</v>
      </c>
      <c r="M100" s="699">
        <f t="shared" si="19"/>
        <v>0</v>
      </c>
      <c r="N100" s="698">
        <v>0</v>
      </c>
      <c r="O100" s="699">
        <v>0</v>
      </c>
      <c r="P100" s="699">
        <f t="shared" si="20"/>
        <v>0</v>
      </c>
      <c r="Q100" s="698">
        <f t="shared" si="13"/>
        <v>1</v>
      </c>
      <c r="R100" s="700">
        <f t="shared" si="14"/>
        <v>55523.789358515998</v>
      </c>
    </row>
    <row r="101" spans="1:18" s="130" customFormat="1" ht="21.95" customHeight="1" x14ac:dyDescent="0.2">
      <c r="A101" s="393" t="s">
        <v>110</v>
      </c>
      <c r="B101" s="959" t="s">
        <v>632</v>
      </c>
      <c r="C101" s="959" t="s">
        <v>486</v>
      </c>
      <c r="D101" s="366">
        <f>VLOOKUP($B101,'Análise Física Detalhada'!$E$13:$V$380,18,0)</f>
        <v>4606.8309400608014</v>
      </c>
      <c r="E101" s="367">
        <f>VLOOKUP($B101,'Análise Física Detalhada'!$E$13:$P$380,12,0)</f>
        <v>0</v>
      </c>
      <c r="F101" s="368">
        <f t="shared" si="17"/>
        <v>0</v>
      </c>
      <c r="G101" s="696">
        <f>SUMIF('[2]Despesas Diretas'!$B$5:$B$9944,$B101,'[2]Despesas Diretas'!$H$5:$H$9944)</f>
        <v>0</v>
      </c>
      <c r="H101" s="696">
        <f>SUMIF('[3]Despesas Diretas'!$B$5:$B$9999,$B101,'[3]Despesas Diretas'!$H$5:$H$9999)</f>
        <v>0</v>
      </c>
      <c r="I101" s="696">
        <f>SUMIF([4]Comprometimento!$B$6:$B$147,$B101,[4]Comprometimento!$E$6:$E$147)</f>
        <v>0</v>
      </c>
      <c r="J101" s="696">
        <f>SUMIF([4]Estoque!$B$6:$B$880,$B101,[4]Estoque!$H$6:$H$880)</f>
        <v>0</v>
      </c>
      <c r="K101" s="697">
        <f t="shared" si="18"/>
        <v>0</v>
      </c>
      <c r="L101" s="698">
        <f t="shared" si="15"/>
        <v>0</v>
      </c>
      <c r="M101" s="699">
        <f t="shared" si="19"/>
        <v>0</v>
      </c>
      <c r="N101" s="698">
        <v>0</v>
      </c>
      <c r="O101" s="699">
        <v>0</v>
      </c>
      <c r="P101" s="699">
        <f t="shared" si="20"/>
        <v>0</v>
      </c>
      <c r="Q101" s="698">
        <f t="shared" si="13"/>
        <v>1</v>
      </c>
      <c r="R101" s="700">
        <f t="shared" si="14"/>
        <v>4606.8309400608014</v>
      </c>
    </row>
    <row r="102" spans="1:18" s="130" customFormat="1" ht="21.95" customHeight="1" x14ac:dyDescent="0.2">
      <c r="A102" s="393" t="s">
        <v>110</v>
      </c>
      <c r="B102" s="959" t="s">
        <v>633</v>
      </c>
      <c r="C102" s="959" t="s">
        <v>1406</v>
      </c>
      <c r="D102" s="366">
        <f>VLOOKUP($B102,'Análise Física Detalhada'!$E$13:$V$380,18,0)</f>
        <v>2355.0557421528001</v>
      </c>
      <c r="E102" s="367">
        <f>VLOOKUP($B102,'Análise Física Detalhada'!$E$13:$P$380,12,0)</f>
        <v>0</v>
      </c>
      <c r="F102" s="368">
        <f t="shared" si="17"/>
        <v>0</v>
      </c>
      <c r="G102" s="696">
        <f>SUMIF('[2]Despesas Diretas'!$B$5:$B$9944,$B102,'[2]Despesas Diretas'!$H$5:$H$9944)</f>
        <v>0</v>
      </c>
      <c r="H102" s="696">
        <f>SUMIF('[3]Despesas Diretas'!$B$5:$B$9999,$B102,'[3]Despesas Diretas'!$H$5:$H$9999)</f>
        <v>0</v>
      </c>
      <c r="I102" s="696">
        <f>SUMIF([4]Comprometimento!$B$6:$B$147,$B102,[4]Comprometimento!$E$6:$E$147)</f>
        <v>0</v>
      </c>
      <c r="J102" s="696">
        <f>SUMIF([4]Estoque!$B$6:$B$880,$B102,[4]Estoque!$H$6:$H$880)</f>
        <v>0</v>
      </c>
      <c r="K102" s="697">
        <f t="shared" si="18"/>
        <v>0</v>
      </c>
      <c r="L102" s="698">
        <f t="shared" si="15"/>
        <v>0</v>
      </c>
      <c r="M102" s="699">
        <f t="shared" si="19"/>
        <v>0</v>
      </c>
      <c r="N102" s="698">
        <v>0</v>
      </c>
      <c r="O102" s="699">
        <v>0</v>
      </c>
      <c r="P102" s="699">
        <f t="shared" si="20"/>
        <v>0</v>
      </c>
      <c r="Q102" s="698">
        <f t="shared" si="13"/>
        <v>1</v>
      </c>
      <c r="R102" s="700">
        <f t="shared" si="14"/>
        <v>2355.0557421528001</v>
      </c>
    </row>
    <row r="103" spans="1:18" s="155" customFormat="1" ht="21.95" customHeight="1" x14ac:dyDescent="0.2">
      <c r="A103" s="393" t="s">
        <v>110</v>
      </c>
      <c r="B103" s="959" t="s">
        <v>634</v>
      </c>
      <c r="C103" s="959" t="s">
        <v>111</v>
      </c>
      <c r="D103" s="366">
        <f>VLOOKUP($B103,'Análise Física Detalhada'!$E$13:$V$380,18,0)</f>
        <v>348.56669132280001</v>
      </c>
      <c r="E103" s="367">
        <f>VLOOKUP($B103,'Análise Física Detalhada'!$E$13:$P$380,12,0)</f>
        <v>0</v>
      </c>
      <c r="F103" s="368">
        <f t="shared" si="17"/>
        <v>0</v>
      </c>
      <c r="G103" s="696">
        <f>SUMIF('[2]Despesas Diretas'!$B$5:$B$9944,$B103,'[2]Despesas Diretas'!$H$5:$H$9944)</f>
        <v>0</v>
      </c>
      <c r="H103" s="696">
        <f>SUMIF('[3]Despesas Diretas'!$B$5:$B$9999,$B103,'[3]Despesas Diretas'!$H$5:$H$9999)</f>
        <v>0</v>
      </c>
      <c r="I103" s="696">
        <f>SUMIF([4]Comprometimento!$B$6:$B$147,$B103,[4]Comprometimento!$E$6:$E$147)</f>
        <v>0</v>
      </c>
      <c r="J103" s="696">
        <f>SUMIF([4]Estoque!$B$6:$B$880,$B103,[4]Estoque!$H$6:$H$880)</f>
        <v>0</v>
      </c>
      <c r="K103" s="697">
        <f t="shared" si="18"/>
        <v>0</v>
      </c>
      <c r="L103" s="698">
        <f t="shared" si="15"/>
        <v>0</v>
      </c>
      <c r="M103" s="699">
        <f t="shared" si="19"/>
        <v>0</v>
      </c>
      <c r="N103" s="698">
        <v>0</v>
      </c>
      <c r="O103" s="699">
        <v>0</v>
      </c>
      <c r="P103" s="699">
        <f t="shared" si="20"/>
        <v>0</v>
      </c>
      <c r="Q103" s="698">
        <f t="shared" si="13"/>
        <v>1</v>
      </c>
      <c r="R103" s="700">
        <f t="shared" si="14"/>
        <v>348.56669132280001</v>
      </c>
    </row>
    <row r="104" spans="1:18" s="177" customFormat="1" ht="21.95" customHeight="1" x14ac:dyDescent="0.2">
      <c r="A104" s="393" t="s">
        <v>110</v>
      </c>
      <c r="B104" s="959" t="s">
        <v>635</v>
      </c>
      <c r="C104" s="959" t="s">
        <v>484</v>
      </c>
      <c r="D104" s="366">
        <f>VLOOKUP($B104,'Análise Física Detalhada'!$E$13:$V$380,18,0)</f>
        <v>17951.642552926802</v>
      </c>
      <c r="E104" s="367">
        <f>VLOOKUP($B104,'Análise Física Detalhada'!$E$13:$P$380,12,0)</f>
        <v>0</v>
      </c>
      <c r="F104" s="368">
        <f t="shared" si="17"/>
        <v>0</v>
      </c>
      <c r="G104" s="696">
        <f>SUMIF('[2]Despesas Diretas'!$B$5:$B$9944,$B104,'[2]Despesas Diretas'!$H$5:$H$9944)</f>
        <v>0</v>
      </c>
      <c r="H104" s="696">
        <f>SUMIF('[3]Despesas Diretas'!$B$5:$B$9999,$B104,'[3]Despesas Diretas'!$H$5:$H$9999)</f>
        <v>0</v>
      </c>
      <c r="I104" s="696">
        <f>SUMIF([4]Comprometimento!$B$6:$B$147,$B104,[4]Comprometimento!$E$6:$E$147)</f>
        <v>0</v>
      </c>
      <c r="J104" s="696">
        <f>SUMIF([4]Estoque!$B$6:$B$880,$B104,[4]Estoque!$H$6:$H$880)</f>
        <v>0</v>
      </c>
      <c r="K104" s="697">
        <f t="shared" si="18"/>
        <v>0</v>
      </c>
      <c r="L104" s="698">
        <f t="shared" si="15"/>
        <v>0</v>
      </c>
      <c r="M104" s="699">
        <f t="shared" si="19"/>
        <v>0</v>
      </c>
      <c r="N104" s="698">
        <v>0</v>
      </c>
      <c r="O104" s="699">
        <v>0</v>
      </c>
      <c r="P104" s="699">
        <f t="shared" si="20"/>
        <v>0</v>
      </c>
      <c r="Q104" s="698">
        <f t="shared" si="13"/>
        <v>1</v>
      </c>
      <c r="R104" s="700">
        <f t="shared" si="14"/>
        <v>17951.642552926802</v>
      </c>
    </row>
    <row r="105" spans="1:18" s="130" customFormat="1" ht="21.95" customHeight="1" x14ac:dyDescent="0.2">
      <c r="A105" s="393" t="s">
        <v>110</v>
      </c>
      <c r="B105" s="959" t="s">
        <v>1407</v>
      </c>
      <c r="C105" s="959" t="s">
        <v>1408</v>
      </c>
      <c r="D105" s="366">
        <f>VLOOKUP($B105,'Análise Física Detalhada'!$E$13:$V$380,18,0)</f>
        <v>4358.889713228401</v>
      </c>
      <c r="E105" s="367">
        <f>VLOOKUP($B105,'Análise Física Detalhada'!$E$13:$P$380,12,0)</f>
        <v>0</v>
      </c>
      <c r="F105" s="368">
        <f t="shared" si="17"/>
        <v>0</v>
      </c>
      <c r="G105" s="696">
        <f>SUMIF('[2]Despesas Diretas'!$B$5:$B$9944,$B105,'[2]Despesas Diretas'!$H$5:$H$9944)</f>
        <v>0</v>
      </c>
      <c r="H105" s="696">
        <f>SUMIF('[3]Despesas Diretas'!$B$5:$B$9999,$B105,'[3]Despesas Diretas'!$H$5:$H$9999)</f>
        <v>0</v>
      </c>
      <c r="I105" s="696">
        <f>SUMIF([4]Comprometimento!$B$6:$B$147,$B105,[4]Comprometimento!$E$6:$E$147)</f>
        <v>0</v>
      </c>
      <c r="J105" s="696">
        <f>SUMIF([4]Estoque!$B$6:$B$880,$B105,[4]Estoque!$H$6:$H$880)</f>
        <v>0</v>
      </c>
      <c r="K105" s="697">
        <f t="shared" si="18"/>
        <v>0</v>
      </c>
      <c r="L105" s="698">
        <f t="shared" si="15"/>
        <v>0</v>
      </c>
      <c r="M105" s="699">
        <f t="shared" si="19"/>
        <v>0</v>
      </c>
      <c r="N105" s="698">
        <v>0</v>
      </c>
      <c r="O105" s="699">
        <v>0</v>
      </c>
      <c r="P105" s="699">
        <f t="shared" si="20"/>
        <v>0</v>
      </c>
      <c r="Q105" s="698">
        <f t="shared" si="13"/>
        <v>1</v>
      </c>
      <c r="R105" s="700">
        <f t="shared" si="14"/>
        <v>4358.889713228401</v>
      </c>
    </row>
    <row r="106" spans="1:18" s="130" customFormat="1" ht="21.95" customHeight="1" x14ac:dyDescent="0.2">
      <c r="A106" s="393" t="s">
        <v>112</v>
      </c>
      <c r="B106" s="161" t="s">
        <v>112</v>
      </c>
      <c r="C106" s="161" t="s">
        <v>636</v>
      </c>
      <c r="D106" s="163">
        <f>VLOOKUP($B106,'Análise Física Detalhada'!$E$13:$V$380,18,0)</f>
        <v>354784.94985364575</v>
      </c>
      <c r="E106" s="530">
        <f>F106/D106</f>
        <v>0</v>
      </c>
      <c r="F106" s="1001">
        <f>SUM(F107:F174)</f>
        <v>0</v>
      </c>
      <c r="G106" s="1000">
        <f>SUM(G107:G174)</f>
        <v>0</v>
      </c>
      <c r="H106" s="1000">
        <f t="shared" ref="H106:K106" si="23">SUM(H107:H174)</f>
        <v>0</v>
      </c>
      <c r="I106" s="1000">
        <f t="shared" si="23"/>
        <v>0</v>
      </c>
      <c r="J106" s="1000">
        <f t="shared" si="23"/>
        <v>0</v>
      </c>
      <c r="K106" s="1000">
        <f t="shared" si="23"/>
        <v>0</v>
      </c>
      <c r="L106" s="537">
        <f>IF($F106=0,0,$K106/$F106)</f>
        <v>0</v>
      </c>
      <c r="M106" s="163">
        <f>IF($L106=0,0,$K106-$F106)</f>
        <v>0</v>
      </c>
      <c r="N106" s="537">
        <v>0</v>
      </c>
      <c r="O106" s="163">
        <v>0</v>
      </c>
      <c r="P106" s="163">
        <f>$M106-$O106</f>
        <v>0</v>
      </c>
      <c r="Q106" s="537">
        <f t="shared" si="13"/>
        <v>1</v>
      </c>
      <c r="R106" s="163">
        <f t="shared" si="14"/>
        <v>354784.94985364575</v>
      </c>
    </row>
    <row r="107" spans="1:18" s="130" customFormat="1" ht="21.95" customHeight="1" x14ac:dyDescent="0.2">
      <c r="A107" s="393" t="s">
        <v>112</v>
      </c>
      <c r="B107" s="967" t="s">
        <v>113</v>
      </c>
      <c r="C107" s="967" t="s">
        <v>2050</v>
      </c>
      <c r="D107" s="366">
        <f>VLOOKUP($B107,'Análise Física Detalhada'!$E$13:$V$380,18,0)</f>
        <v>0</v>
      </c>
      <c r="E107" s="367">
        <f>VLOOKUP($B107,'Análise Física Detalhada'!$E$13:$P$380,12,0)</f>
        <v>0</v>
      </c>
      <c r="F107" s="368">
        <f t="shared" si="17"/>
        <v>0</v>
      </c>
      <c r="G107" s="696">
        <f>SUMIF('[2]Despesas Diretas'!$B$5:$B$9944,$B107,'[2]Despesas Diretas'!$H$5:$H$9944)</f>
        <v>0</v>
      </c>
      <c r="H107" s="696">
        <f>SUMIF('[3]Despesas Diretas'!$B$5:$B$9999,$B107,'[3]Despesas Diretas'!$H$5:$H$9999)</f>
        <v>0</v>
      </c>
      <c r="I107" s="696">
        <f>SUMIF([4]Comprometimento!$B$6:$B$147,$B107,[4]Comprometimento!$E$6:$E$147)</f>
        <v>0</v>
      </c>
      <c r="J107" s="696">
        <f>SUMIF([4]Estoque!$B$6:$B$880,$B107,[4]Estoque!$H$6:$H$880)</f>
        <v>0</v>
      </c>
      <c r="K107" s="697">
        <f t="shared" si="18"/>
        <v>0</v>
      </c>
      <c r="L107" s="698">
        <f t="shared" si="15"/>
        <v>0</v>
      </c>
      <c r="M107" s="699">
        <f t="shared" si="19"/>
        <v>0</v>
      </c>
      <c r="N107" s="698">
        <v>0</v>
      </c>
      <c r="O107" s="699">
        <v>0</v>
      </c>
      <c r="P107" s="699">
        <f t="shared" si="20"/>
        <v>0</v>
      </c>
      <c r="Q107" s="698">
        <f t="shared" si="13"/>
        <v>0</v>
      </c>
      <c r="R107" s="700">
        <f t="shared" si="14"/>
        <v>0</v>
      </c>
    </row>
    <row r="108" spans="1:18" s="177" customFormat="1" ht="21.95" customHeight="1" x14ac:dyDescent="0.2">
      <c r="A108" s="393" t="s">
        <v>112</v>
      </c>
      <c r="B108" s="959" t="s">
        <v>2051</v>
      </c>
      <c r="C108" s="959" t="s">
        <v>464</v>
      </c>
      <c r="D108" s="366">
        <f>VLOOKUP($B108,'Análise Física Detalhada'!$E$13:$V$380,18,0)</f>
        <v>1248.0521406768003</v>
      </c>
      <c r="E108" s="367">
        <f>VLOOKUP($B108,'Análise Física Detalhada'!$E$13:$P$380,12,0)</f>
        <v>0</v>
      </c>
      <c r="F108" s="368">
        <f t="shared" si="17"/>
        <v>0</v>
      </c>
      <c r="G108" s="696">
        <f>SUMIF('[2]Despesas Diretas'!$B$5:$B$9944,$B108,'[2]Despesas Diretas'!$H$5:$H$9944)</f>
        <v>0</v>
      </c>
      <c r="H108" s="696">
        <f>SUMIF('[3]Despesas Diretas'!$B$5:$B$9999,$B108,'[3]Despesas Diretas'!$H$5:$H$9999)</f>
        <v>0</v>
      </c>
      <c r="I108" s="696">
        <f>SUMIF([4]Comprometimento!$B$6:$B$147,$B108,[4]Comprometimento!$E$6:$E$147)</f>
        <v>0</v>
      </c>
      <c r="J108" s="696">
        <f>SUMIF([4]Estoque!$B$6:$B$880,$B108,[4]Estoque!$H$6:$H$880)</f>
        <v>0</v>
      </c>
      <c r="K108" s="697">
        <f t="shared" si="18"/>
        <v>0</v>
      </c>
      <c r="L108" s="698">
        <f t="shared" si="15"/>
        <v>0</v>
      </c>
      <c r="M108" s="699">
        <f t="shared" si="19"/>
        <v>0</v>
      </c>
      <c r="N108" s="698">
        <v>0</v>
      </c>
      <c r="O108" s="699">
        <v>0</v>
      </c>
      <c r="P108" s="699">
        <f t="shared" si="20"/>
        <v>0</v>
      </c>
      <c r="Q108" s="698">
        <f t="shared" si="13"/>
        <v>1</v>
      </c>
      <c r="R108" s="700">
        <f t="shared" si="14"/>
        <v>1248.0521406768003</v>
      </c>
    </row>
    <row r="109" spans="1:18" s="130" customFormat="1" ht="21.95" customHeight="1" x14ac:dyDescent="0.2">
      <c r="A109" s="393" t="s">
        <v>112</v>
      </c>
      <c r="B109" s="959" t="s">
        <v>2052</v>
      </c>
      <c r="C109" s="959" t="s">
        <v>114</v>
      </c>
      <c r="D109" s="366">
        <f>VLOOKUP($B109,'Análise Física Detalhada'!$E$13:$V$380,18,0)</f>
        <v>744.29706681000016</v>
      </c>
      <c r="E109" s="367">
        <f>VLOOKUP($B109,'Análise Física Detalhada'!$E$13:$P$380,12,0)</f>
        <v>0</v>
      </c>
      <c r="F109" s="368">
        <f t="shared" si="17"/>
        <v>0</v>
      </c>
      <c r="G109" s="696">
        <f>SUMIF('[2]Despesas Diretas'!$B$5:$B$9944,$B109,'[2]Despesas Diretas'!$H$5:$H$9944)</f>
        <v>0</v>
      </c>
      <c r="H109" s="696">
        <f>SUMIF('[3]Despesas Diretas'!$B$5:$B$9999,$B109,'[3]Despesas Diretas'!$H$5:$H$9999)</f>
        <v>0</v>
      </c>
      <c r="I109" s="696">
        <f>SUMIF([4]Comprometimento!$B$6:$B$147,$B109,[4]Comprometimento!$E$6:$E$147)</f>
        <v>0</v>
      </c>
      <c r="J109" s="696">
        <f>SUMIF([4]Estoque!$B$6:$B$880,$B109,[4]Estoque!$H$6:$H$880)</f>
        <v>0</v>
      </c>
      <c r="K109" s="697">
        <f t="shared" si="18"/>
        <v>0</v>
      </c>
      <c r="L109" s="698">
        <f t="shared" si="15"/>
        <v>0</v>
      </c>
      <c r="M109" s="699">
        <f t="shared" si="19"/>
        <v>0</v>
      </c>
      <c r="N109" s="698">
        <v>0</v>
      </c>
      <c r="O109" s="699">
        <v>0</v>
      </c>
      <c r="P109" s="699">
        <f t="shared" si="20"/>
        <v>0</v>
      </c>
      <c r="Q109" s="698">
        <f t="shared" si="13"/>
        <v>1</v>
      </c>
      <c r="R109" s="700">
        <f t="shared" si="14"/>
        <v>744.29706681000016</v>
      </c>
    </row>
    <row r="110" spans="1:18" s="130" customFormat="1" ht="21.95" customHeight="1" x14ac:dyDescent="0.2">
      <c r="A110" s="393" t="s">
        <v>112</v>
      </c>
      <c r="B110" s="959" t="s">
        <v>2053</v>
      </c>
      <c r="C110" s="959" t="s">
        <v>2233</v>
      </c>
      <c r="D110" s="366">
        <f>VLOOKUP($B110,'Análise Física Detalhada'!$E$13:$V$380,18,0)</f>
        <v>3735.8721615564004</v>
      </c>
      <c r="E110" s="367">
        <f>VLOOKUP($B110,'Análise Física Detalhada'!$E$13:$P$380,12,0)</f>
        <v>0</v>
      </c>
      <c r="F110" s="368">
        <f t="shared" si="17"/>
        <v>0</v>
      </c>
      <c r="G110" s="696">
        <f>SUMIF('[2]Despesas Diretas'!$B$5:$B$9944,$B110,'[2]Despesas Diretas'!$H$5:$H$9944)</f>
        <v>0</v>
      </c>
      <c r="H110" s="696">
        <f>SUMIF('[3]Despesas Diretas'!$B$5:$B$9999,$B110,'[3]Despesas Diretas'!$H$5:$H$9999)</f>
        <v>0</v>
      </c>
      <c r="I110" s="696">
        <f>SUMIF([4]Comprometimento!$B$6:$B$147,$B110,[4]Comprometimento!$E$6:$E$147)</f>
        <v>0</v>
      </c>
      <c r="J110" s="696">
        <f>SUMIF([4]Estoque!$B$6:$B$880,$B110,[4]Estoque!$H$6:$H$880)</f>
        <v>0</v>
      </c>
      <c r="K110" s="697">
        <f t="shared" si="18"/>
        <v>0</v>
      </c>
      <c r="L110" s="698">
        <f t="shared" si="15"/>
        <v>0</v>
      </c>
      <c r="M110" s="699">
        <f t="shared" si="19"/>
        <v>0</v>
      </c>
      <c r="N110" s="698">
        <v>0</v>
      </c>
      <c r="O110" s="699">
        <v>0</v>
      </c>
      <c r="P110" s="699">
        <f t="shared" si="20"/>
        <v>0</v>
      </c>
      <c r="Q110" s="698">
        <f t="shared" si="13"/>
        <v>1</v>
      </c>
      <c r="R110" s="700">
        <f t="shared" si="14"/>
        <v>3735.8721615564004</v>
      </c>
    </row>
    <row r="111" spans="1:18" s="130" customFormat="1" ht="21.95" customHeight="1" x14ac:dyDescent="0.2">
      <c r="A111" s="393" t="s">
        <v>112</v>
      </c>
      <c r="B111" s="959" t="s">
        <v>2054</v>
      </c>
      <c r="C111" s="959" t="s">
        <v>2234</v>
      </c>
      <c r="D111" s="366">
        <f>VLOOKUP($B111,'Análise Física Detalhada'!$E$13:$V$380,18,0)</f>
        <v>44246.471884790401</v>
      </c>
      <c r="E111" s="367">
        <f>VLOOKUP($B111,'Análise Física Detalhada'!$E$13:$P$380,12,0)</f>
        <v>0</v>
      </c>
      <c r="F111" s="368">
        <f t="shared" si="17"/>
        <v>0</v>
      </c>
      <c r="G111" s="696">
        <f>SUMIF('[2]Despesas Diretas'!$B$5:$B$9944,$B111,'[2]Despesas Diretas'!$H$5:$H$9944)</f>
        <v>0</v>
      </c>
      <c r="H111" s="696">
        <f>SUMIF('[3]Despesas Diretas'!$B$5:$B$9999,$B111,'[3]Despesas Diretas'!$H$5:$H$9999)</f>
        <v>0</v>
      </c>
      <c r="I111" s="696">
        <f>SUMIF([4]Comprometimento!$B$6:$B$147,$B111,[4]Comprometimento!$E$6:$E$147)</f>
        <v>0</v>
      </c>
      <c r="J111" s="696">
        <f>SUMIF([4]Estoque!$B$6:$B$880,$B111,[4]Estoque!$H$6:$H$880)</f>
        <v>0</v>
      </c>
      <c r="K111" s="697">
        <f t="shared" si="18"/>
        <v>0</v>
      </c>
      <c r="L111" s="698">
        <f t="shared" si="15"/>
        <v>0</v>
      </c>
      <c r="M111" s="699">
        <f t="shared" si="19"/>
        <v>0</v>
      </c>
      <c r="N111" s="698">
        <v>0</v>
      </c>
      <c r="O111" s="699">
        <v>0</v>
      </c>
      <c r="P111" s="699">
        <f t="shared" si="20"/>
        <v>0</v>
      </c>
      <c r="Q111" s="698">
        <f t="shared" si="13"/>
        <v>1</v>
      </c>
      <c r="R111" s="700">
        <f t="shared" si="14"/>
        <v>44246.471884790401</v>
      </c>
    </row>
    <row r="112" spans="1:18" s="130" customFormat="1" ht="21.95" customHeight="1" x14ac:dyDescent="0.2">
      <c r="A112" s="393" t="s">
        <v>112</v>
      </c>
      <c r="B112" s="959" t="s">
        <v>2055</v>
      </c>
      <c r="C112" s="959" t="s">
        <v>2235</v>
      </c>
      <c r="D112" s="366">
        <f>VLOOKUP($B112,'Análise Física Detalhada'!$E$13:$V$380,18,0)</f>
        <v>4976.6073963984009</v>
      </c>
      <c r="E112" s="367">
        <f>VLOOKUP($B112,'Análise Física Detalhada'!$E$13:$P$380,12,0)</f>
        <v>0</v>
      </c>
      <c r="F112" s="368">
        <f t="shared" si="17"/>
        <v>0</v>
      </c>
      <c r="G112" s="696">
        <f>SUMIF('[2]Despesas Diretas'!$B$5:$B$9944,$B112,'[2]Despesas Diretas'!$H$5:$H$9944)</f>
        <v>0</v>
      </c>
      <c r="H112" s="696">
        <f>SUMIF('[3]Despesas Diretas'!$B$5:$B$9999,$B112,'[3]Despesas Diretas'!$H$5:$H$9999)</f>
        <v>0</v>
      </c>
      <c r="I112" s="696">
        <f>SUMIF([4]Comprometimento!$B$6:$B$147,$B112,[4]Comprometimento!$E$6:$E$147)</f>
        <v>0</v>
      </c>
      <c r="J112" s="696">
        <f>SUMIF([4]Estoque!$B$6:$B$880,$B112,[4]Estoque!$H$6:$H$880)</f>
        <v>0</v>
      </c>
      <c r="K112" s="697">
        <f t="shared" si="18"/>
        <v>0</v>
      </c>
      <c r="L112" s="698">
        <f t="shared" si="15"/>
        <v>0</v>
      </c>
      <c r="M112" s="699">
        <f t="shared" si="19"/>
        <v>0</v>
      </c>
      <c r="N112" s="698">
        <v>0</v>
      </c>
      <c r="O112" s="699">
        <v>0</v>
      </c>
      <c r="P112" s="699">
        <f t="shared" si="20"/>
        <v>0</v>
      </c>
      <c r="Q112" s="698">
        <f t="shared" si="13"/>
        <v>1</v>
      </c>
      <c r="R112" s="700">
        <f t="shared" si="14"/>
        <v>4976.6073963984009</v>
      </c>
    </row>
    <row r="113" spans="1:18" s="130" customFormat="1" ht="21.95" customHeight="1" x14ac:dyDescent="0.2">
      <c r="A113" s="393" t="s">
        <v>112</v>
      </c>
      <c r="B113" s="959" t="s">
        <v>2056</v>
      </c>
      <c r="C113" s="959" t="s">
        <v>1412</v>
      </c>
      <c r="D113" s="366">
        <f>VLOOKUP($B113,'Análise Física Detalhada'!$E$13:$V$380,18,0)</f>
        <v>2108.1744890208001</v>
      </c>
      <c r="E113" s="367">
        <f>VLOOKUP($B113,'Análise Física Detalhada'!$E$13:$P$380,12,0)</f>
        <v>0</v>
      </c>
      <c r="F113" s="368">
        <f t="shared" si="17"/>
        <v>0</v>
      </c>
      <c r="G113" s="696">
        <f>SUMIF('[2]Despesas Diretas'!$B$5:$B$9944,$B113,'[2]Despesas Diretas'!$H$5:$H$9944)</f>
        <v>0</v>
      </c>
      <c r="H113" s="696">
        <f>SUMIF('[3]Despesas Diretas'!$B$5:$B$9999,$B113,'[3]Despesas Diretas'!$H$5:$H$9999)</f>
        <v>0</v>
      </c>
      <c r="I113" s="696">
        <f>SUMIF([4]Comprometimento!$B$6:$B$147,$B113,[4]Comprometimento!$E$6:$E$147)</f>
        <v>0</v>
      </c>
      <c r="J113" s="696">
        <f>SUMIF([4]Estoque!$B$6:$B$880,$B113,[4]Estoque!$H$6:$H$880)</f>
        <v>0</v>
      </c>
      <c r="K113" s="697">
        <f t="shared" si="18"/>
        <v>0</v>
      </c>
      <c r="L113" s="698">
        <f t="shared" si="15"/>
        <v>0</v>
      </c>
      <c r="M113" s="699">
        <f t="shared" si="19"/>
        <v>0</v>
      </c>
      <c r="N113" s="698">
        <v>0</v>
      </c>
      <c r="O113" s="699">
        <v>0</v>
      </c>
      <c r="P113" s="699">
        <f t="shared" si="20"/>
        <v>0</v>
      </c>
      <c r="Q113" s="698">
        <f t="shared" si="13"/>
        <v>1</v>
      </c>
      <c r="R113" s="700">
        <f t="shared" si="14"/>
        <v>2108.1744890208001</v>
      </c>
    </row>
    <row r="114" spans="1:18" s="177" customFormat="1" ht="21.95" customHeight="1" x14ac:dyDescent="0.2">
      <c r="A114" s="393" t="s">
        <v>112</v>
      </c>
      <c r="B114" s="959" t="s">
        <v>2057</v>
      </c>
      <c r="C114" s="959" t="s">
        <v>2058</v>
      </c>
      <c r="D114" s="366">
        <f>VLOOKUP($B114,'Análise Física Detalhada'!$E$13:$V$380,18,0)</f>
        <v>2741.2360633295998</v>
      </c>
      <c r="E114" s="367">
        <f>VLOOKUP($B114,'Análise Física Detalhada'!$E$13:$P$380,12,0)</f>
        <v>0</v>
      </c>
      <c r="F114" s="368">
        <f t="shared" si="17"/>
        <v>0</v>
      </c>
      <c r="G114" s="696">
        <f>SUMIF('[2]Despesas Diretas'!$B$5:$B$9944,$B114,'[2]Despesas Diretas'!$H$5:$H$9944)</f>
        <v>0</v>
      </c>
      <c r="H114" s="696">
        <f>SUMIF('[3]Despesas Diretas'!$B$5:$B$9999,$B114,'[3]Despesas Diretas'!$H$5:$H$9999)</f>
        <v>0</v>
      </c>
      <c r="I114" s="696">
        <f>SUMIF([4]Comprometimento!$B$6:$B$147,$B114,[4]Comprometimento!$E$6:$E$147)</f>
        <v>0</v>
      </c>
      <c r="J114" s="696">
        <f>SUMIF([4]Estoque!$B$6:$B$880,$B114,[4]Estoque!$H$6:$H$880)</f>
        <v>0</v>
      </c>
      <c r="K114" s="697">
        <f t="shared" si="18"/>
        <v>0</v>
      </c>
      <c r="L114" s="698">
        <f t="shared" si="15"/>
        <v>0</v>
      </c>
      <c r="M114" s="699">
        <f t="shared" si="19"/>
        <v>0</v>
      </c>
      <c r="N114" s="698">
        <v>0</v>
      </c>
      <c r="O114" s="699">
        <v>0</v>
      </c>
      <c r="P114" s="699">
        <f t="shared" si="20"/>
        <v>0</v>
      </c>
      <c r="Q114" s="698">
        <f t="shared" si="13"/>
        <v>1</v>
      </c>
      <c r="R114" s="700">
        <f t="shared" si="14"/>
        <v>2741.2360633295998</v>
      </c>
    </row>
    <row r="115" spans="1:18" s="130" customFormat="1" ht="21.95" customHeight="1" x14ac:dyDescent="0.2">
      <c r="A115" s="393" t="s">
        <v>112</v>
      </c>
      <c r="B115" s="959" t="s">
        <v>2059</v>
      </c>
      <c r="C115" s="959" t="s">
        <v>475</v>
      </c>
      <c r="D115" s="366">
        <f>VLOOKUP($B115,'Análise Física Detalhada'!$E$13:$V$380,18,0)</f>
        <v>5815.6434718092005</v>
      </c>
      <c r="E115" s="367">
        <f>VLOOKUP($B115,'Análise Física Detalhada'!$E$13:$P$380,12,0)</f>
        <v>0</v>
      </c>
      <c r="F115" s="368">
        <f t="shared" si="17"/>
        <v>0</v>
      </c>
      <c r="G115" s="696">
        <f>SUMIF('[2]Despesas Diretas'!$B$5:$B$9944,$B115,'[2]Despesas Diretas'!$H$5:$H$9944)</f>
        <v>0</v>
      </c>
      <c r="H115" s="696">
        <f>SUMIF('[3]Despesas Diretas'!$B$5:$B$9999,$B115,'[3]Despesas Diretas'!$H$5:$H$9999)</f>
        <v>0</v>
      </c>
      <c r="I115" s="696">
        <f>SUMIF([4]Comprometimento!$B$6:$B$147,$B115,[4]Comprometimento!$E$6:$E$147)</f>
        <v>0</v>
      </c>
      <c r="J115" s="696">
        <f>SUMIF([4]Estoque!$B$6:$B$880,$B115,[4]Estoque!$H$6:$H$880)</f>
        <v>0</v>
      </c>
      <c r="K115" s="697">
        <f t="shared" si="18"/>
        <v>0</v>
      </c>
      <c r="L115" s="698">
        <f t="shared" si="15"/>
        <v>0</v>
      </c>
      <c r="M115" s="699">
        <f t="shared" si="19"/>
        <v>0</v>
      </c>
      <c r="N115" s="698">
        <v>0</v>
      </c>
      <c r="O115" s="699">
        <v>0</v>
      </c>
      <c r="P115" s="699">
        <f t="shared" si="20"/>
        <v>0</v>
      </c>
      <c r="Q115" s="698">
        <f t="shared" si="13"/>
        <v>1</v>
      </c>
      <c r="R115" s="700">
        <f t="shared" si="14"/>
        <v>5815.6434718092005</v>
      </c>
    </row>
    <row r="116" spans="1:18" s="177" customFormat="1" ht="21.95" customHeight="1" x14ac:dyDescent="0.2">
      <c r="A116" s="393" t="s">
        <v>112</v>
      </c>
      <c r="B116" s="959" t="s">
        <v>2060</v>
      </c>
      <c r="C116" s="959" t="s">
        <v>2061</v>
      </c>
      <c r="D116" s="366">
        <f>VLOOKUP($B116,'Análise Física Detalhada'!$E$13:$V$380,18,0)</f>
        <v>2362.7739972528002</v>
      </c>
      <c r="E116" s="367">
        <f>VLOOKUP($B116,'Análise Física Detalhada'!$E$13:$P$380,12,0)</f>
        <v>0</v>
      </c>
      <c r="F116" s="368">
        <f t="shared" si="17"/>
        <v>0</v>
      </c>
      <c r="G116" s="696">
        <f>SUMIF('[2]Despesas Diretas'!$B$5:$B$9944,$B116,'[2]Despesas Diretas'!$H$5:$H$9944)</f>
        <v>0</v>
      </c>
      <c r="H116" s="696">
        <f>SUMIF('[3]Despesas Diretas'!$B$5:$B$9999,$B116,'[3]Despesas Diretas'!$H$5:$H$9999)</f>
        <v>0</v>
      </c>
      <c r="I116" s="696">
        <f>SUMIF([4]Comprometimento!$B$6:$B$147,$B116,[4]Comprometimento!$E$6:$E$147)</f>
        <v>0</v>
      </c>
      <c r="J116" s="696">
        <f>SUMIF([4]Estoque!$B$6:$B$880,$B116,[4]Estoque!$H$6:$H$880)</f>
        <v>0</v>
      </c>
      <c r="K116" s="697">
        <f t="shared" si="18"/>
        <v>0</v>
      </c>
      <c r="L116" s="698">
        <f t="shared" si="15"/>
        <v>0</v>
      </c>
      <c r="M116" s="699">
        <f t="shared" si="19"/>
        <v>0</v>
      </c>
      <c r="N116" s="698">
        <v>0</v>
      </c>
      <c r="O116" s="699">
        <v>0</v>
      </c>
      <c r="P116" s="699">
        <f t="shared" si="20"/>
        <v>0</v>
      </c>
      <c r="Q116" s="698">
        <f t="shared" si="13"/>
        <v>1</v>
      </c>
      <c r="R116" s="700">
        <f t="shared" si="14"/>
        <v>2362.7739972528002</v>
      </c>
    </row>
    <row r="117" spans="1:18" s="130" customFormat="1" ht="21.95" customHeight="1" x14ac:dyDescent="0.2">
      <c r="A117" s="393" t="s">
        <v>112</v>
      </c>
      <c r="B117" s="967" t="s">
        <v>118</v>
      </c>
      <c r="C117" s="967" t="s">
        <v>2062</v>
      </c>
      <c r="D117" s="366">
        <f>VLOOKUP($B117,'Análise Física Detalhada'!$E$13:$V$380,18,0)</f>
        <v>0</v>
      </c>
      <c r="E117" s="367">
        <f>VLOOKUP($B117,'Análise Física Detalhada'!$E$13:$P$380,12,0)</f>
        <v>0</v>
      </c>
      <c r="F117" s="368">
        <f t="shared" si="17"/>
        <v>0</v>
      </c>
      <c r="G117" s="696">
        <f>SUMIF('[2]Despesas Diretas'!$B$5:$B$9944,$B117,'[2]Despesas Diretas'!$H$5:$H$9944)</f>
        <v>0</v>
      </c>
      <c r="H117" s="696">
        <f>SUMIF('[3]Despesas Diretas'!$B$5:$B$9999,$B117,'[3]Despesas Diretas'!$H$5:$H$9999)</f>
        <v>0</v>
      </c>
      <c r="I117" s="696">
        <f>SUMIF([4]Comprometimento!$B$6:$B$147,$B117,[4]Comprometimento!$E$6:$E$147)</f>
        <v>0</v>
      </c>
      <c r="J117" s="696">
        <f>SUMIF([4]Estoque!$B$6:$B$880,$B117,[4]Estoque!$H$6:$H$880)</f>
        <v>0</v>
      </c>
      <c r="K117" s="697">
        <f t="shared" si="18"/>
        <v>0</v>
      </c>
      <c r="L117" s="698">
        <f t="shared" si="15"/>
        <v>0</v>
      </c>
      <c r="M117" s="699">
        <f t="shared" si="19"/>
        <v>0</v>
      </c>
      <c r="N117" s="698">
        <v>0</v>
      </c>
      <c r="O117" s="699">
        <v>0</v>
      </c>
      <c r="P117" s="699">
        <f t="shared" si="20"/>
        <v>0</v>
      </c>
      <c r="Q117" s="698">
        <f t="shared" si="13"/>
        <v>0</v>
      </c>
      <c r="R117" s="700">
        <f t="shared" si="14"/>
        <v>0</v>
      </c>
    </row>
    <row r="118" spans="1:18" s="130" customFormat="1" ht="21.95" customHeight="1" x14ac:dyDescent="0.2">
      <c r="A118" s="393" t="s">
        <v>112</v>
      </c>
      <c r="B118" s="959" t="s">
        <v>119</v>
      </c>
      <c r="C118" s="959" t="s">
        <v>2236</v>
      </c>
      <c r="D118" s="366">
        <f>VLOOKUP($B118,'Análise Física Detalhada'!$E$13:$V$380,18,0)</f>
        <v>782.13709881360012</v>
      </c>
      <c r="E118" s="367">
        <f>VLOOKUP($B118,'Análise Física Detalhada'!$E$13:$P$380,12,0)</f>
        <v>0</v>
      </c>
      <c r="F118" s="368">
        <f t="shared" si="17"/>
        <v>0</v>
      </c>
      <c r="G118" s="696">
        <f>SUMIF('[2]Despesas Diretas'!$B$5:$B$9944,$B118,'[2]Despesas Diretas'!$H$5:$H$9944)</f>
        <v>0</v>
      </c>
      <c r="H118" s="696">
        <f>SUMIF('[3]Despesas Diretas'!$B$5:$B$9999,$B118,'[3]Despesas Diretas'!$H$5:$H$9999)</f>
        <v>0</v>
      </c>
      <c r="I118" s="696">
        <f>SUMIF([4]Comprometimento!$B$6:$B$147,$B118,[4]Comprometimento!$E$6:$E$147)</f>
        <v>0</v>
      </c>
      <c r="J118" s="696">
        <f>SUMIF([4]Estoque!$B$6:$B$880,$B118,[4]Estoque!$H$6:$H$880)</f>
        <v>0</v>
      </c>
      <c r="K118" s="697">
        <f t="shared" si="18"/>
        <v>0</v>
      </c>
      <c r="L118" s="698">
        <f t="shared" si="15"/>
        <v>0</v>
      </c>
      <c r="M118" s="699">
        <f t="shared" si="19"/>
        <v>0</v>
      </c>
      <c r="N118" s="698">
        <v>0</v>
      </c>
      <c r="O118" s="699">
        <v>0</v>
      </c>
      <c r="P118" s="699">
        <f t="shared" si="20"/>
        <v>0</v>
      </c>
      <c r="Q118" s="698">
        <f t="shared" si="13"/>
        <v>1</v>
      </c>
      <c r="R118" s="700">
        <f t="shared" si="14"/>
        <v>782.13709881360012</v>
      </c>
    </row>
    <row r="119" spans="1:18" s="130" customFormat="1" ht="21.95" customHeight="1" x14ac:dyDescent="0.2">
      <c r="A119" s="393" t="s">
        <v>112</v>
      </c>
      <c r="B119" s="959" t="s">
        <v>120</v>
      </c>
      <c r="C119" s="959" t="s">
        <v>2063</v>
      </c>
      <c r="D119" s="366">
        <f>VLOOKUP($B119,'Análise Física Detalhada'!$E$13:$V$380,18,0)</f>
        <v>624.96255195720005</v>
      </c>
      <c r="E119" s="367">
        <f>VLOOKUP($B119,'Análise Física Detalhada'!$E$13:$P$380,12,0)</f>
        <v>0</v>
      </c>
      <c r="F119" s="368">
        <f t="shared" si="17"/>
        <v>0</v>
      </c>
      <c r="G119" s="696">
        <f>SUMIF('[2]Despesas Diretas'!$B$5:$B$9944,$B119,'[2]Despesas Diretas'!$H$5:$H$9944)</f>
        <v>0</v>
      </c>
      <c r="H119" s="696">
        <f>SUMIF('[3]Despesas Diretas'!$B$5:$B$9999,$B119,'[3]Despesas Diretas'!$H$5:$H$9999)</f>
        <v>0</v>
      </c>
      <c r="I119" s="696">
        <f>SUMIF([4]Comprometimento!$B$6:$B$147,$B119,[4]Comprometimento!$E$6:$E$147)</f>
        <v>0</v>
      </c>
      <c r="J119" s="696">
        <f>SUMIF([4]Estoque!$B$6:$B$880,$B119,[4]Estoque!$H$6:$H$880)</f>
        <v>0</v>
      </c>
      <c r="K119" s="697">
        <f t="shared" si="18"/>
        <v>0</v>
      </c>
      <c r="L119" s="698">
        <f t="shared" si="15"/>
        <v>0</v>
      </c>
      <c r="M119" s="699">
        <f t="shared" si="19"/>
        <v>0</v>
      </c>
      <c r="N119" s="698">
        <v>0</v>
      </c>
      <c r="O119" s="699">
        <v>0</v>
      </c>
      <c r="P119" s="699">
        <f t="shared" si="20"/>
        <v>0</v>
      </c>
      <c r="Q119" s="698">
        <f t="shared" si="13"/>
        <v>1</v>
      </c>
      <c r="R119" s="700">
        <f t="shared" si="14"/>
        <v>624.96255195720005</v>
      </c>
    </row>
    <row r="120" spans="1:18" s="130" customFormat="1" ht="21.95" customHeight="1" x14ac:dyDescent="0.2">
      <c r="A120" s="393" t="s">
        <v>112</v>
      </c>
      <c r="B120" s="967" t="s">
        <v>2064</v>
      </c>
      <c r="C120" s="967" t="s">
        <v>2067</v>
      </c>
      <c r="D120" s="366">
        <f>VLOOKUP($B120,'Análise Física Detalhada'!$E$13:$V$380,18,0)</f>
        <v>0</v>
      </c>
      <c r="E120" s="367">
        <f>VLOOKUP($B120,'Análise Física Detalhada'!$E$13:$P$380,12,0)</f>
        <v>0</v>
      </c>
      <c r="F120" s="368">
        <f t="shared" si="17"/>
        <v>0</v>
      </c>
      <c r="G120" s="696">
        <f>SUMIF('[2]Despesas Diretas'!$B$5:$B$9944,$B120,'[2]Despesas Diretas'!$H$5:$H$9944)</f>
        <v>0</v>
      </c>
      <c r="H120" s="696">
        <f>SUMIF('[3]Despesas Diretas'!$B$5:$B$9999,$B120,'[3]Despesas Diretas'!$H$5:$H$9999)</f>
        <v>0</v>
      </c>
      <c r="I120" s="696">
        <f>SUMIF([4]Comprometimento!$B$6:$B$147,$B120,[4]Comprometimento!$E$6:$E$147)</f>
        <v>0</v>
      </c>
      <c r="J120" s="696">
        <f>SUMIF([4]Estoque!$B$6:$B$880,$B120,[4]Estoque!$H$6:$H$880)</f>
        <v>0</v>
      </c>
      <c r="K120" s="697">
        <f t="shared" si="18"/>
        <v>0</v>
      </c>
      <c r="L120" s="698">
        <f t="shared" si="15"/>
        <v>0</v>
      </c>
      <c r="M120" s="699">
        <f t="shared" si="19"/>
        <v>0</v>
      </c>
      <c r="N120" s="698">
        <v>0</v>
      </c>
      <c r="O120" s="699">
        <v>0</v>
      </c>
      <c r="P120" s="699">
        <f t="shared" si="20"/>
        <v>0</v>
      </c>
      <c r="Q120" s="698">
        <f t="shared" si="13"/>
        <v>0</v>
      </c>
      <c r="R120" s="700">
        <f t="shared" si="14"/>
        <v>0</v>
      </c>
    </row>
    <row r="121" spans="1:18" s="155" customFormat="1" ht="21.95" customHeight="1" x14ac:dyDescent="0.2">
      <c r="A121" s="393" t="s">
        <v>112</v>
      </c>
      <c r="B121" s="959" t="s">
        <v>2065</v>
      </c>
      <c r="C121" s="959" t="s">
        <v>2237</v>
      </c>
      <c r="D121" s="366">
        <f>VLOOKUP($B121,'Análise Física Detalhada'!$E$13:$V$380,18,0)</f>
        <v>31.377279733200002</v>
      </c>
      <c r="E121" s="367">
        <f>VLOOKUP($B121,'Análise Física Detalhada'!$E$13:$P$380,12,0)</f>
        <v>0</v>
      </c>
      <c r="F121" s="368">
        <f t="shared" si="17"/>
        <v>0</v>
      </c>
      <c r="G121" s="696">
        <f>SUMIF('[2]Despesas Diretas'!$B$5:$B$9944,$B121,'[2]Despesas Diretas'!$H$5:$H$9944)</f>
        <v>0</v>
      </c>
      <c r="H121" s="696">
        <f>SUMIF('[3]Despesas Diretas'!$B$5:$B$9999,$B121,'[3]Despesas Diretas'!$H$5:$H$9999)</f>
        <v>0</v>
      </c>
      <c r="I121" s="696">
        <f>SUMIF([4]Comprometimento!$B$6:$B$147,$B121,[4]Comprometimento!$E$6:$E$147)</f>
        <v>0</v>
      </c>
      <c r="J121" s="696">
        <f>SUMIF([4]Estoque!$B$6:$B$880,$B121,[4]Estoque!$H$6:$H$880)</f>
        <v>0</v>
      </c>
      <c r="K121" s="697">
        <f t="shared" si="18"/>
        <v>0</v>
      </c>
      <c r="L121" s="698">
        <f t="shared" si="15"/>
        <v>0</v>
      </c>
      <c r="M121" s="699">
        <f t="shared" si="19"/>
        <v>0</v>
      </c>
      <c r="N121" s="698">
        <v>0</v>
      </c>
      <c r="O121" s="699">
        <v>0</v>
      </c>
      <c r="P121" s="699">
        <f t="shared" si="20"/>
        <v>0</v>
      </c>
      <c r="Q121" s="698">
        <f t="shared" si="13"/>
        <v>1</v>
      </c>
      <c r="R121" s="700">
        <f t="shared" si="14"/>
        <v>31.377279733200002</v>
      </c>
    </row>
    <row r="122" spans="1:18" s="177" customFormat="1" ht="21.95" customHeight="1" x14ac:dyDescent="0.2">
      <c r="A122" s="393" t="s">
        <v>112</v>
      </c>
      <c r="B122" s="959" t="s">
        <v>2066</v>
      </c>
      <c r="C122" s="959" t="s">
        <v>2238</v>
      </c>
      <c r="D122" s="366">
        <f>VLOOKUP($B122,'Análise Física Detalhada'!$E$13:$V$380,18,0)</f>
        <v>123.98604992640003</v>
      </c>
      <c r="E122" s="367">
        <f>VLOOKUP($B122,'Análise Física Detalhada'!$E$13:$P$380,12,0)</f>
        <v>0</v>
      </c>
      <c r="F122" s="368">
        <f t="shared" si="17"/>
        <v>0</v>
      </c>
      <c r="G122" s="696">
        <f>SUMIF('[2]Despesas Diretas'!$B$5:$B$9944,$B122,'[2]Despesas Diretas'!$H$5:$H$9944)</f>
        <v>0</v>
      </c>
      <c r="H122" s="696">
        <f>SUMIF('[3]Despesas Diretas'!$B$5:$B$9999,$B122,'[3]Despesas Diretas'!$H$5:$H$9999)</f>
        <v>0</v>
      </c>
      <c r="I122" s="696">
        <f>SUMIF([4]Comprometimento!$B$6:$B$147,$B122,[4]Comprometimento!$E$6:$E$147)</f>
        <v>0</v>
      </c>
      <c r="J122" s="696">
        <f>SUMIF([4]Estoque!$B$6:$B$880,$B122,[4]Estoque!$H$6:$H$880)</f>
        <v>0</v>
      </c>
      <c r="K122" s="697">
        <f t="shared" si="18"/>
        <v>0</v>
      </c>
      <c r="L122" s="698">
        <f t="shared" si="15"/>
        <v>0</v>
      </c>
      <c r="M122" s="699">
        <f t="shared" si="19"/>
        <v>0</v>
      </c>
      <c r="N122" s="698">
        <v>0</v>
      </c>
      <c r="O122" s="699">
        <v>0</v>
      </c>
      <c r="P122" s="699">
        <f t="shared" si="20"/>
        <v>0</v>
      </c>
      <c r="Q122" s="698">
        <f t="shared" si="13"/>
        <v>1</v>
      </c>
      <c r="R122" s="700">
        <f t="shared" si="14"/>
        <v>123.98604992640003</v>
      </c>
    </row>
    <row r="123" spans="1:18" s="130" customFormat="1" ht="21.95" customHeight="1" x14ac:dyDescent="0.2">
      <c r="A123" s="393" t="s">
        <v>112</v>
      </c>
      <c r="B123" s="967" t="s">
        <v>121</v>
      </c>
      <c r="C123" s="967" t="s">
        <v>115</v>
      </c>
      <c r="D123" s="366">
        <f>VLOOKUP($B123,'Análise Física Detalhada'!$E$13:$V$380,18,0)</f>
        <v>0</v>
      </c>
      <c r="E123" s="367">
        <f>VLOOKUP($B123,'Análise Física Detalhada'!$E$13:$P$380,12,0)</f>
        <v>0</v>
      </c>
      <c r="F123" s="368">
        <f t="shared" si="17"/>
        <v>0</v>
      </c>
      <c r="G123" s="696">
        <f>SUMIF('[2]Despesas Diretas'!$B$5:$B$9944,$B123,'[2]Despesas Diretas'!$H$5:$H$9944)</f>
        <v>0</v>
      </c>
      <c r="H123" s="696">
        <f>SUMIF('[3]Despesas Diretas'!$B$5:$B$9999,$B123,'[3]Despesas Diretas'!$H$5:$H$9999)</f>
        <v>0</v>
      </c>
      <c r="I123" s="696">
        <f>SUMIF([4]Comprometimento!$B$6:$B$147,$B123,[4]Comprometimento!$E$6:$E$147)</f>
        <v>0</v>
      </c>
      <c r="J123" s="696">
        <f>SUMIF([4]Estoque!$B$6:$B$880,$B123,[4]Estoque!$H$6:$H$880)</f>
        <v>0</v>
      </c>
      <c r="K123" s="697">
        <f t="shared" si="18"/>
        <v>0</v>
      </c>
      <c r="L123" s="698">
        <f t="shared" si="15"/>
        <v>0</v>
      </c>
      <c r="M123" s="699">
        <f t="shared" si="19"/>
        <v>0</v>
      </c>
      <c r="N123" s="698">
        <v>0</v>
      </c>
      <c r="O123" s="699">
        <v>0</v>
      </c>
      <c r="P123" s="699">
        <f t="shared" si="20"/>
        <v>0</v>
      </c>
      <c r="Q123" s="698">
        <f t="shared" si="13"/>
        <v>0</v>
      </c>
      <c r="R123" s="700">
        <f t="shared" si="14"/>
        <v>0</v>
      </c>
    </row>
    <row r="124" spans="1:18" s="130" customFormat="1" ht="21.95" customHeight="1" x14ac:dyDescent="0.2">
      <c r="A124" s="393" t="s">
        <v>112</v>
      </c>
      <c r="B124" s="967" t="s">
        <v>2068</v>
      </c>
      <c r="C124" s="967" t="s">
        <v>1415</v>
      </c>
      <c r="D124" s="366">
        <f>VLOOKUP($B124,'Análise Física Detalhada'!$E$13:$V$380,18,0)</f>
        <v>0</v>
      </c>
      <c r="E124" s="367">
        <f>VLOOKUP($B124,'Análise Física Detalhada'!$E$13:$P$380,12,0)</f>
        <v>0</v>
      </c>
      <c r="F124" s="368">
        <f t="shared" si="17"/>
        <v>0</v>
      </c>
      <c r="G124" s="696">
        <f>SUMIF('[2]Despesas Diretas'!$B$5:$B$9944,$B124,'[2]Despesas Diretas'!$H$5:$H$9944)</f>
        <v>0</v>
      </c>
      <c r="H124" s="696">
        <f>SUMIF('[3]Despesas Diretas'!$B$5:$B$9999,$B124,'[3]Despesas Diretas'!$H$5:$H$9999)</f>
        <v>0</v>
      </c>
      <c r="I124" s="696">
        <f>SUMIF([4]Comprometimento!$B$6:$B$147,$B124,[4]Comprometimento!$E$6:$E$147)</f>
        <v>0</v>
      </c>
      <c r="J124" s="696">
        <f>SUMIF([4]Estoque!$B$6:$B$880,$B124,[4]Estoque!$H$6:$H$880)</f>
        <v>0</v>
      </c>
      <c r="K124" s="697">
        <f t="shared" si="18"/>
        <v>0</v>
      </c>
      <c r="L124" s="698">
        <f t="shared" si="15"/>
        <v>0</v>
      </c>
      <c r="M124" s="699">
        <f t="shared" si="19"/>
        <v>0</v>
      </c>
      <c r="N124" s="698">
        <v>0</v>
      </c>
      <c r="O124" s="699">
        <v>0</v>
      </c>
      <c r="P124" s="699">
        <f t="shared" si="20"/>
        <v>0</v>
      </c>
      <c r="Q124" s="698">
        <f t="shared" si="13"/>
        <v>0</v>
      </c>
      <c r="R124" s="700">
        <f t="shared" si="14"/>
        <v>0</v>
      </c>
    </row>
    <row r="125" spans="1:18" s="177" customFormat="1" ht="21.95" customHeight="1" x14ac:dyDescent="0.2">
      <c r="A125" s="393" t="s">
        <v>112</v>
      </c>
      <c r="B125" s="959" t="s">
        <v>2069</v>
      </c>
      <c r="C125" s="959" t="s">
        <v>2239</v>
      </c>
      <c r="D125" s="366">
        <f>VLOOKUP($B125,'Análise Física Detalhada'!$E$13:$V$380,18,0)</f>
        <v>40730.827268754008</v>
      </c>
      <c r="E125" s="367">
        <f>VLOOKUP($B125,'Análise Física Detalhada'!$E$13:$P$380,12,0)</f>
        <v>0</v>
      </c>
      <c r="F125" s="368">
        <f t="shared" si="17"/>
        <v>0</v>
      </c>
      <c r="G125" s="696">
        <f>SUMIF('[2]Despesas Diretas'!$B$5:$B$9944,$B125,'[2]Despesas Diretas'!$H$5:$H$9944)</f>
        <v>0</v>
      </c>
      <c r="H125" s="696">
        <f>SUMIF('[3]Despesas Diretas'!$B$5:$B$9999,$B125,'[3]Despesas Diretas'!$H$5:$H$9999)</f>
        <v>0</v>
      </c>
      <c r="I125" s="696">
        <f>SUMIF([4]Comprometimento!$B$6:$B$147,$B125,[4]Comprometimento!$E$6:$E$147)</f>
        <v>0</v>
      </c>
      <c r="J125" s="696">
        <f>SUMIF([4]Estoque!$B$6:$B$880,$B125,[4]Estoque!$H$6:$H$880)</f>
        <v>0</v>
      </c>
      <c r="K125" s="697">
        <f t="shared" si="18"/>
        <v>0</v>
      </c>
      <c r="L125" s="698">
        <f t="shared" si="15"/>
        <v>0</v>
      </c>
      <c r="M125" s="699">
        <f t="shared" si="19"/>
        <v>0</v>
      </c>
      <c r="N125" s="698">
        <v>0</v>
      </c>
      <c r="O125" s="699">
        <v>0</v>
      </c>
      <c r="P125" s="699">
        <f t="shared" si="20"/>
        <v>0</v>
      </c>
      <c r="Q125" s="698">
        <f t="shared" si="13"/>
        <v>1</v>
      </c>
      <c r="R125" s="700">
        <f t="shared" si="14"/>
        <v>40730.827268754008</v>
      </c>
    </row>
    <row r="126" spans="1:18" s="130" customFormat="1" ht="21.95" customHeight="1" x14ac:dyDescent="0.2">
      <c r="A126" s="393" t="s">
        <v>112</v>
      </c>
      <c r="B126" s="959" t="s">
        <v>2070</v>
      </c>
      <c r="C126" s="959" t="s">
        <v>2240</v>
      </c>
      <c r="D126" s="366">
        <f>VLOOKUP($B126,'Análise Física Detalhada'!$E$13:$V$380,18,0)</f>
        <v>9666.7028724780012</v>
      </c>
      <c r="E126" s="367">
        <f>VLOOKUP($B126,'Análise Física Detalhada'!$E$13:$P$380,12,0)</f>
        <v>0</v>
      </c>
      <c r="F126" s="368">
        <f t="shared" si="17"/>
        <v>0</v>
      </c>
      <c r="G126" s="696">
        <f>SUMIF('[2]Despesas Diretas'!$B$5:$B$9944,$B126,'[2]Despesas Diretas'!$H$5:$H$9944)</f>
        <v>0</v>
      </c>
      <c r="H126" s="696">
        <f>SUMIF('[3]Despesas Diretas'!$B$5:$B$9999,$B126,'[3]Despesas Diretas'!$H$5:$H$9999)</f>
        <v>0</v>
      </c>
      <c r="I126" s="696">
        <f>SUMIF([4]Comprometimento!$B$6:$B$147,$B126,[4]Comprometimento!$E$6:$E$147)</f>
        <v>0</v>
      </c>
      <c r="J126" s="696">
        <f>SUMIF([4]Estoque!$B$6:$B$880,$B126,[4]Estoque!$H$6:$H$880)</f>
        <v>0</v>
      </c>
      <c r="K126" s="697">
        <f t="shared" si="18"/>
        <v>0</v>
      </c>
      <c r="L126" s="698">
        <f t="shared" si="15"/>
        <v>0</v>
      </c>
      <c r="M126" s="699">
        <f t="shared" si="19"/>
        <v>0</v>
      </c>
      <c r="N126" s="698">
        <v>0</v>
      </c>
      <c r="O126" s="699">
        <v>0</v>
      </c>
      <c r="P126" s="699">
        <f t="shared" si="20"/>
        <v>0</v>
      </c>
      <c r="Q126" s="698">
        <f t="shared" si="13"/>
        <v>1</v>
      </c>
      <c r="R126" s="700">
        <f t="shared" si="14"/>
        <v>9666.7028724780012</v>
      </c>
    </row>
    <row r="127" spans="1:18" s="130" customFormat="1" ht="21.95" customHeight="1" x14ac:dyDescent="0.2">
      <c r="A127" s="393" t="s">
        <v>112</v>
      </c>
      <c r="B127" s="959" t="s">
        <v>2071</v>
      </c>
      <c r="C127" s="959" t="s">
        <v>2241</v>
      </c>
      <c r="D127" s="366">
        <f>VLOOKUP($B127,'Análise Física Detalhada'!$E$13:$V$380,18,0)</f>
        <v>34397.504990877605</v>
      </c>
      <c r="E127" s="367">
        <f>VLOOKUP($B127,'Análise Física Detalhada'!$E$13:$P$380,12,0)</f>
        <v>0</v>
      </c>
      <c r="F127" s="368">
        <f t="shared" si="17"/>
        <v>0</v>
      </c>
      <c r="G127" s="696">
        <f>SUMIF('[2]Despesas Diretas'!$B$5:$B$9944,$B127,'[2]Despesas Diretas'!$H$5:$H$9944)</f>
        <v>0</v>
      </c>
      <c r="H127" s="696">
        <f>SUMIF('[3]Despesas Diretas'!$B$5:$B$9999,$B127,'[3]Despesas Diretas'!$H$5:$H$9999)</f>
        <v>0</v>
      </c>
      <c r="I127" s="696">
        <f>SUMIF([4]Comprometimento!$B$6:$B$147,$B127,[4]Comprometimento!$E$6:$E$147)</f>
        <v>0</v>
      </c>
      <c r="J127" s="696">
        <f>SUMIF([4]Estoque!$B$6:$B$880,$B127,[4]Estoque!$H$6:$H$880)</f>
        <v>0</v>
      </c>
      <c r="K127" s="697">
        <f t="shared" si="18"/>
        <v>0</v>
      </c>
      <c r="L127" s="698">
        <f t="shared" si="15"/>
        <v>0</v>
      </c>
      <c r="M127" s="699">
        <f t="shared" si="19"/>
        <v>0</v>
      </c>
      <c r="N127" s="698">
        <v>0</v>
      </c>
      <c r="O127" s="699">
        <v>0</v>
      </c>
      <c r="P127" s="699">
        <f t="shared" si="20"/>
        <v>0</v>
      </c>
      <c r="Q127" s="698">
        <f t="shared" si="13"/>
        <v>1</v>
      </c>
      <c r="R127" s="700">
        <f t="shared" si="14"/>
        <v>34397.504990877605</v>
      </c>
    </row>
    <row r="128" spans="1:18" s="130" customFormat="1" ht="21.95" customHeight="1" x14ac:dyDescent="0.2">
      <c r="A128" s="393" t="s">
        <v>112</v>
      </c>
      <c r="B128" s="959" t="s">
        <v>2072</v>
      </c>
      <c r="C128" s="959" t="s">
        <v>1425</v>
      </c>
      <c r="D128" s="366">
        <f>VLOOKUP($B128,'Análise Física Detalhada'!$E$13:$V$380,18,0)</f>
        <v>38038.833672962406</v>
      </c>
      <c r="E128" s="367">
        <f>VLOOKUP($B128,'Análise Física Detalhada'!$E$13:$P$380,12,0)</f>
        <v>0</v>
      </c>
      <c r="F128" s="368">
        <f t="shared" si="17"/>
        <v>0</v>
      </c>
      <c r="G128" s="696">
        <f>SUMIF('[2]Despesas Diretas'!$B$5:$B$9944,$B128,'[2]Despesas Diretas'!$H$5:$H$9944)</f>
        <v>0</v>
      </c>
      <c r="H128" s="696">
        <f>SUMIF('[3]Despesas Diretas'!$B$5:$B$9999,$B128,'[3]Despesas Diretas'!$H$5:$H$9999)</f>
        <v>0</v>
      </c>
      <c r="I128" s="696">
        <f>SUMIF([4]Comprometimento!$B$6:$B$147,$B128,[4]Comprometimento!$E$6:$E$147)</f>
        <v>0</v>
      </c>
      <c r="J128" s="696">
        <f>SUMIF([4]Estoque!$B$6:$B$880,$B128,[4]Estoque!$H$6:$H$880)</f>
        <v>0</v>
      </c>
      <c r="K128" s="697">
        <f t="shared" si="18"/>
        <v>0</v>
      </c>
      <c r="L128" s="698">
        <f t="shared" si="15"/>
        <v>0</v>
      </c>
      <c r="M128" s="699">
        <f t="shared" si="19"/>
        <v>0</v>
      </c>
      <c r="N128" s="698">
        <v>0</v>
      </c>
      <c r="O128" s="699">
        <v>0</v>
      </c>
      <c r="P128" s="699">
        <f t="shared" si="20"/>
        <v>0</v>
      </c>
      <c r="Q128" s="698">
        <f t="shared" si="13"/>
        <v>1</v>
      </c>
      <c r="R128" s="700">
        <f t="shared" si="14"/>
        <v>38038.833672962406</v>
      </c>
    </row>
    <row r="129" spans="1:18" s="130" customFormat="1" ht="21.95" customHeight="1" x14ac:dyDescent="0.2">
      <c r="A129" s="393" t="s">
        <v>112</v>
      </c>
      <c r="B129" s="959" t="s">
        <v>2073</v>
      </c>
      <c r="C129" s="959" t="s">
        <v>2096</v>
      </c>
      <c r="D129" s="366">
        <f>VLOOKUP($B129,'Análise Física Detalhada'!$E$13:$V$380,18,0)</f>
        <v>7474.6772600508011</v>
      </c>
      <c r="E129" s="367">
        <f>VLOOKUP($B129,'Análise Física Detalhada'!$E$13:$P$380,12,0)</f>
        <v>0</v>
      </c>
      <c r="F129" s="368">
        <f t="shared" si="17"/>
        <v>0</v>
      </c>
      <c r="G129" s="696">
        <f>SUMIF('[2]Despesas Diretas'!$B$5:$B$9944,$B129,'[2]Despesas Diretas'!$H$5:$H$9944)</f>
        <v>0</v>
      </c>
      <c r="H129" s="696">
        <f>SUMIF('[3]Despesas Diretas'!$B$5:$B$9999,$B129,'[3]Despesas Diretas'!$H$5:$H$9999)</f>
        <v>0</v>
      </c>
      <c r="I129" s="696">
        <f>SUMIF([4]Comprometimento!$B$6:$B$147,$B129,[4]Comprometimento!$E$6:$E$147)</f>
        <v>0</v>
      </c>
      <c r="J129" s="696">
        <f>SUMIF([4]Estoque!$B$6:$B$880,$B129,[4]Estoque!$H$6:$H$880)</f>
        <v>0</v>
      </c>
      <c r="K129" s="697">
        <f t="shared" si="18"/>
        <v>0</v>
      </c>
      <c r="L129" s="698">
        <f t="shared" si="15"/>
        <v>0</v>
      </c>
      <c r="M129" s="699">
        <f t="shared" si="19"/>
        <v>0</v>
      </c>
      <c r="N129" s="698">
        <v>0</v>
      </c>
      <c r="O129" s="699">
        <v>0</v>
      </c>
      <c r="P129" s="699">
        <f t="shared" si="20"/>
        <v>0</v>
      </c>
      <c r="Q129" s="698">
        <f t="shared" si="13"/>
        <v>1</v>
      </c>
      <c r="R129" s="700">
        <f t="shared" si="14"/>
        <v>7474.6772600508011</v>
      </c>
    </row>
    <row r="130" spans="1:18" s="130" customFormat="1" ht="21.95" customHeight="1" x14ac:dyDescent="0.2">
      <c r="A130" s="393" t="s">
        <v>112</v>
      </c>
      <c r="B130" s="959" t="s">
        <v>2074</v>
      </c>
      <c r="C130" s="959" t="s">
        <v>2242</v>
      </c>
      <c r="D130" s="366">
        <f>VLOOKUP($B130,'Análise Física Detalhada'!$E$13:$V$380,18,0)</f>
        <v>987.56617655520017</v>
      </c>
      <c r="E130" s="367">
        <f>VLOOKUP($B130,'Análise Física Detalhada'!$E$13:$P$380,12,0)</f>
        <v>0</v>
      </c>
      <c r="F130" s="368">
        <f t="shared" si="17"/>
        <v>0</v>
      </c>
      <c r="G130" s="696">
        <f>SUMIF('[2]Despesas Diretas'!$B$5:$B$9944,$B130,'[2]Despesas Diretas'!$H$5:$H$9944)</f>
        <v>0</v>
      </c>
      <c r="H130" s="696">
        <f>SUMIF('[3]Despesas Diretas'!$B$5:$B$9999,$B130,'[3]Despesas Diretas'!$H$5:$H$9999)</f>
        <v>0</v>
      </c>
      <c r="I130" s="696">
        <f>SUMIF([4]Comprometimento!$B$6:$B$147,$B130,[4]Comprometimento!$E$6:$E$147)</f>
        <v>0</v>
      </c>
      <c r="J130" s="696">
        <f>SUMIF([4]Estoque!$B$6:$B$880,$B130,[4]Estoque!$H$6:$H$880)</f>
        <v>0</v>
      </c>
      <c r="K130" s="697">
        <f t="shared" si="18"/>
        <v>0</v>
      </c>
      <c r="L130" s="698">
        <f t="shared" si="15"/>
        <v>0</v>
      </c>
      <c r="M130" s="699">
        <f t="shared" si="19"/>
        <v>0</v>
      </c>
      <c r="N130" s="698">
        <v>0</v>
      </c>
      <c r="O130" s="699">
        <v>0</v>
      </c>
      <c r="P130" s="699">
        <f t="shared" si="20"/>
        <v>0</v>
      </c>
      <c r="Q130" s="698">
        <f t="shared" si="13"/>
        <v>1</v>
      </c>
      <c r="R130" s="700">
        <f t="shared" si="14"/>
        <v>987.56617655520017</v>
      </c>
    </row>
    <row r="131" spans="1:18" s="130" customFormat="1" ht="21.95" customHeight="1" x14ac:dyDescent="0.2">
      <c r="A131" s="393" t="s">
        <v>112</v>
      </c>
      <c r="B131" s="967" t="s">
        <v>2075</v>
      </c>
      <c r="C131" s="967" t="s">
        <v>1427</v>
      </c>
      <c r="D131" s="366">
        <f>VLOOKUP($B131,'Análise Física Detalhada'!$E$13:$V$380,18,0)</f>
        <v>0</v>
      </c>
      <c r="E131" s="367">
        <f>VLOOKUP($B131,'Análise Física Detalhada'!$E$13:$P$380,12,0)</f>
        <v>0</v>
      </c>
      <c r="F131" s="368">
        <f t="shared" si="17"/>
        <v>0</v>
      </c>
      <c r="G131" s="696">
        <f>SUMIF('[2]Despesas Diretas'!$B$5:$B$9944,$B131,'[2]Despesas Diretas'!$H$5:$H$9944)</f>
        <v>0</v>
      </c>
      <c r="H131" s="696">
        <f>SUMIF('[3]Despesas Diretas'!$B$5:$B$9999,$B131,'[3]Despesas Diretas'!$H$5:$H$9999)</f>
        <v>0</v>
      </c>
      <c r="I131" s="696">
        <f>SUMIF([4]Comprometimento!$B$6:$B$147,$B131,[4]Comprometimento!$E$6:$E$147)</f>
        <v>0</v>
      </c>
      <c r="J131" s="696">
        <f>SUMIF([4]Estoque!$B$6:$B$880,$B131,[4]Estoque!$H$6:$H$880)</f>
        <v>0</v>
      </c>
      <c r="K131" s="697">
        <f t="shared" si="18"/>
        <v>0</v>
      </c>
      <c r="L131" s="698">
        <f t="shared" si="15"/>
        <v>0</v>
      </c>
      <c r="M131" s="699">
        <f t="shared" si="19"/>
        <v>0</v>
      </c>
      <c r="N131" s="698">
        <v>0</v>
      </c>
      <c r="O131" s="699">
        <v>0</v>
      </c>
      <c r="P131" s="699">
        <f t="shared" si="20"/>
        <v>0</v>
      </c>
      <c r="Q131" s="698">
        <f t="shared" si="13"/>
        <v>0</v>
      </c>
      <c r="R131" s="700">
        <f t="shared" si="14"/>
        <v>0</v>
      </c>
    </row>
    <row r="132" spans="1:18" s="177" customFormat="1" ht="21.95" customHeight="1" x14ac:dyDescent="0.2">
      <c r="A132" s="393" t="s">
        <v>112</v>
      </c>
      <c r="B132" s="959" t="s">
        <v>2076</v>
      </c>
      <c r="C132" s="959" t="s">
        <v>2243</v>
      </c>
      <c r="D132" s="366">
        <f>VLOOKUP($B132,'Análise Física Detalhada'!$E$13:$V$380,18,0)</f>
        <v>1472.8077291888003</v>
      </c>
      <c r="E132" s="367">
        <f>VLOOKUP($B132,'Análise Física Detalhada'!$E$13:$P$380,12,0)</f>
        <v>0</v>
      </c>
      <c r="F132" s="368">
        <f t="shared" si="17"/>
        <v>0</v>
      </c>
      <c r="G132" s="696">
        <f>SUMIF('[2]Despesas Diretas'!$B$5:$B$9944,$B132,'[2]Despesas Diretas'!$H$5:$H$9944)</f>
        <v>0</v>
      </c>
      <c r="H132" s="696">
        <f>SUMIF('[3]Despesas Diretas'!$B$5:$B$9999,$B132,'[3]Despesas Diretas'!$H$5:$H$9999)</f>
        <v>0</v>
      </c>
      <c r="I132" s="696">
        <f>SUMIF([4]Comprometimento!$B$6:$B$147,$B132,[4]Comprometimento!$E$6:$E$147)</f>
        <v>0</v>
      </c>
      <c r="J132" s="696">
        <f>SUMIF([4]Estoque!$B$6:$B$880,$B132,[4]Estoque!$H$6:$H$880)</f>
        <v>0</v>
      </c>
      <c r="K132" s="697">
        <f t="shared" si="18"/>
        <v>0</v>
      </c>
      <c r="L132" s="698">
        <f t="shared" si="15"/>
        <v>0</v>
      </c>
      <c r="M132" s="699">
        <f t="shared" si="19"/>
        <v>0</v>
      </c>
      <c r="N132" s="698">
        <v>0</v>
      </c>
      <c r="O132" s="699">
        <v>0</v>
      </c>
      <c r="P132" s="699">
        <f t="shared" si="20"/>
        <v>0</v>
      </c>
      <c r="Q132" s="698">
        <f t="shared" si="13"/>
        <v>1</v>
      </c>
      <c r="R132" s="700">
        <f t="shared" si="14"/>
        <v>1472.8077291888003</v>
      </c>
    </row>
    <row r="133" spans="1:18" s="177" customFormat="1" ht="21.95" customHeight="1" x14ac:dyDescent="0.2">
      <c r="A133" s="393" t="s">
        <v>112</v>
      </c>
      <c r="B133" s="959" t="s">
        <v>2077</v>
      </c>
      <c r="C133" s="959" t="s">
        <v>2244</v>
      </c>
      <c r="D133" s="366">
        <f>VLOOKUP($B133,'Análise Física Detalhada'!$E$13:$V$380,18,0)</f>
        <v>768.55296983760024</v>
      </c>
      <c r="E133" s="367">
        <f>VLOOKUP($B133,'Análise Física Detalhada'!$E$13:$P$380,12,0)</f>
        <v>0</v>
      </c>
      <c r="F133" s="368">
        <f t="shared" si="17"/>
        <v>0</v>
      </c>
      <c r="G133" s="696">
        <f>SUMIF('[2]Despesas Diretas'!$B$5:$B$9944,$B133,'[2]Despesas Diretas'!$H$5:$H$9944)</f>
        <v>0</v>
      </c>
      <c r="H133" s="696">
        <f>SUMIF('[3]Despesas Diretas'!$B$5:$B$9999,$B133,'[3]Despesas Diretas'!$H$5:$H$9999)</f>
        <v>0</v>
      </c>
      <c r="I133" s="696">
        <f>SUMIF([4]Comprometimento!$B$6:$B$147,$B133,[4]Comprometimento!$E$6:$E$147)</f>
        <v>0</v>
      </c>
      <c r="J133" s="696">
        <f>SUMIF([4]Estoque!$B$6:$B$880,$B133,[4]Estoque!$H$6:$H$880)</f>
        <v>0</v>
      </c>
      <c r="K133" s="697">
        <f t="shared" si="18"/>
        <v>0</v>
      </c>
      <c r="L133" s="698">
        <f t="shared" si="15"/>
        <v>0</v>
      </c>
      <c r="M133" s="699">
        <f t="shared" si="19"/>
        <v>0</v>
      </c>
      <c r="N133" s="698">
        <v>0</v>
      </c>
      <c r="O133" s="699">
        <v>0</v>
      </c>
      <c r="P133" s="699">
        <f t="shared" si="20"/>
        <v>0</v>
      </c>
      <c r="Q133" s="698">
        <f t="shared" si="13"/>
        <v>1</v>
      </c>
      <c r="R133" s="700">
        <f t="shared" si="14"/>
        <v>768.55296983760024</v>
      </c>
    </row>
    <row r="134" spans="1:18" s="130" customFormat="1" ht="21.95" customHeight="1" x14ac:dyDescent="0.2">
      <c r="A134" s="393" t="s">
        <v>112</v>
      </c>
      <c r="B134" s="959" t="s">
        <v>2078</v>
      </c>
      <c r="C134" s="959" t="s">
        <v>2245</v>
      </c>
      <c r="D134" s="366">
        <f>VLOOKUP($B134,'Análise Física Detalhada'!$E$13:$V$380,18,0)</f>
        <v>1605.5617169088002</v>
      </c>
      <c r="E134" s="367">
        <f>VLOOKUP($B134,'Análise Física Detalhada'!$E$13:$P$380,12,0)</f>
        <v>0</v>
      </c>
      <c r="F134" s="368">
        <f t="shared" si="17"/>
        <v>0</v>
      </c>
      <c r="G134" s="696">
        <f>SUMIF('[2]Despesas Diretas'!$B$5:$B$9944,$B134,'[2]Despesas Diretas'!$H$5:$H$9944)</f>
        <v>0</v>
      </c>
      <c r="H134" s="696">
        <f>SUMIF('[3]Despesas Diretas'!$B$5:$B$9999,$B134,'[3]Despesas Diretas'!$H$5:$H$9999)</f>
        <v>0</v>
      </c>
      <c r="I134" s="696">
        <f>SUMIF([4]Comprometimento!$B$6:$B$147,$B134,[4]Comprometimento!$E$6:$E$147)</f>
        <v>0</v>
      </c>
      <c r="J134" s="696">
        <f>SUMIF([4]Estoque!$B$6:$B$880,$B134,[4]Estoque!$H$6:$H$880)</f>
        <v>0</v>
      </c>
      <c r="K134" s="697">
        <f t="shared" si="18"/>
        <v>0</v>
      </c>
      <c r="L134" s="698">
        <f t="shared" si="15"/>
        <v>0</v>
      </c>
      <c r="M134" s="699">
        <f t="shared" si="19"/>
        <v>0</v>
      </c>
      <c r="N134" s="698">
        <v>0</v>
      </c>
      <c r="O134" s="699">
        <v>0</v>
      </c>
      <c r="P134" s="699">
        <f t="shared" si="20"/>
        <v>0</v>
      </c>
      <c r="Q134" s="698">
        <f t="shared" si="13"/>
        <v>1</v>
      </c>
      <c r="R134" s="700">
        <f t="shared" si="14"/>
        <v>1605.5617169088002</v>
      </c>
    </row>
    <row r="135" spans="1:18" s="177" customFormat="1" ht="21.95" customHeight="1" x14ac:dyDescent="0.2">
      <c r="A135" s="393" t="s">
        <v>112</v>
      </c>
      <c r="B135" s="959" t="s">
        <v>2079</v>
      </c>
      <c r="C135" s="959" t="s">
        <v>1431</v>
      </c>
      <c r="D135" s="366">
        <f>VLOOKUP($B135,'Análise Física Detalhada'!$E$13:$V$380,18,0)</f>
        <v>8181.0828398232015</v>
      </c>
      <c r="E135" s="367">
        <f>VLOOKUP($B135,'Análise Física Detalhada'!$E$13:$P$380,12,0)</f>
        <v>0</v>
      </c>
      <c r="F135" s="368">
        <f t="shared" si="17"/>
        <v>0</v>
      </c>
      <c r="G135" s="696">
        <f>SUMIF('[2]Despesas Diretas'!$B$5:$B$9944,$B135,'[2]Despesas Diretas'!$H$5:$H$9944)</f>
        <v>0</v>
      </c>
      <c r="H135" s="696">
        <f>SUMIF('[3]Despesas Diretas'!$B$5:$B$9999,$B135,'[3]Despesas Diretas'!$H$5:$H$9999)</f>
        <v>0</v>
      </c>
      <c r="I135" s="696">
        <f>SUMIF([4]Comprometimento!$B$6:$B$147,$B135,[4]Comprometimento!$E$6:$E$147)</f>
        <v>0</v>
      </c>
      <c r="J135" s="696">
        <f>SUMIF([4]Estoque!$B$6:$B$880,$B135,[4]Estoque!$H$6:$H$880)</f>
        <v>0</v>
      </c>
      <c r="K135" s="697">
        <f t="shared" si="18"/>
        <v>0</v>
      </c>
      <c r="L135" s="698">
        <f t="shared" si="15"/>
        <v>0</v>
      </c>
      <c r="M135" s="699">
        <f t="shared" si="19"/>
        <v>0</v>
      </c>
      <c r="N135" s="698">
        <v>0</v>
      </c>
      <c r="O135" s="699">
        <v>0</v>
      </c>
      <c r="P135" s="699">
        <f t="shared" si="20"/>
        <v>0</v>
      </c>
      <c r="Q135" s="698">
        <f t="shared" si="13"/>
        <v>1</v>
      </c>
      <c r="R135" s="700">
        <f t="shared" si="14"/>
        <v>8181.0828398232015</v>
      </c>
    </row>
    <row r="136" spans="1:18" s="130" customFormat="1" ht="21.95" customHeight="1" x14ac:dyDescent="0.2">
      <c r="A136" s="393" t="s">
        <v>112</v>
      </c>
      <c r="B136" s="967" t="s">
        <v>2080</v>
      </c>
      <c r="C136" s="967" t="s">
        <v>1433</v>
      </c>
      <c r="D136" s="366">
        <f>VLOOKUP($B136,'Análise Física Detalhada'!$E$13:$V$380,18,0)</f>
        <v>0</v>
      </c>
      <c r="E136" s="367">
        <f>VLOOKUP($B136,'Análise Física Detalhada'!$E$13:$P$380,12,0)</f>
        <v>0</v>
      </c>
      <c r="F136" s="368">
        <f t="shared" si="17"/>
        <v>0</v>
      </c>
      <c r="G136" s="696">
        <f>SUMIF('[2]Despesas Diretas'!$B$5:$B$9944,$B136,'[2]Despesas Diretas'!$H$5:$H$9944)</f>
        <v>0</v>
      </c>
      <c r="H136" s="696">
        <f>SUMIF('[3]Despesas Diretas'!$B$5:$B$9999,$B136,'[3]Despesas Diretas'!$H$5:$H$9999)</f>
        <v>0</v>
      </c>
      <c r="I136" s="696">
        <f>SUMIF([4]Comprometimento!$B$6:$B$147,$B136,[4]Comprometimento!$E$6:$E$147)</f>
        <v>0</v>
      </c>
      <c r="J136" s="696">
        <f>SUMIF([4]Estoque!$B$6:$B$880,$B136,[4]Estoque!$H$6:$H$880)</f>
        <v>0</v>
      </c>
      <c r="K136" s="697">
        <f t="shared" si="18"/>
        <v>0</v>
      </c>
      <c r="L136" s="698">
        <f t="shared" si="15"/>
        <v>0</v>
      </c>
      <c r="M136" s="699">
        <f t="shared" si="19"/>
        <v>0</v>
      </c>
      <c r="N136" s="698">
        <v>0</v>
      </c>
      <c r="O136" s="699">
        <v>0</v>
      </c>
      <c r="P136" s="699">
        <f t="shared" si="20"/>
        <v>0</v>
      </c>
      <c r="Q136" s="698">
        <f t="shared" ref="Q136:Q199" si="24">IF($D136=0,0,IF(($F136/$D136)&lt;20%,1,IF($D136=0,0,IF(($F136/$D136)=1,$L136,IF(($F136/$D136)=0,1,IF($L136&lt;1,(+$L136*($F136/$D136))+(1-((1-$L136)/2))*(1-($F136/$D136)),(+$L136*($F136/$D136))+(1+(($L136-1)/2))*(1-($F136/$D136))))))))</f>
        <v>0</v>
      </c>
      <c r="R136" s="700">
        <f t="shared" ref="R136:R199" si="25">IF($Q136="","",$Q136*$D136)</f>
        <v>0</v>
      </c>
    </row>
    <row r="137" spans="1:18" s="130" customFormat="1" ht="21.95" customHeight="1" x14ac:dyDescent="0.2">
      <c r="A137" s="393" t="s">
        <v>112</v>
      </c>
      <c r="B137" s="959" t="s">
        <v>2081</v>
      </c>
      <c r="C137" s="959" t="s">
        <v>2085</v>
      </c>
      <c r="D137" s="366">
        <f>VLOOKUP($B137,'Análise Física Detalhada'!$E$13:$V$380,18,0)</f>
        <v>58.607283726000013</v>
      </c>
      <c r="E137" s="367">
        <f>VLOOKUP($B137,'Análise Física Detalhada'!$E$13:$P$380,12,0)</f>
        <v>0</v>
      </c>
      <c r="F137" s="368">
        <f t="shared" si="17"/>
        <v>0</v>
      </c>
      <c r="G137" s="696">
        <f>SUMIF('[2]Despesas Diretas'!$B$5:$B$9944,$B137,'[2]Despesas Diretas'!$H$5:$H$9944)</f>
        <v>0</v>
      </c>
      <c r="H137" s="696">
        <f>SUMIF('[3]Despesas Diretas'!$B$5:$B$9999,$B137,'[3]Despesas Diretas'!$H$5:$H$9999)</f>
        <v>0</v>
      </c>
      <c r="I137" s="696">
        <f>SUMIF([4]Comprometimento!$B$6:$B$147,$B137,[4]Comprometimento!$E$6:$E$147)</f>
        <v>0</v>
      </c>
      <c r="J137" s="696">
        <f>SUMIF([4]Estoque!$B$6:$B$880,$B137,[4]Estoque!$H$6:$H$880)</f>
        <v>0</v>
      </c>
      <c r="K137" s="697">
        <f t="shared" si="18"/>
        <v>0</v>
      </c>
      <c r="L137" s="698">
        <f t="shared" ref="L137:L200" si="26">IF($F137=0,0,$K137/$F137)</f>
        <v>0</v>
      </c>
      <c r="M137" s="699">
        <f t="shared" si="19"/>
        <v>0</v>
      </c>
      <c r="N137" s="698">
        <v>0</v>
      </c>
      <c r="O137" s="699">
        <v>0</v>
      </c>
      <c r="P137" s="699">
        <f t="shared" si="20"/>
        <v>0</v>
      </c>
      <c r="Q137" s="698">
        <f t="shared" si="24"/>
        <v>1</v>
      </c>
      <c r="R137" s="700">
        <f t="shared" si="25"/>
        <v>58.607283726000013</v>
      </c>
    </row>
    <row r="138" spans="1:18" s="177" customFormat="1" ht="21.95" customHeight="1" x14ac:dyDescent="0.2">
      <c r="A138" s="393" t="s">
        <v>112</v>
      </c>
      <c r="B138" s="959" t="s">
        <v>2083</v>
      </c>
      <c r="C138" s="959" t="s">
        <v>1960</v>
      </c>
      <c r="D138" s="366">
        <f>VLOOKUP($B138,'Análise Física Detalhada'!$E$13:$V$380,18,0)</f>
        <v>84.345091732800014</v>
      </c>
      <c r="E138" s="367">
        <f>VLOOKUP($B138,'Análise Física Detalhada'!$E$13:$P$380,12,0)</f>
        <v>0</v>
      </c>
      <c r="F138" s="368">
        <f t="shared" ref="F138:F201" si="27">E138*D138</f>
        <v>0</v>
      </c>
      <c r="G138" s="696">
        <f>SUMIF('[2]Despesas Diretas'!$B$5:$B$9944,$B138,'[2]Despesas Diretas'!$H$5:$H$9944)</f>
        <v>0</v>
      </c>
      <c r="H138" s="696">
        <f>SUMIF('[3]Despesas Diretas'!$B$5:$B$9999,$B138,'[3]Despesas Diretas'!$H$5:$H$9999)</f>
        <v>0</v>
      </c>
      <c r="I138" s="696">
        <f>SUMIF([4]Comprometimento!$B$6:$B$147,$B138,[4]Comprometimento!$E$6:$E$147)</f>
        <v>0</v>
      </c>
      <c r="J138" s="696">
        <f>SUMIF([4]Estoque!$B$6:$B$880,$B138,[4]Estoque!$H$6:$H$880)</f>
        <v>0</v>
      </c>
      <c r="K138" s="697">
        <f t="shared" ref="K138:K201" si="28">SUM($G138:$I138)-$J138</f>
        <v>0</v>
      </c>
      <c r="L138" s="698">
        <f t="shared" si="26"/>
        <v>0</v>
      </c>
      <c r="M138" s="699">
        <f t="shared" ref="M138:M201" si="29">$K138-$F138</f>
        <v>0</v>
      </c>
      <c r="N138" s="698">
        <v>0</v>
      </c>
      <c r="O138" s="699">
        <v>0</v>
      </c>
      <c r="P138" s="699">
        <f t="shared" ref="P138:P201" si="30">$M138-$O138</f>
        <v>0</v>
      </c>
      <c r="Q138" s="698">
        <f t="shared" si="24"/>
        <v>1</v>
      </c>
      <c r="R138" s="700">
        <f t="shared" si="25"/>
        <v>84.345091732800014</v>
      </c>
    </row>
    <row r="139" spans="1:18" s="130" customFormat="1" ht="21.95" customHeight="1" x14ac:dyDescent="0.2">
      <c r="A139" s="393" t="s">
        <v>112</v>
      </c>
      <c r="B139" s="959" t="s">
        <v>2084</v>
      </c>
      <c r="C139" s="959" t="s">
        <v>2082</v>
      </c>
      <c r="D139" s="366">
        <f>VLOOKUP($B139,'Análise Física Detalhada'!$E$13:$V$380,18,0)</f>
        <v>7.0287576444000015</v>
      </c>
      <c r="E139" s="367">
        <f>VLOOKUP($B139,'Análise Física Detalhada'!$E$13:$P$380,12,0)</f>
        <v>0</v>
      </c>
      <c r="F139" s="368">
        <f t="shared" si="27"/>
        <v>0</v>
      </c>
      <c r="G139" s="696">
        <f>SUMIF('[2]Despesas Diretas'!$B$5:$B$9944,$B139,'[2]Despesas Diretas'!$H$5:$H$9944)</f>
        <v>0</v>
      </c>
      <c r="H139" s="696">
        <f>SUMIF('[3]Despesas Diretas'!$B$5:$B$9999,$B139,'[3]Despesas Diretas'!$H$5:$H$9999)</f>
        <v>0</v>
      </c>
      <c r="I139" s="696">
        <f>SUMIF([4]Comprometimento!$B$6:$B$147,$B139,[4]Comprometimento!$E$6:$E$147)</f>
        <v>0</v>
      </c>
      <c r="J139" s="696">
        <f>SUMIF([4]Estoque!$B$6:$B$880,$B139,[4]Estoque!$H$6:$H$880)</f>
        <v>0</v>
      </c>
      <c r="K139" s="697">
        <f t="shared" si="28"/>
        <v>0</v>
      </c>
      <c r="L139" s="698">
        <f t="shared" si="26"/>
        <v>0</v>
      </c>
      <c r="M139" s="699">
        <f t="shared" si="29"/>
        <v>0</v>
      </c>
      <c r="N139" s="698">
        <v>0</v>
      </c>
      <c r="O139" s="699">
        <v>0</v>
      </c>
      <c r="P139" s="699">
        <f t="shared" si="30"/>
        <v>0</v>
      </c>
      <c r="Q139" s="698">
        <f t="shared" si="24"/>
        <v>1</v>
      </c>
      <c r="R139" s="700">
        <f t="shared" si="25"/>
        <v>7.0287576444000015</v>
      </c>
    </row>
    <row r="140" spans="1:18" s="177" customFormat="1" ht="21.95" customHeight="1" x14ac:dyDescent="0.2">
      <c r="A140" s="393" t="s">
        <v>112</v>
      </c>
      <c r="B140" s="959" t="s">
        <v>2086</v>
      </c>
      <c r="C140" s="959" t="s">
        <v>2246</v>
      </c>
      <c r="D140" s="366">
        <f>VLOOKUP($B140,'Análise Física Detalhada'!$E$13:$V$380,18,0)</f>
        <v>7702.4275315416007</v>
      </c>
      <c r="E140" s="367">
        <f>VLOOKUP($B140,'Análise Física Detalhada'!$E$13:$P$380,12,0)</f>
        <v>0</v>
      </c>
      <c r="F140" s="368">
        <f t="shared" si="27"/>
        <v>0</v>
      </c>
      <c r="G140" s="696">
        <f>SUMIF('[2]Despesas Diretas'!$B$5:$B$9944,$B140,'[2]Despesas Diretas'!$H$5:$H$9944)</f>
        <v>0</v>
      </c>
      <c r="H140" s="696">
        <f>SUMIF('[3]Despesas Diretas'!$B$5:$B$9999,$B140,'[3]Despesas Diretas'!$H$5:$H$9999)</f>
        <v>0</v>
      </c>
      <c r="I140" s="696">
        <f>SUMIF([4]Comprometimento!$B$6:$B$147,$B140,[4]Comprometimento!$E$6:$E$147)</f>
        <v>0</v>
      </c>
      <c r="J140" s="696">
        <f>SUMIF([4]Estoque!$B$6:$B$880,$B140,[4]Estoque!$H$6:$H$880)</f>
        <v>0</v>
      </c>
      <c r="K140" s="697">
        <f t="shared" si="28"/>
        <v>0</v>
      </c>
      <c r="L140" s="698">
        <f t="shared" si="26"/>
        <v>0</v>
      </c>
      <c r="M140" s="699">
        <f t="shared" si="29"/>
        <v>0</v>
      </c>
      <c r="N140" s="698">
        <v>0</v>
      </c>
      <c r="O140" s="699">
        <v>0</v>
      </c>
      <c r="P140" s="699">
        <f t="shared" si="30"/>
        <v>0</v>
      </c>
      <c r="Q140" s="698">
        <f t="shared" si="24"/>
        <v>1</v>
      </c>
      <c r="R140" s="700">
        <f t="shared" si="25"/>
        <v>7702.4275315416007</v>
      </c>
    </row>
    <row r="141" spans="1:18" s="130" customFormat="1" ht="21.95" customHeight="1" x14ac:dyDescent="0.2">
      <c r="A141" s="393" t="s">
        <v>112</v>
      </c>
      <c r="B141" s="967" t="s">
        <v>637</v>
      </c>
      <c r="C141" s="967" t="s">
        <v>639</v>
      </c>
      <c r="D141" s="366">
        <f>VLOOKUP($B141,'Análise Física Detalhada'!$E$13:$V$380,18,0)</f>
        <v>0</v>
      </c>
      <c r="E141" s="367">
        <f>VLOOKUP($B141,'Análise Física Detalhada'!$E$13:$P$380,12,0)</f>
        <v>0</v>
      </c>
      <c r="F141" s="368">
        <f t="shared" si="27"/>
        <v>0</v>
      </c>
      <c r="G141" s="696">
        <f>SUMIF('[2]Despesas Diretas'!$B$5:$B$9944,$B141,'[2]Despesas Diretas'!$H$5:$H$9944)</f>
        <v>0</v>
      </c>
      <c r="H141" s="696">
        <f>SUMIF('[3]Despesas Diretas'!$B$5:$B$9999,$B141,'[3]Despesas Diretas'!$H$5:$H$9999)</f>
        <v>0</v>
      </c>
      <c r="I141" s="696">
        <f>SUMIF([4]Comprometimento!$B$6:$B$147,$B141,[4]Comprometimento!$E$6:$E$147)</f>
        <v>0</v>
      </c>
      <c r="J141" s="696">
        <f>SUMIF([4]Estoque!$B$6:$B$880,$B141,[4]Estoque!$H$6:$H$880)</f>
        <v>0</v>
      </c>
      <c r="K141" s="697">
        <f t="shared" si="28"/>
        <v>0</v>
      </c>
      <c r="L141" s="698">
        <f t="shared" si="26"/>
        <v>0</v>
      </c>
      <c r="M141" s="699">
        <f t="shared" si="29"/>
        <v>0</v>
      </c>
      <c r="N141" s="698">
        <v>0</v>
      </c>
      <c r="O141" s="699">
        <v>0</v>
      </c>
      <c r="P141" s="699">
        <f t="shared" si="30"/>
        <v>0</v>
      </c>
      <c r="Q141" s="698">
        <f t="shared" si="24"/>
        <v>0</v>
      </c>
      <c r="R141" s="700">
        <f t="shared" si="25"/>
        <v>0</v>
      </c>
    </row>
    <row r="142" spans="1:18" s="155" customFormat="1" ht="21.95" customHeight="1" x14ac:dyDescent="0.2">
      <c r="A142" s="393" t="s">
        <v>112</v>
      </c>
      <c r="B142" s="967" t="s">
        <v>1414</v>
      </c>
      <c r="C142" s="967" t="s">
        <v>1436</v>
      </c>
      <c r="D142" s="366">
        <f>VLOOKUP($B142,'Análise Física Detalhada'!$E$13:$V$380,18,0)</f>
        <v>0</v>
      </c>
      <c r="E142" s="367">
        <f>VLOOKUP($B142,'Análise Física Detalhada'!$E$13:$P$380,12,0)</f>
        <v>0</v>
      </c>
      <c r="F142" s="368">
        <f t="shared" si="27"/>
        <v>0</v>
      </c>
      <c r="G142" s="696">
        <f>SUMIF('[2]Despesas Diretas'!$B$5:$B$9944,$B142,'[2]Despesas Diretas'!$H$5:$H$9944)</f>
        <v>0</v>
      </c>
      <c r="H142" s="696">
        <f>SUMIF('[3]Despesas Diretas'!$B$5:$B$9999,$B142,'[3]Despesas Diretas'!$H$5:$H$9999)</f>
        <v>0</v>
      </c>
      <c r="I142" s="696">
        <f>SUMIF([4]Comprometimento!$B$6:$B$147,$B142,[4]Comprometimento!$E$6:$E$147)</f>
        <v>0</v>
      </c>
      <c r="J142" s="696">
        <f>SUMIF([4]Estoque!$B$6:$B$880,$B142,[4]Estoque!$H$6:$H$880)</f>
        <v>0</v>
      </c>
      <c r="K142" s="697">
        <f t="shared" si="28"/>
        <v>0</v>
      </c>
      <c r="L142" s="698">
        <f t="shared" si="26"/>
        <v>0</v>
      </c>
      <c r="M142" s="699">
        <f t="shared" si="29"/>
        <v>0</v>
      </c>
      <c r="N142" s="698">
        <v>0</v>
      </c>
      <c r="O142" s="699">
        <v>0</v>
      </c>
      <c r="P142" s="699">
        <f t="shared" si="30"/>
        <v>0</v>
      </c>
      <c r="Q142" s="698">
        <f t="shared" si="24"/>
        <v>0</v>
      </c>
      <c r="R142" s="700">
        <f t="shared" si="25"/>
        <v>0</v>
      </c>
    </row>
    <row r="143" spans="1:18" s="177" customFormat="1" ht="21.95" customHeight="1" x14ac:dyDescent="0.2">
      <c r="A143" s="393" t="s">
        <v>112</v>
      </c>
      <c r="B143" s="959" t="s">
        <v>1416</v>
      </c>
      <c r="C143" s="959" t="s">
        <v>783</v>
      </c>
      <c r="D143" s="366">
        <f>VLOOKUP($B143,'Análise Física Detalhada'!$E$13:$V$380,18,0)</f>
        <v>1555.8252810444003</v>
      </c>
      <c r="E143" s="367">
        <f>VLOOKUP($B143,'Análise Física Detalhada'!$E$13:$P$380,12,0)</f>
        <v>0</v>
      </c>
      <c r="F143" s="368">
        <f t="shared" si="27"/>
        <v>0</v>
      </c>
      <c r="G143" s="696">
        <f>SUMIF('[2]Despesas Diretas'!$B$5:$B$9944,$B143,'[2]Despesas Diretas'!$H$5:$H$9944)</f>
        <v>0</v>
      </c>
      <c r="H143" s="696">
        <f>SUMIF('[3]Despesas Diretas'!$B$5:$B$9999,$B143,'[3]Despesas Diretas'!$H$5:$H$9999)</f>
        <v>0</v>
      </c>
      <c r="I143" s="696">
        <f>SUMIF([4]Comprometimento!$B$6:$B$147,$B143,[4]Comprometimento!$E$6:$E$147)</f>
        <v>0</v>
      </c>
      <c r="J143" s="696">
        <f>SUMIF([4]Estoque!$B$6:$B$880,$B143,[4]Estoque!$H$6:$H$880)</f>
        <v>0</v>
      </c>
      <c r="K143" s="697">
        <f t="shared" si="28"/>
        <v>0</v>
      </c>
      <c r="L143" s="698">
        <f t="shared" si="26"/>
        <v>0</v>
      </c>
      <c r="M143" s="699">
        <f t="shared" si="29"/>
        <v>0</v>
      </c>
      <c r="N143" s="698">
        <v>0</v>
      </c>
      <c r="O143" s="699">
        <v>0</v>
      </c>
      <c r="P143" s="699">
        <f t="shared" si="30"/>
        <v>0</v>
      </c>
      <c r="Q143" s="698">
        <f t="shared" si="24"/>
        <v>1</v>
      </c>
      <c r="R143" s="700">
        <f t="shared" si="25"/>
        <v>1555.8252810444003</v>
      </c>
    </row>
    <row r="144" spans="1:18" s="130" customFormat="1" ht="21.95" customHeight="1" x14ac:dyDescent="0.2">
      <c r="A144" s="393" t="s">
        <v>112</v>
      </c>
      <c r="B144" s="959" t="s">
        <v>1418</v>
      </c>
      <c r="C144" s="959" t="s">
        <v>1437</v>
      </c>
      <c r="D144" s="366">
        <f>VLOOKUP($B144,'Análise Física Detalhada'!$E$13:$V$380,18,0)</f>
        <v>3573.5315292864002</v>
      </c>
      <c r="E144" s="367">
        <f>VLOOKUP($B144,'Análise Física Detalhada'!$E$13:$P$380,12,0)</f>
        <v>0</v>
      </c>
      <c r="F144" s="368">
        <f t="shared" si="27"/>
        <v>0</v>
      </c>
      <c r="G144" s="696">
        <f>SUMIF('[2]Despesas Diretas'!$B$5:$B$9944,$B144,'[2]Despesas Diretas'!$H$5:$H$9944)</f>
        <v>0</v>
      </c>
      <c r="H144" s="696">
        <f>SUMIF('[3]Despesas Diretas'!$B$5:$B$9999,$B144,'[3]Despesas Diretas'!$H$5:$H$9999)</f>
        <v>0</v>
      </c>
      <c r="I144" s="696">
        <f>SUMIF([4]Comprometimento!$B$6:$B$147,$B144,[4]Comprometimento!$E$6:$E$147)</f>
        <v>0</v>
      </c>
      <c r="J144" s="696">
        <f>SUMIF([4]Estoque!$B$6:$B$880,$B144,[4]Estoque!$H$6:$H$880)</f>
        <v>0</v>
      </c>
      <c r="K144" s="697">
        <f t="shared" si="28"/>
        <v>0</v>
      </c>
      <c r="L144" s="698">
        <f t="shared" si="26"/>
        <v>0</v>
      </c>
      <c r="M144" s="699">
        <f t="shared" si="29"/>
        <v>0</v>
      </c>
      <c r="N144" s="698">
        <v>0</v>
      </c>
      <c r="O144" s="699">
        <v>0</v>
      </c>
      <c r="P144" s="699">
        <f t="shared" si="30"/>
        <v>0</v>
      </c>
      <c r="Q144" s="698">
        <f t="shared" si="24"/>
        <v>1</v>
      </c>
      <c r="R144" s="700">
        <f t="shared" si="25"/>
        <v>3573.5315292864002</v>
      </c>
    </row>
    <row r="145" spans="1:18" s="130" customFormat="1" ht="21.95" customHeight="1" x14ac:dyDescent="0.2">
      <c r="A145" s="393" t="s">
        <v>112</v>
      </c>
      <c r="B145" s="959" t="s">
        <v>1420</v>
      </c>
      <c r="C145" s="959" t="s">
        <v>2247</v>
      </c>
      <c r="D145" s="366">
        <f>VLOOKUP($B145,'Análise Física Detalhada'!$E$13:$V$380,18,0)</f>
        <v>657.38951438399999</v>
      </c>
      <c r="E145" s="367">
        <f>VLOOKUP($B145,'Análise Física Detalhada'!$E$13:$P$380,12,0)</f>
        <v>0</v>
      </c>
      <c r="F145" s="368">
        <f t="shared" si="27"/>
        <v>0</v>
      </c>
      <c r="G145" s="696">
        <f>SUMIF('[2]Despesas Diretas'!$B$5:$B$9944,$B145,'[2]Despesas Diretas'!$H$5:$H$9944)</f>
        <v>0</v>
      </c>
      <c r="H145" s="696">
        <f>SUMIF('[3]Despesas Diretas'!$B$5:$B$9999,$B145,'[3]Despesas Diretas'!$H$5:$H$9999)</f>
        <v>0</v>
      </c>
      <c r="I145" s="696">
        <f>SUMIF([4]Comprometimento!$B$6:$B$147,$B145,[4]Comprometimento!$E$6:$E$147)</f>
        <v>0</v>
      </c>
      <c r="J145" s="696">
        <f>SUMIF([4]Estoque!$B$6:$B$880,$B145,[4]Estoque!$H$6:$H$880)</f>
        <v>0</v>
      </c>
      <c r="K145" s="697">
        <f t="shared" si="28"/>
        <v>0</v>
      </c>
      <c r="L145" s="698">
        <f t="shared" si="26"/>
        <v>0</v>
      </c>
      <c r="M145" s="699">
        <f t="shared" si="29"/>
        <v>0</v>
      </c>
      <c r="N145" s="698">
        <v>0</v>
      </c>
      <c r="O145" s="699">
        <v>0</v>
      </c>
      <c r="P145" s="699">
        <f t="shared" si="30"/>
        <v>0</v>
      </c>
      <c r="Q145" s="698">
        <f t="shared" si="24"/>
        <v>1</v>
      </c>
      <c r="R145" s="700">
        <f t="shared" si="25"/>
        <v>657.38951438399999</v>
      </c>
    </row>
    <row r="146" spans="1:18" s="130" customFormat="1" ht="21.95" customHeight="1" x14ac:dyDescent="0.2">
      <c r="A146" s="393" t="s">
        <v>112</v>
      </c>
      <c r="B146" s="967" t="s">
        <v>1426</v>
      </c>
      <c r="C146" s="967" t="s">
        <v>1438</v>
      </c>
      <c r="D146" s="366">
        <f>VLOOKUP($B146,'Análise Física Detalhada'!$E$13:$V$380,18,0)</f>
        <v>0</v>
      </c>
      <c r="E146" s="367">
        <f>VLOOKUP($B146,'Análise Física Detalhada'!$E$13:$P$380,12,0)</f>
        <v>0</v>
      </c>
      <c r="F146" s="368">
        <f t="shared" si="27"/>
        <v>0</v>
      </c>
      <c r="G146" s="696">
        <f>SUMIF('[2]Despesas Diretas'!$B$5:$B$9944,$B146,'[2]Despesas Diretas'!$H$5:$H$9944)</f>
        <v>0</v>
      </c>
      <c r="H146" s="696">
        <f>SUMIF('[3]Despesas Diretas'!$B$5:$B$9999,$B146,'[3]Despesas Diretas'!$H$5:$H$9999)</f>
        <v>0</v>
      </c>
      <c r="I146" s="696">
        <f>SUMIF([4]Comprometimento!$B$6:$B$147,$B146,[4]Comprometimento!$E$6:$E$147)</f>
        <v>0</v>
      </c>
      <c r="J146" s="696">
        <f>SUMIF([4]Estoque!$B$6:$B$880,$B146,[4]Estoque!$H$6:$H$880)</f>
        <v>0</v>
      </c>
      <c r="K146" s="697">
        <f t="shared" si="28"/>
        <v>0</v>
      </c>
      <c r="L146" s="698">
        <f t="shared" si="26"/>
        <v>0</v>
      </c>
      <c r="M146" s="699">
        <f t="shared" si="29"/>
        <v>0</v>
      </c>
      <c r="N146" s="698">
        <v>0</v>
      </c>
      <c r="O146" s="699">
        <v>0</v>
      </c>
      <c r="P146" s="699">
        <f t="shared" si="30"/>
        <v>0</v>
      </c>
      <c r="Q146" s="698">
        <f t="shared" si="24"/>
        <v>0</v>
      </c>
      <c r="R146" s="700">
        <f t="shared" si="25"/>
        <v>0</v>
      </c>
    </row>
    <row r="147" spans="1:18" s="177" customFormat="1" ht="21.95" customHeight="1" x14ac:dyDescent="0.2">
      <c r="A147" s="393" t="s">
        <v>112</v>
      </c>
      <c r="B147" s="959" t="s">
        <v>1428</v>
      </c>
      <c r="C147" s="959" t="s">
        <v>2248</v>
      </c>
      <c r="D147" s="366">
        <f>VLOOKUP($B147,'Análise Física Detalhada'!$E$13:$V$380,18,0)</f>
        <v>1305.8978898996004</v>
      </c>
      <c r="E147" s="367">
        <f>VLOOKUP($B147,'Análise Física Detalhada'!$E$13:$P$380,12,0)</f>
        <v>0</v>
      </c>
      <c r="F147" s="368">
        <f t="shared" si="27"/>
        <v>0</v>
      </c>
      <c r="G147" s="696">
        <f>SUMIF('[2]Despesas Diretas'!$B$5:$B$9944,$B147,'[2]Despesas Diretas'!$H$5:$H$9944)</f>
        <v>0</v>
      </c>
      <c r="H147" s="696">
        <f>SUMIF('[3]Despesas Diretas'!$B$5:$B$9999,$B147,'[3]Despesas Diretas'!$H$5:$H$9999)</f>
        <v>0</v>
      </c>
      <c r="I147" s="696">
        <f>SUMIF([4]Comprometimento!$B$6:$B$147,$B147,[4]Comprometimento!$E$6:$E$147)</f>
        <v>0</v>
      </c>
      <c r="J147" s="696">
        <f>SUMIF([4]Estoque!$B$6:$B$880,$B147,[4]Estoque!$H$6:$H$880)</f>
        <v>0</v>
      </c>
      <c r="K147" s="697">
        <f t="shared" si="28"/>
        <v>0</v>
      </c>
      <c r="L147" s="698">
        <f t="shared" si="26"/>
        <v>0</v>
      </c>
      <c r="M147" s="699">
        <f t="shared" si="29"/>
        <v>0</v>
      </c>
      <c r="N147" s="698">
        <v>0</v>
      </c>
      <c r="O147" s="699">
        <v>0</v>
      </c>
      <c r="P147" s="699">
        <f t="shared" si="30"/>
        <v>0</v>
      </c>
      <c r="Q147" s="698">
        <f t="shared" si="24"/>
        <v>1</v>
      </c>
      <c r="R147" s="700">
        <f t="shared" si="25"/>
        <v>1305.8978898996004</v>
      </c>
    </row>
    <row r="148" spans="1:18" s="130" customFormat="1" ht="21.95" customHeight="1" x14ac:dyDescent="0.2">
      <c r="A148" s="393" t="s">
        <v>112</v>
      </c>
      <c r="B148" s="959" t="s">
        <v>1429</v>
      </c>
      <c r="C148" s="959" t="s">
        <v>2249</v>
      </c>
      <c r="D148" s="366">
        <f>VLOOKUP($B148,'Análise Física Detalhada'!$E$13:$V$380,18,0)</f>
        <v>2711.4024346164001</v>
      </c>
      <c r="E148" s="367">
        <f>VLOOKUP($B148,'Análise Física Detalhada'!$E$13:$P$380,12,0)</f>
        <v>0</v>
      </c>
      <c r="F148" s="368">
        <f t="shared" si="27"/>
        <v>0</v>
      </c>
      <c r="G148" s="696">
        <f>SUMIF('[2]Despesas Diretas'!$B$5:$B$9944,$B148,'[2]Despesas Diretas'!$H$5:$H$9944)</f>
        <v>0</v>
      </c>
      <c r="H148" s="696">
        <f>SUMIF('[3]Despesas Diretas'!$B$5:$B$9999,$B148,'[3]Despesas Diretas'!$H$5:$H$9999)</f>
        <v>0</v>
      </c>
      <c r="I148" s="696">
        <f>SUMIF([4]Comprometimento!$B$6:$B$147,$B148,[4]Comprometimento!$E$6:$E$147)</f>
        <v>0</v>
      </c>
      <c r="J148" s="696">
        <f>SUMIF([4]Estoque!$B$6:$B$880,$B148,[4]Estoque!$H$6:$H$880)</f>
        <v>0</v>
      </c>
      <c r="K148" s="697">
        <f t="shared" si="28"/>
        <v>0</v>
      </c>
      <c r="L148" s="698">
        <f t="shared" si="26"/>
        <v>0</v>
      </c>
      <c r="M148" s="699">
        <f t="shared" si="29"/>
        <v>0</v>
      </c>
      <c r="N148" s="698">
        <v>0</v>
      </c>
      <c r="O148" s="699">
        <v>0</v>
      </c>
      <c r="P148" s="699">
        <f t="shared" si="30"/>
        <v>0</v>
      </c>
      <c r="Q148" s="698">
        <f t="shared" si="24"/>
        <v>1</v>
      </c>
      <c r="R148" s="700">
        <f t="shared" si="25"/>
        <v>2711.4024346164001</v>
      </c>
    </row>
    <row r="149" spans="1:18" s="130" customFormat="1" ht="21.95" customHeight="1" x14ac:dyDescent="0.2">
      <c r="A149" s="393" t="s">
        <v>112</v>
      </c>
      <c r="B149" s="959" t="s">
        <v>1430</v>
      </c>
      <c r="C149" s="959" t="s">
        <v>1439</v>
      </c>
      <c r="D149" s="366">
        <f>VLOOKUP($B149,'Análise Física Detalhada'!$E$13:$V$380,18,0)</f>
        <v>996.08713018560013</v>
      </c>
      <c r="E149" s="367">
        <f>VLOOKUP($B149,'Análise Física Detalhada'!$E$13:$P$380,12,0)</f>
        <v>0</v>
      </c>
      <c r="F149" s="368">
        <f t="shared" si="27"/>
        <v>0</v>
      </c>
      <c r="G149" s="696">
        <f>SUMIF('[2]Despesas Diretas'!$B$5:$B$9944,$B149,'[2]Despesas Diretas'!$H$5:$H$9944)</f>
        <v>0</v>
      </c>
      <c r="H149" s="696">
        <f>SUMIF('[3]Despesas Diretas'!$B$5:$B$9999,$B149,'[3]Despesas Diretas'!$H$5:$H$9999)</f>
        <v>0</v>
      </c>
      <c r="I149" s="696">
        <f>SUMIF([4]Comprometimento!$B$6:$B$147,$B149,[4]Comprometimento!$E$6:$E$147)</f>
        <v>0</v>
      </c>
      <c r="J149" s="696">
        <f>SUMIF([4]Estoque!$B$6:$B$880,$B149,[4]Estoque!$H$6:$H$880)</f>
        <v>0</v>
      </c>
      <c r="K149" s="697">
        <f t="shared" si="28"/>
        <v>0</v>
      </c>
      <c r="L149" s="698">
        <f t="shared" si="26"/>
        <v>0</v>
      </c>
      <c r="M149" s="699">
        <f t="shared" si="29"/>
        <v>0</v>
      </c>
      <c r="N149" s="698">
        <v>0</v>
      </c>
      <c r="O149" s="699">
        <v>0</v>
      </c>
      <c r="P149" s="699">
        <f t="shared" si="30"/>
        <v>0</v>
      </c>
      <c r="Q149" s="698">
        <f t="shared" si="24"/>
        <v>1</v>
      </c>
      <c r="R149" s="700">
        <f t="shared" si="25"/>
        <v>996.08713018560013</v>
      </c>
    </row>
    <row r="150" spans="1:18" s="130" customFormat="1" ht="21.95" customHeight="1" x14ac:dyDescent="0.2">
      <c r="A150" s="393" t="s">
        <v>112</v>
      </c>
      <c r="B150" s="967" t="s">
        <v>1432</v>
      </c>
      <c r="C150" s="967" t="s">
        <v>1440</v>
      </c>
      <c r="D150" s="366">
        <f>VLOOKUP($B150,'Análise Física Detalhada'!$E$13:$V$380,18,0)</f>
        <v>0</v>
      </c>
      <c r="E150" s="367">
        <f>VLOOKUP($B150,'Análise Física Detalhada'!$E$13:$P$380,12,0)</f>
        <v>0</v>
      </c>
      <c r="F150" s="368">
        <f t="shared" si="27"/>
        <v>0</v>
      </c>
      <c r="G150" s="696">
        <f>SUMIF('[2]Despesas Diretas'!$B$5:$B$9944,$B150,'[2]Despesas Diretas'!$H$5:$H$9944)</f>
        <v>0</v>
      </c>
      <c r="H150" s="696">
        <f>SUMIF('[3]Despesas Diretas'!$B$5:$B$9999,$B150,'[3]Despesas Diretas'!$H$5:$H$9999)</f>
        <v>0</v>
      </c>
      <c r="I150" s="696">
        <f>SUMIF([4]Comprometimento!$B$6:$B$147,$B150,[4]Comprometimento!$E$6:$E$147)</f>
        <v>0</v>
      </c>
      <c r="J150" s="696">
        <f>SUMIF([4]Estoque!$B$6:$B$880,$B150,[4]Estoque!$H$6:$H$880)</f>
        <v>0</v>
      </c>
      <c r="K150" s="697">
        <f t="shared" si="28"/>
        <v>0</v>
      </c>
      <c r="L150" s="698">
        <f t="shared" si="26"/>
        <v>0</v>
      </c>
      <c r="M150" s="699">
        <f t="shared" si="29"/>
        <v>0</v>
      </c>
      <c r="N150" s="698">
        <v>0</v>
      </c>
      <c r="O150" s="699">
        <v>0</v>
      </c>
      <c r="P150" s="699">
        <f t="shared" si="30"/>
        <v>0</v>
      </c>
      <c r="Q150" s="698">
        <f t="shared" si="24"/>
        <v>0</v>
      </c>
      <c r="R150" s="700">
        <f t="shared" si="25"/>
        <v>0</v>
      </c>
    </row>
    <row r="151" spans="1:18" s="130" customFormat="1" ht="21.95" customHeight="1" x14ac:dyDescent="0.2">
      <c r="A151" s="393" t="s">
        <v>112</v>
      </c>
      <c r="B151" s="959" t="s">
        <v>1434</v>
      </c>
      <c r="C151" s="959" t="s">
        <v>496</v>
      </c>
      <c r="D151" s="366">
        <f>VLOOKUP($B151,'Análise Física Detalhada'!$E$13:$V$380,18,0)</f>
        <v>1.6774341084000002</v>
      </c>
      <c r="E151" s="367">
        <f>VLOOKUP($B151,'Análise Física Detalhada'!$E$13:$P$380,12,0)</f>
        <v>0</v>
      </c>
      <c r="F151" s="368">
        <f t="shared" si="27"/>
        <v>0</v>
      </c>
      <c r="G151" s="696">
        <f>SUMIF('[2]Despesas Diretas'!$B$5:$B$9944,$B151,'[2]Despesas Diretas'!$H$5:$H$9944)</f>
        <v>0</v>
      </c>
      <c r="H151" s="696">
        <f>SUMIF('[3]Despesas Diretas'!$B$5:$B$9999,$B151,'[3]Despesas Diretas'!$H$5:$H$9999)</f>
        <v>0</v>
      </c>
      <c r="I151" s="696">
        <f>SUMIF([4]Comprometimento!$B$6:$B$147,$B151,[4]Comprometimento!$E$6:$E$147)</f>
        <v>0</v>
      </c>
      <c r="J151" s="696">
        <f>SUMIF([4]Estoque!$B$6:$B$880,$B151,[4]Estoque!$H$6:$H$880)</f>
        <v>0</v>
      </c>
      <c r="K151" s="697">
        <f t="shared" si="28"/>
        <v>0</v>
      </c>
      <c r="L151" s="698">
        <f t="shared" si="26"/>
        <v>0</v>
      </c>
      <c r="M151" s="699">
        <f t="shared" si="29"/>
        <v>0</v>
      </c>
      <c r="N151" s="698">
        <v>0</v>
      </c>
      <c r="O151" s="699">
        <v>0</v>
      </c>
      <c r="P151" s="699">
        <f t="shared" si="30"/>
        <v>0</v>
      </c>
      <c r="Q151" s="698">
        <f t="shared" si="24"/>
        <v>1</v>
      </c>
      <c r="R151" s="700">
        <f t="shared" si="25"/>
        <v>1.6774341084000002</v>
      </c>
    </row>
    <row r="152" spans="1:18" s="155" customFormat="1" ht="21.95" customHeight="1" x14ac:dyDescent="0.2">
      <c r="A152" s="393" t="s">
        <v>112</v>
      </c>
      <c r="B152" s="959" t="s">
        <v>1435</v>
      </c>
      <c r="C152" s="959" t="s">
        <v>2250</v>
      </c>
      <c r="D152" s="366">
        <f>VLOOKUP($B152,'Análise Física Detalhada'!$E$13:$V$380,18,0)</f>
        <v>79.034932224000016</v>
      </c>
      <c r="E152" s="367">
        <f>VLOOKUP($B152,'Análise Física Detalhada'!$E$13:$P$380,12,0)</f>
        <v>0</v>
      </c>
      <c r="F152" s="368">
        <f t="shared" si="27"/>
        <v>0</v>
      </c>
      <c r="G152" s="696">
        <f>SUMIF('[2]Despesas Diretas'!$B$5:$B$9944,$B152,'[2]Despesas Diretas'!$H$5:$H$9944)</f>
        <v>0</v>
      </c>
      <c r="H152" s="696">
        <f>SUMIF('[3]Despesas Diretas'!$B$5:$B$9999,$B152,'[3]Despesas Diretas'!$H$5:$H$9999)</f>
        <v>0</v>
      </c>
      <c r="I152" s="696">
        <f>SUMIF([4]Comprometimento!$B$6:$B$147,$B152,[4]Comprometimento!$E$6:$E$147)</f>
        <v>0</v>
      </c>
      <c r="J152" s="696">
        <f>SUMIF([4]Estoque!$B$6:$B$880,$B152,[4]Estoque!$H$6:$H$880)</f>
        <v>0</v>
      </c>
      <c r="K152" s="697">
        <f t="shared" si="28"/>
        <v>0</v>
      </c>
      <c r="L152" s="698">
        <f t="shared" si="26"/>
        <v>0</v>
      </c>
      <c r="M152" s="699">
        <f t="shared" si="29"/>
        <v>0</v>
      </c>
      <c r="N152" s="698">
        <v>0</v>
      </c>
      <c r="O152" s="699">
        <v>0</v>
      </c>
      <c r="P152" s="699">
        <f t="shared" si="30"/>
        <v>0</v>
      </c>
      <c r="Q152" s="698">
        <f t="shared" si="24"/>
        <v>1</v>
      </c>
      <c r="R152" s="700">
        <f t="shared" si="25"/>
        <v>79.034932224000016</v>
      </c>
    </row>
    <row r="153" spans="1:18" s="130" customFormat="1" ht="21.95" customHeight="1" x14ac:dyDescent="0.2">
      <c r="A153" s="393" t="s">
        <v>112</v>
      </c>
      <c r="B153" s="967" t="s">
        <v>2087</v>
      </c>
      <c r="C153" s="967" t="s">
        <v>1441</v>
      </c>
      <c r="D153" s="366">
        <f>VLOOKUP($B153,'Análise Física Detalhada'!$E$13:$V$380,18,0)</f>
        <v>0</v>
      </c>
      <c r="E153" s="367">
        <f>VLOOKUP($B153,'Análise Física Detalhada'!$E$13:$P$380,12,0)</f>
        <v>0</v>
      </c>
      <c r="F153" s="368">
        <f t="shared" si="27"/>
        <v>0</v>
      </c>
      <c r="G153" s="696">
        <f>SUMIF('[2]Despesas Diretas'!$B$5:$B$9944,$B153,'[2]Despesas Diretas'!$H$5:$H$9944)</f>
        <v>0</v>
      </c>
      <c r="H153" s="696">
        <f>SUMIF('[3]Despesas Diretas'!$B$5:$B$9999,$B153,'[3]Despesas Diretas'!$H$5:$H$9999)</f>
        <v>0</v>
      </c>
      <c r="I153" s="696">
        <f>SUMIF([4]Comprometimento!$B$6:$B$147,$B153,[4]Comprometimento!$E$6:$E$147)</f>
        <v>0</v>
      </c>
      <c r="J153" s="696">
        <f>SUMIF([4]Estoque!$B$6:$B$880,$B153,[4]Estoque!$H$6:$H$880)</f>
        <v>0</v>
      </c>
      <c r="K153" s="697">
        <f t="shared" si="28"/>
        <v>0</v>
      </c>
      <c r="L153" s="698">
        <f t="shared" si="26"/>
        <v>0</v>
      </c>
      <c r="M153" s="699">
        <f t="shared" si="29"/>
        <v>0</v>
      </c>
      <c r="N153" s="698">
        <v>0</v>
      </c>
      <c r="O153" s="699">
        <v>0</v>
      </c>
      <c r="P153" s="699">
        <f t="shared" si="30"/>
        <v>0</v>
      </c>
      <c r="Q153" s="698">
        <f t="shared" si="24"/>
        <v>0</v>
      </c>
      <c r="R153" s="700">
        <f t="shared" si="25"/>
        <v>0</v>
      </c>
    </row>
    <row r="154" spans="1:18" s="130" customFormat="1" ht="21.95" customHeight="1" x14ac:dyDescent="0.2">
      <c r="A154" s="393" t="s">
        <v>112</v>
      </c>
      <c r="B154" s="959" t="s">
        <v>2088</v>
      </c>
      <c r="C154" s="959" t="s">
        <v>1442</v>
      </c>
      <c r="D154" s="366">
        <f>VLOOKUP($B154,'Análise Física Detalhada'!$E$13:$V$380,18,0)</f>
        <v>16341.213189801603</v>
      </c>
      <c r="E154" s="367">
        <f>VLOOKUP($B154,'Análise Física Detalhada'!$E$13:$P$380,12,0)</f>
        <v>0</v>
      </c>
      <c r="F154" s="368">
        <f t="shared" si="27"/>
        <v>0</v>
      </c>
      <c r="G154" s="696">
        <f>SUMIF('[2]Despesas Diretas'!$B$5:$B$9944,$B154,'[2]Despesas Diretas'!$H$5:$H$9944)</f>
        <v>0</v>
      </c>
      <c r="H154" s="696">
        <f>SUMIF('[3]Despesas Diretas'!$B$5:$B$9999,$B154,'[3]Despesas Diretas'!$H$5:$H$9999)</f>
        <v>0</v>
      </c>
      <c r="I154" s="696">
        <f>SUMIF([4]Comprometimento!$B$6:$B$147,$B154,[4]Comprometimento!$E$6:$E$147)</f>
        <v>0</v>
      </c>
      <c r="J154" s="696">
        <f>SUMIF([4]Estoque!$B$6:$B$880,$B154,[4]Estoque!$H$6:$H$880)</f>
        <v>0</v>
      </c>
      <c r="K154" s="697">
        <f t="shared" si="28"/>
        <v>0</v>
      </c>
      <c r="L154" s="698">
        <f t="shared" si="26"/>
        <v>0</v>
      </c>
      <c r="M154" s="699">
        <f t="shared" si="29"/>
        <v>0</v>
      </c>
      <c r="N154" s="698">
        <v>0</v>
      </c>
      <c r="O154" s="699">
        <v>0</v>
      </c>
      <c r="P154" s="699">
        <f t="shared" si="30"/>
        <v>0</v>
      </c>
      <c r="Q154" s="698">
        <f t="shared" si="24"/>
        <v>1</v>
      </c>
      <c r="R154" s="700">
        <f t="shared" si="25"/>
        <v>16341.213189801603</v>
      </c>
    </row>
    <row r="155" spans="1:18" s="130" customFormat="1" ht="21.95" customHeight="1" x14ac:dyDescent="0.2">
      <c r="A155" s="393" t="s">
        <v>112</v>
      </c>
      <c r="B155" s="959" t="s">
        <v>2089</v>
      </c>
      <c r="C155" s="959" t="s">
        <v>2251</v>
      </c>
      <c r="D155" s="366">
        <f>VLOOKUP($B155,'Análise Física Detalhada'!$E$13:$V$380,18,0)</f>
        <v>5669.9948525688005</v>
      </c>
      <c r="E155" s="367">
        <f>VLOOKUP($B155,'Análise Física Detalhada'!$E$13:$P$380,12,0)</f>
        <v>0</v>
      </c>
      <c r="F155" s="368">
        <f t="shared" si="27"/>
        <v>0</v>
      </c>
      <c r="G155" s="696">
        <f>SUMIF('[2]Despesas Diretas'!$B$5:$B$9944,$B155,'[2]Despesas Diretas'!$H$5:$H$9944)</f>
        <v>0</v>
      </c>
      <c r="H155" s="696">
        <f>SUMIF('[3]Despesas Diretas'!$B$5:$B$9999,$B155,'[3]Despesas Diretas'!$H$5:$H$9999)</f>
        <v>0</v>
      </c>
      <c r="I155" s="696">
        <f>SUMIF([4]Comprometimento!$B$6:$B$147,$B155,[4]Comprometimento!$E$6:$E$147)</f>
        <v>0</v>
      </c>
      <c r="J155" s="696">
        <f>SUMIF([4]Estoque!$B$6:$B$880,$B155,[4]Estoque!$H$6:$H$880)</f>
        <v>0</v>
      </c>
      <c r="K155" s="697">
        <f t="shared" si="28"/>
        <v>0</v>
      </c>
      <c r="L155" s="698">
        <f t="shared" si="26"/>
        <v>0</v>
      </c>
      <c r="M155" s="699">
        <f t="shared" si="29"/>
        <v>0</v>
      </c>
      <c r="N155" s="698">
        <v>0</v>
      </c>
      <c r="O155" s="699">
        <v>0</v>
      </c>
      <c r="P155" s="699">
        <f t="shared" si="30"/>
        <v>0</v>
      </c>
      <c r="Q155" s="698">
        <f t="shared" si="24"/>
        <v>1</v>
      </c>
      <c r="R155" s="700">
        <f t="shared" si="25"/>
        <v>5669.9948525688005</v>
      </c>
    </row>
    <row r="156" spans="1:18" s="130" customFormat="1" ht="21.95" customHeight="1" x14ac:dyDescent="0.2">
      <c r="A156" s="393" t="s">
        <v>112</v>
      </c>
      <c r="B156" s="959" t="s">
        <v>2090</v>
      </c>
      <c r="C156" s="959" t="s">
        <v>2252</v>
      </c>
      <c r="D156" s="366">
        <f>VLOOKUP($B156,'Análise Física Detalhada'!$E$13:$V$380,18,0)</f>
        <v>3071.2480693920006</v>
      </c>
      <c r="E156" s="367">
        <f>VLOOKUP($B156,'Análise Física Detalhada'!$E$13:$P$380,12,0)</f>
        <v>0</v>
      </c>
      <c r="F156" s="368">
        <f t="shared" si="27"/>
        <v>0</v>
      </c>
      <c r="G156" s="696">
        <f>SUMIF('[2]Despesas Diretas'!$B$5:$B$9944,$B156,'[2]Despesas Diretas'!$H$5:$H$9944)</f>
        <v>0</v>
      </c>
      <c r="H156" s="696">
        <f>SUMIF('[3]Despesas Diretas'!$B$5:$B$9999,$B156,'[3]Despesas Diretas'!$H$5:$H$9999)</f>
        <v>0</v>
      </c>
      <c r="I156" s="696">
        <f>SUMIF([4]Comprometimento!$B$6:$B$147,$B156,[4]Comprometimento!$E$6:$E$147)</f>
        <v>0</v>
      </c>
      <c r="J156" s="696">
        <f>SUMIF([4]Estoque!$B$6:$B$880,$B156,[4]Estoque!$H$6:$H$880)</f>
        <v>0</v>
      </c>
      <c r="K156" s="697">
        <f t="shared" si="28"/>
        <v>0</v>
      </c>
      <c r="L156" s="698">
        <f t="shared" si="26"/>
        <v>0</v>
      </c>
      <c r="M156" s="699">
        <f t="shared" si="29"/>
        <v>0</v>
      </c>
      <c r="N156" s="698">
        <v>0</v>
      </c>
      <c r="O156" s="699">
        <v>0</v>
      </c>
      <c r="P156" s="699">
        <f t="shared" si="30"/>
        <v>0</v>
      </c>
      <c r="Q156" s="698">
        <f t="shared" si="24"/>
        <v>1</v>
      </c>
      <c r="R156" s="700">
        <f t="shared" si="25"/>
        <v>3071.2480693920006</v>
      </c>
    </row>
    <row r="157" spans="1:18" s="155" customFormat="1" ht="21.95" customHeight="1" x14ac:dyDescent="0.2">
      <c r="A157" s="393" t="s">
        <v>112</v>
      </c>
      <c r="B157" s="959" t="s">
        <v>2091</v>
      </c>
      <c r="C157" s="959" t="s">
        <v>485</v>
      </c>
      <c r="D157" s="366">
        <f>VLOOKUP($B157,'Análise Física Detalhada'!$E$13:$V$380,18,0)</f>
        <v>19376.576518482005</v>
      </c>
      <c r="E157" s="367">
        <f>VLOOKUP($B157,'Análise Física Detalhada'!$E$13:$P$380,12,0)</f>
        <v>0</v>
      </c>
      <c r="F157" s="368">
        <f t="shared" si="27"/>
        <v>0</v>
      </c>
      <c r="G157" s="696">
        <f>SUMIF('[2]Despesas Diretas'!$B$5:$B$9944,$B157,'[2]Despesas Diretas'!$H$5:$H$9944)</f>
        <v>0</v>
      </c>
      <c r="H157" s="696">
        <f>SUMIF('[3]Despesas Diretas'!$B$5:$B$9999,$B157,'[3]Despesas Diretas'!$H$5:$H$9999)</f>
        <v>0</v>
      </c>
      <c r="I157" s="696">
        <f>SUMIF([4]Comprometimento!$B$6:$B$147,$B157,[4]Comprometimento!$E$6:$E$147)</f>
        <v>0</v>
      </c>
      <c r="J157" s="696">
        <f>SUMIF([4]Estoque!$B$6:$B$880,$B157,[4]Estoque!$H$6:$H$880)</f>
        <v>0</v>
      </c>
      <c r="K157" s="697">
        <f t="shared" si="28"/>
        <v>0</v>
      </c>
      <c r="L157" s="698">
        <f t="shared" si="26"/>
        <v>0</v>
      </c>
      <c r="M157" s="699">
        <f t="shared" si="29"/>
        <v>0</v>
      </c>
      <c r="N157" s="698">
        <v>0</v>
      </c>
      <c r="O157" s="699">
        <v>0</v>
      </c>
      <c r="P157" s="699">
        <f t="shared" si="30"/>
        <v>0</v>
      </c>
      <c r="Q157" s="698">
        <f t="shared" si="24"/>
        <v>1</v>
      </c>
      <c r="R157" s="700">
        <f t="shared" si="25"/>
        <v>19376.576518482005</v>
      </c>
    </row>
    <row r="158" spans="1:18" s="130" customFormat="1" ht="21.95" customHeight="1" x14ac:dyDescent="0.2">
      <c r="A158" s="393" t="s">
        <v>112</v>
      </c>
      <c r="B158" s="959" t="s">
        <v>2092</v>
      </c>
      <c r="C158" s="959" t="s">
        <v>781</v>
      </c>
      <c r="D158" s="366">
        <f>VLOOKUP($B158,'Análise Física Detalhada'!$E$13:$V$380,18,0)</f>
        <v>6044.2273148508011</v>
      </c>
      <c r="E158" s="367">
        <f>VLOOKUP($B158,'Análise Física Detalhada'!$E$13:$P$380,12,0)</f>
        <v>0</v>
      </c>
      <c r="F158" s="368">
        <f t="shared" si="27"/>
        <v>0</v>
      </c>
      <c r="G158" s="696">
        <f>SUMIF('[2]Despesas Diretas'!$B$5:$B$9944,$B158,'[2]Despesas Diretas'!$H$5:$H$9944)</f>
        <v>0</v>
      </c>
      <c r="H158" s="696">
        <f>SUMIF('[3]Despesas Diretas'!$B$5:$B$9999,$B158,'[3]Despesas Diretas'!$H$5:$H$9999)</f>
        <v>0</v>
      </c>
      <c r="I158" s="696">
        <f>SUMIF([4]Comprometimento!$B$6:$B$147,$B158,[4]Comprometimento!$E$6:$E$147)</f>
        <v>0</v>
      </c>
      <c r="J158" s="696">
        <f>SUMIF([4]Estoque!$B$6:$B$880,$B158,[4]Estoque!$H$6:$H$880)</f>
        <v>0</v>
      </c>
      <c r="K158" s="697">
        <f t="shared" si="28"/>
        <v>0</v>
      </c>
      <c r="L158" s="698">
        <f t="shared" si="26"/>
        <v>0</v>
      </c>
      <c r="M158" s="699">
        <f t="shared" si="29"/>
        <v>0</v>
      </c>
      <c r="N158" s="698">
        <v>0</v>
      </c>
      <c r="O158" s="699">
        <v>0</v>
      </c>
      <c r="P158" s="699">
        <f t="shared" si="30"/>
        <v>0</v>
      </c>
      <c r="Q158" s="698">
        <f t="shared" si="24"/>
        <v>1</v>
      </c>
      <c r="R158" s="700">
        <f t="shared" si="25"/>
        <v>6044.2273148508011</v>
      </c>
    </row>
    <row r="159" spans="1:18" s="130" customFormat="1" ht="21.95" customHeight="1" x14ac:dyDescent="0.2">
      <c r="A159" s="393" t="s">
        <v>112</v>
      </c>
      <c r="B159" s="967" t="s">
        <v>2253</v>
      </c>
      <c r="C159" s="967" t="s">
        <v>2254</v>
      </c>
      <c r="D159" s="366">
        <f>VLOOKUP($B159,'Análise Física Detalhada'!$E$13:$V$380,18,0)</f>
        <v>0</v>
      </c>
      <c r="E159" s="367">
        <f>VLOOKUP($B159,'Análise Física Detalhada'!$E$13:$P$380,12,0)</f>
        <v>0</v>
      </c>
      <c r="F159" s="368">
        <f t="shared" si="27"/>
        <v>0</v>
      </c>
      <c r="G159" s="696">
        <f>SUMIF('[2]Despesas Diretas'!$B$5:$B$9944,$B159,'[2]Despesas Diretas'!$H$5:$H$9944)</f>
        <v>0</v>
      </c>
      <c r="H159" s="696">
        <f>SUMIF('[3]Despesas Diretas'!$B$5:$B$9999,$B159,'[3]Despesas Diretas'!$H$5:$H$9999)</f>
        <v>0</v>
      </c>
      <c r="I159" s="696">
        <f>SUMIF([4]Comprometimento!$B$6:$B$147,$B159,[4]Comprometimento!$E$6:$E$147)</f>
        <v>0</v>
      </c>
      <c r="J159" s="696">
        <f>SUMIF([4]Estoque!$B$6:$B$880,$B159,[4]Estoque!$H$6:$H$880)</f>
        <v>0</v>
      </c>
      <c r="K159" s="697">
        <f t="shared" si="28"/>
        <v>0</v>
      </c>
      <c r="L159" s="698">
        <f t="shared" si="26"/>
        <v>0</v>
      </c>
      <c r="M159" s="699">
        <f t="shared" si="29"/>
        <v>0</v>
      </c>
      <c r="N159" s="698">
        <v>0</v>
      </c>
      <c r="O159" s="699">
        <v>0</v>
      </c>
      <c r="P159" s="699">
        <f t="shared" si="30"/>
        <v>0</v>
      </c>
      <c r="Q159" s="698">
        <f t="shared" si="24"/>
        <v>0</v>
      </c>
      <c r="R159" s="700">
        <f t="shared" si="25"/>
        <v>0</v>
      </c>
    </row>
    <row r="160" spans="1:18" s="130" customFormat="1" ht="21.95" customHeight="1" x14ac:dyDescent="0.2">
      <c r="A160" s="393" t="s">
        <v>112</v>
      </c>
      <c r="B160" s="959" t="s">
        <v>2255</v>
      </c>
      <c r="C160" s="959" t="s">
        <v>2256</v>
      </c>
      <c r="D160" s="366">
        <f>VLOOKUP($B160,'Análise Física Detalhada'!$E$13:$V$380,18,0)</f>
        <v>1149.4745865396001</v>
      </c>
      <c r="E160" s="367">
        <f>VLOOKUP($B160,'Análise Física Detalhada'!$E$13:$P$380,12,0)</f>
        <v>0</v>
      </c>
      <c r="F160" s="368">
        <f t="shared" si="27"/>
        <v>0</v>
      </c>
      <c r="G160" s="696">
        <f>SUMIF('[2]Despesas Diretas'!$B$5:$B$9944,$B160,'[2]Despesas Diretas'!$H$5:$H$9944)</f>
        <v>0</v>
      </c>
      <c r="H160" s="696">
        <f>SUMIF('[3]Despesas Diretas'!$B$5:$B$9999,$B160,'[3]Despesas Diretas'!$H$5:$H$9999)</f>
        <v>0</v>
      </c>
      <c r="I160" s="696">
        <f>SUMIF([4]Comprometimento!$B$6:$B$147,$B160,[4]Comprometimento!$E$6:$E$147)</f>
        <v>0</v>
      </c>
      <c r="J160" s="696">
        <f>SUMIF([4]Estoque!$B$6:$B$880,$B160,[4]Estoque!$H$6:$H$880)</f>
        <v>0</v>
      </c>
      <c r="K160" s="697">
        <f t="shared" si="28"/>
        <v>0</v>
      </c>
      <c r="L160" s="698">
        <f t="shared" si="26"/>
        <v>0</v>
      </c>
      <c r="M160" s="699">
        <f t="shared" si="29"/>
        <v>0</v>
      </c>
      <c r="N160" s="698">
        <v>0</v>
      </c>
      <c r="O160" s="699">
        <v>0</v>
      </c>
      <c r="P160" s="699">
        <f t="shared" si="30"/>
        <v>0</v>
      </c>
      <c r="Q160" s="698">
        <f t="shared" si="24"/>
        <v>1</v>
      </c>
      <c r="R160" s="700">
        <f t="shared" si="25"/>
        <v>1149.4745865396001</v>
      </c>
    </row>
    <row r="161" spans="1:18" s="155" customFormat="1" ht="21.95" customHeight="1" x14ac:dyDescent="0.2">
      <c r="A161" s="393" t="s">
        <v>112</v>
      </c>
      <c r="B161" s="967" t="s">
        <v>638</v>
      </c>
      <c r="C161" s="967" t="s">
        <v>116</v>
      </c>
      <c r="D161" s="366">
        <f>VLOOKUP($B161,'Análise Física Detalhada'!$E$13:$V$380,18,0)</f>
        <v>0</v>
      </c>
      <c r="E161" s="367">
        <f>VLOOKUP($B161,'Análise Física Detalhada'!$E$13:$P$380,12,0)</f>
        <v>0</v>
      </c>
      <c r="F161" s="368">
        <f t="shared" si="27"/>
        <v>0</v>
      </c>
      <c r="G161" s="696">
        <f>SUMIF('[2]Despesas Diretas'!$B$5:$B$9944,$B161,'[2]Despesas Diretas'!$H$5:$H$9944)</f>
        <v>0</v>
      </c>
      <c r="H161" s="696">
        <f>SUMIF('[3]Despesas Diretas'!$B$5:$B$9999,$B161,'[3]Despesas Diretas'!$H$5:$H$9999)</f>
        <v>0</v>
      </c>
      <c r="I161" s="696">
        <f>SUMIF([4]Comprometimento!$B$6:$B$147,$B161,[4]Comprometimento!$E$6:$E$147)</f>
        <v>0</v>
      </c>
      <c r="J161" s="696">
        <f>SUMIF([4]Estoque!$B$6:$B$880,$B161,[4]Estoque!$H$6:$H$880)</f>
        <v>0</v>
      </c>
      <c r="K161" s="697">
        <f t="shared" si="28"/>
        <v>0</v>
      </c>
      <c r="L161" s="698">
        <f t="shared" si="26"/>
        <v>0</v>
      </c>
      <c r="M161" s="699">
        <f t="shared" si="29"/>
        <v>0</v>
      </c>
      <c r="N161" s="698">
        <v>0</v>
      </c>
      <c r="O161" s="699">
        <v>0</v>
      </c>
      <c r="P161" s="699">
        <f t="shared" si="30"/>
        <v>0</v>
      </c>
      <c r="Q161" s="698">
        <f t="shared" si="24"/>
        <v>0</v>
      </c>
      <c r="R161" s="700">
        <f t="shared" si="25"/>
        <v>0</v>
      </c>
    </row>
    <row r="162" spans="1:18" s="177" customFormat="1" ht="21.95" customHeight="1" x14ac:dyDescent="0.2">
      <c r="A162" s="393" t="s">
        <v>112</v>
      </c>
      <c r="B162" s="959" t="s">
        <v>2093</v>
      </c>
      <c r="C162" s="959" t="s">
        <v>1961</v>
      </c>
      <c r="D162" s="366">
        <f>VLOOKUP($B162,'Análise Física Detalhada'!$E$13:$V$380,18,0)</f>
        <v>33622.5510148104</v>
      </c>
      <c r="E162" s="367">
        <f>VLOOKUP($B162,'Análise Física Detalhada'!$E$13:$P$380,12,0)</f>
        <v>0</v>
      </c>
      <c r="F162" s="368">
        <f t="shared" si="27"/>
        <v>0</v>
      </c>
      <c r="G162" s="696">
        <f>SUMIF('[2]Despesas Diretas'!$B$5:$B$9944,$B162,'[2]Despesas Diretas'!$H$5:$H$9944)</f>
        <v>0</v>
      </c>
      <c r="H162" s="696">
        <f>SUMIF('[3]Despesas Diretas'!$B$5:$B$9999,$B162,'[3]Despesas Diretas'!$H$5:$H$9999)</f>
        <v>0</v>
      </c>
      <c r="I162" s="696">
        <f>SUMIF([4]Comprometimento!$B$6:$B$147,$B162,[4]Comprometimento!$E$6:$E$147)</f>
        <v>0</v>
      </c>
      <c r="J162" s="696">
        <f>SUMIF([4]Estoque!$B$6:$B$880,$B162,[4]Estoque!$H$6:$H$880)</f>
        <v>0</v>
      </c>
      <c r="K162" s="697">
        <f t="shared" si="28"/>
        <v>0</v>
      </c>
      <c r="L162" s="698">
        <f t="shared" si="26"/>
        <v>0</v>
      </c>
      <c r="M162" s="699">
        <f t="shared" si="29"/>
        <v>0</v>
      </c>
      <c r="N162" s="698">
        <v>0</v>
      </c>
      <c r="O162" s="699">
        <v>0</v>
      </c>
      <c r="P162" s="699">
        <f t="shared" si="30"/>
        <v>0</v>
      </c>
      <c r="Q162" s="698">
        <f t="shared" si="24"/>
        <v>1</v>
      </c>
      <c r="R162" s="700">
        <f t="shared" si="25"/>
        <v>33622.5510148104</v>
      </c>
    </row>
    <row r="163" spans="1:18" s="130" customFormat="1" ht="21.95" customHeight="1" x14ac:dyDescent="0.2">
      <c r="A163" s="393" t="s">
        <v>112</v>
      </c>
      <c r="B163" s="959" t="s">
        <v>2094</v>
      </c>
      <c r="C163" s="959" t="s">
        <v>1962</v>
      </c>
      <c r="D163" s="366">
        <f>VLOOKUP($B163,'Análise Física Detalhada'!$E$13:$V$380,18,0)</f>
        <v>5851.8781067520013</v>
      </c>
      <c r="E163" s="367">
        <f>VLOOKUP($B163,'Análise Física Detalhada'!$E$13:$P$380,12,0)</f>
        <v>0</v>
      </c>
      <c r="F163" s="368">
        <f t="shared" si="27"/>
        <v>0</v>
      </c>
      <c r="G163" s="696">
        <f>SUMIF('[2]Despesas Diretas'!$B$5:$B$9944,$B163,'[2]Despesas Diretas'!$H$5:$H$9944)</f>
        <v>0</v>
      </c>
      <c r="H163" s="696">
        <f>SUMIF('[3]Despesas Diretas'!$B$5:$B$9999,$B163,'[3]Despesas Diretas'!$H$5:$H$9999)</f>
        <v>0</v>
      </c>
      <c r="I163" s="696">
        <f>SUMIF([4]Comprometimento!$B$6:$B$147,$B163,[4]Comprometimento!$E$6:$E$147)</f>
        <v>0</v>
      </c>
      <c r="J163" s="696">
        <f>SUMIF([4]Estoque!$B$6:$B$880,$B163,[4]Estoque!$H$6:$H$880)</f>
        <v>0</v>
      </c>
      <c r="K163" s="697">
        <f t="shared" si="28"/>
        <v>0</v>
      </c>
      <c r="L163" s="698">
        <f t="shared" si="26"/>
        <v>0</v>
      </c>
      <c r="M163" s="699">
        <f t="shared" si="29"/>
        <v>0</v>
      </c>
      <c r="N163" s="698">
        <v>0</v>
      </c>
      <c r="O163" s="699">
        <v>0</v>
      </c>
      <c r="P163" s="699">
        <f t="shared" si="30"/>
        <v>0</v>
      </c>
      <c r="Q163" s="698">
        <f t="shared" si="24"/>
        <v>1</v>
      </c>
      <c r="R163" s="700">
        <f t="shared" si="25"/>
        <v>5851.8781067520013</v>
      </c>
    </row>
    <row r="164" spans="1:18" s="130" customFormat="1" ht="21.95" customHeight="1" x14ac:dyDescent="0.2">
      <c r="A164" s="393" t="s">
        <v>112</v>
      </c>
      <c r="B164" s="959" t="s">
        <v>2095</v>
      </c>
      <c r="C164" s="959" t="s">
        <v>784</v>
      </c>
      <c r="D164" s="366">
        <f>VLOOKUP($B164,'Análise Física Detalhada'!$E$13:$V$380,18,0)</f>
        <v>5947.3786498560012</v>
      </c>
      <c r="E164" s="367">
        <f>VLOOKUP($B164,'Análise Física Detalhada'!$E$13:$P$380,12,0)</f>
        <v>0</v>
      </c>
      <c r="F164" s="368">
        <f t="shared" si="27"/>
        <v>0</v>
      </c>
      <c r="G164" s="696">
        <f>SUMIF('[2]Despesas Diretas'!$B$5:$B$9944,$B164,'[2]Despesas Diretas'!$H$5:$H$9944)</f>
        <v>0</v>
      </c>
      <c r="H164" s="696">
        <f>SUMIF('[3]Despesas Diretas'!$B$5:$B$9999,$B164,'[3]Despesas Diretas'!$H$5:$H$9999)</f>
        <v>0</v>
      </c>
      <c r="I164" s="696">
        <f>SUMIF([4]Comprometimento!$B$6:$B$147,$B164,[4]Comprometimento!$E$6:$E$147)</f>
        <v>0</v>
      </c>
      <c r="J164" s="696">
        <f>SUMIF([4]Estoque!$B$6:$B$880,$B164,[4]Estoque!$H$6:$H$880)</f>
        <v>0</v>
      </c>
      <c r="K164" s="697">
        <f t="shared" si="28"/>
        <v>0</v>
      </c>
      <c r="L164" s="698">
        <f t="shared" si="26"/>
        <v>0</v>
      </c>
      <c r="M164" s="699">
        <f t="shared" si="29"/>
        <v>0</v>
      </c>
      <c r="N164" s="698">
        <v>0</v>
      </c>
      <c r="O164" s="699">
        <v>0</v>
      </c>
      <c r="P164" s="699">
        <f t="shared" si="30"/>
        <v>0</v>
      </c>
      <c r="Q164" s="698">
        <f t="shared" si="24"/>
        <v>1</v>
      </c>
      <c r="R164" s="700">
        <f t="shared" si="25"/>
        <v>5947.3786498560012</v>
      </c>
    </row>
    <row r="165" spans="1:18" s="177" customFormat="1" ht="21.95" customHeight="1" x14ac:dyDescent="0.2">
      <c r="A165" s="393" t="s">
        <v>112</v>
      </c>
      <c r="B165" s="967" t="s">
        <v>640</v>
      </c>
      <c r="C165" s="967" t="s">
        <v>238</v>
      </c>
      <c r="D165" s="366">
        <f>VLOOKUP($B165,'Análise Física Detalhada'!$E$13:$V$380,18,0)</f>
        <v>0</v>
      </c>
      <c r="E165" s="367">
        <f>VLOOKUP($B165,'Análise Física Detalhada'!$E$13:$P$380,12,0)</f>
        <v>0</v>
      </c>
      <c r="F165" s="368">
        <f t="shared" si="27"/>
        <v>0</v>
      </c>
      <c r="G165" s="696">
        <f>SUMIF('[2]Despesas Diretas'!$B$5:$B$9944,$B165,'[2]Despesas Diretas'!$H$5:$H$9944)</f>
        <v>0</v>
      </c>
      <c r="H165" s="696">
        <f>SUMIF('[3]Despesas Diretas'!$B$5:$B$9999,$B165,'[3]Despesas Diretas'!$H$5:$H$9999)</f>
        <v>0</v>
      </c>
      <c r="I165" s="696">
        <f>SUMIF([4]Comprometimento!$B$6:$B$147,$B165,[4]Comprometimento!$E$6:$E$147)</f>
        <v>0</v>
      </c>
      <c r="J165" s="696">
        <f>SUMIF([4]Estoque!$B$6:$B$880,$B165,[4]Estoque!$H$6:$H$880)</f>
        <v>0</v>
      </c>
      <c r="K165" s="697">
        <f t="shared" si="28"/>
        <v>0</v>
      </c>
      <c r="L165" s="698">
        <f t="shared" si="26"/>
        <v>0</v>
      </c>
      <c r="M165" s="699">
        <f t="shared" si="29"/>
        <v>0</v>
      </c>
      <c r="N165" s="698">
        <v>0</v>
      </c>
      <c r="O165" s="699">
        <v>0</v>
      </c>
      <c r="P165" s="699">
        <f t="shared" si="30"/>
        <v>0</v>
      </c>
      <c r="Q165" s="698">
        <f t="shared" si="24"/>
        <v>0</v>
      </c>
      <c r="R165" s="700">
        <f t="shared" si="25"/>
        <v>0</v>
      </c>
    </row>
    <row r="166" spans="1:18" s="130" customFormat="1" ht="21.95" customHeight="1" x14ac:dyDescent="0.2">
      <c r="A166" s="393" t="s">
        <v>112</v>
      </c>
      <c r="B166" s="959" t="s">
        <v>641</v>
      </c>
      <c r="C166" s="959" t="s">
        <v>503</v>
      </c>
      <c r="D166" s="366">
        <f>VLOOKUP($B166,'Análise Física Detalhada'!$E$13:$V$380,18,0)</f>
        <v>191.98902286080002</v>
      </c>
      <c r="E166" s="367">
        <f>VLOOKUP($B166,'Análise Física Detalhada'!$E$13:$P$380,12,0)</f>
        <v>0</v>
      </c>
      <c r="F166" s="368">
        <f t="shared" si="27"/>
        <v>0</v>
      </c>
      <c r="G166" s="696">
        <f>SUMIF('[2]Despesas Diretas'!$B$5:$B$9944,$B166,'[2]Despesas Diretas'!$H$5:$H$9944)</f>
        <v>0</v>
      </c>
      <c r="H166" s="696">
        <f>SUMIF('[3]Despesas Diretas'!$B$5:$B$9999,$B166,'[3]Despesas Diretas'!$H$5:$H$9999)</f>
        <v>0</v>
      </c>
      <c r="I166" s="696">
        <f>SUMIF([4]Comprometimento!$B$6:$B$147,$B166,[4]Comprometimento!$E$6:$E$147)</f>
        <v>0</v>
      </c>
      <c r="J166" s="696">
        <f>SUMIF([4]Estoque!$B$6:$B$880,$B166,[4]Estoque!$H$6:$H$880)</f>
        <v>0</v>
      </c>
      <c r="K166" s="697">
        <f t="shared" si="28"/>
        <v>0</v>
      </c>
      <c r="L166" s="698">
        <f t="shared" si="26"/>
        <v>0</v>
      </c>
      <c r="M166" s="699">
        <f t="shared" si="29"/>
        <v>0</v>
      </c>
      <c r="N166" s="698">
        <v>0</v>
      </c>
      <c r="O166" s="699">
        <v>0</v>
      </c>
      <c r="P166" s="699">
        <f t="shared" si="30"/>
        <v>0</v>
      </c>
      <c r="Q166" s="698">
        <f t="shared" si="24"/>
        <v>1</v>
      </c>
      <c r="R166" s="700">
        <f t="shared" si="25"/>
        <v>191.98902286080002</v>
      </c>
    </row>
    <row r="167" spans="1:18" s="130" customFormat="1" ht="21.95" customHeight="1" x14ac:dyDescent="0.2">
      <c r="A167" s="393" t="s">
        <v>112</v>
      </c>
      <c r="B167" s="959" t="s">
        <v>642</v>
      </c>
      <c r="C167" s="959" t="s">
        <v>1409</v>
      </c>
      <c r="D167" s="366">
        <f>VLOOKUP($B167,'Análise Física Detalhada'!$E$13:$V$380,18,0)</f>
        <v>577.99439692199996</v>
      </c>
      <c r="E167" s="367">
        <f>VLOOKUP($B167,'Análise Física Detalhada'!$E$13:$P$380,12,0)</f>
        <v>0</v>
      </c>
      <c r="F167" s="368">
        <f t="shared" si="27"/>
        <v>0</v>
      </c>
      <c r="G167" s="696">
        <f>SUMIF('[2]Despesas Diretas'!$B$5:$B$9944,$B167,'[2]Despesas Diretas'!$H$5:$H$9944)</f>
        <v>0</v>
      </c>
      <c r="H167" s="696">
        <f>SUMIF('[3]Despesas Diretas'!$B$5:$B$9999,$B167,'[3]Despesas Diretas'!$H$5:$H$9999)</f>
        <v>0</v>
      </c>
      <c r="I167" s="696">
        <f>SUMIF([4]Comprometimento!$B$6:$B$147,$B167,[4]Comprometimento!$E$6:$E$147)</f>
        <v>0</v>
      </c>
      <c r="J167" s="696">
        <f>SUMIF([4]Estoque!$B$6:$B$880,$B167,[4]Estoque!$H$6:$H$880)</f>
        <v>0</v>
      </c>
      <c r="K167" s="697">
        <f t="shared" si="28"/>
        <v>0</v>
      </c>
      <c r="L167" s="698">
        <f t="shared" si="26"/>
        <v>0</v>
      </c>
      <c r="M167" s="699">
        <f t="shared" si="29"/>
        <v>0</v>
      </c>
      <c r="N167" s="698">
        <v>0</v>
      </c>
      <c r="O167" s="699">
        <v>0</v>
      </c>
      <c r="P167" s="699">
        <f t="shared" si="30"/>
        <v>0</v>
      </c>
      <c r="Q167" s="698">
        <f t="shared" si="24"/>
        <v>1</v>
      </c>
      <c r="R167" s="700">
        <f t="shared" si="25"/>
        <v>577.99439692199996</v>
      </c>
    </row>
    <row r="168" spans="1:18" s="177" customFormat="1" ht="21.95" customHeight="1" x14ac:dyDescent="0.2">
      <c r="A168" s="393" t="s">
        <v>112</v>
      </c>
      <c r="B168" s="959" t="s">
        <v>1963</v>
      </c>
      <c r="C168" s="959" t="s">
        <v>1410</v>
      </c>
      <c r="D168" s="366">
        <f>VLOOKUP($B168,'Análise Física Detalhada'!$E$13:$V$380,18,0)</f>
        <v>270.04630943880011</v>
      </c>
      <c r="E168" s="367">
        <f>VLOOKUP($B168,'Análise Física Detalhada'!$E$13:$P$380,12,0)</f>
        <v>0</v>
      </c>
      <c r="F168" s="368">
        <f t="shared" si="27"/>
        <v>0</v>
      </c>
      <c r="G168" s="696">
        <f>SUMIF('[2]Despesas Diretas'!$B$5:$B$9944,$B168,'[2]Despesas Diretas'!$H$5:$H$9944)</f>
        <v>0</v>
      </c>
      <c r="H168" s="696">
        <f>SUMIF('[3]Despesas Diretas'!$B$5:$B$9999,$B168,'[3]Despesas Diretas'!$H$5:$H$9999)</f>
        <v>0</v>
      </c>
      <c r="I168" s="696">
        <f>SUMIF([4]Comprometimento!$B$6:$B$147,$B168,[4]Comprometimento!$E$6:$E$147)</f>
        <v>0</v>
      </c>
      <c r="J168" s="696">
        <f>SUMIF([4]Estoque!$B$6:$B$880,$B168,[4]Estoque!$H$6:$H$880)</f>
        <v>0</v>
      </c>
      <c r="K168" s="697">
        <f t="shared" si="28"/>
        <v>0</v>
      </c>
      <c r="L168" s="698">
        <f t="shared" si="26"/>
        <v>0</v>
      </c>
      <c r="M168" s="699">
        <f t="shared" si="29"/>
        <v>0</v>
      </c>
      <c r="N168" s="698">
        <v>0</v>
      </c>
      <c r="O168" s="699">
        <v>0</v>
      </c>
      <c r="P168" s="699">
        <f t="shared" si="30"/>
        <v>0</v>
      </c>
      <c r="Q168" s="698">
        <f t="shared" si="24"/>
        <v>1</v>
      </c>
      <c r="R168" s="700">
        <f t="shared" si="25"/>
        <v>270.04630943880011</v>
      </c>
    </row>
    <row r="169" spans="1:18" s="130" customFormat="1" ht="21.95" customHeight="1" x14ac:dyDescent="0.2">
      <c r="A169" s="393" t="s">
        <v>112</v>
      </c>
      <c r="B169" s="959" t="s">
        <v>2098</v>
      </c>
      <c r="C169" s="959" t="s">
        <v>1411</v>
      </c>
      <c r="D169" s="366">
        <f>VLOOKUP($B169,'Análise Física Detalhada'!$E$13:$V$380,18,0)</f>
        <v>758.02526988120007</v>
      </c>
      <c r="E169" s="367">
        <f>VLOOKUP($B169,'Análise Física Detalhada'!$E$13:$P$380,12,0)</f>
        <v>0</v>
      </c>
      <c r="F169" s="368">
        <f t="shared" si="27"/>
        <v>0</v>
      </c>
      <c r="G169" s="696">
        <f>SUMIF('[2]Despesas Diretas'!$B$5:$B$9944,$B169,'[2]Despesas Diretas'!$H$5:$H$9944)</f>
        <v>0</v>
      </c>
      <c r="H169" s="696">
        <f>SUMIF('[3]Despesas Diretas'!$B$5:$B$9999,$B169,'[3]Despesas Diretas'!$H$5:$H$9999)</f>
        <v>0</v>
      </c>
      <c r="I169" s="696">
        <f>SUMIF([4]Comprometimento!$B$6:$B$147,$B169,[4]Comprometimento!$E$6:$E$147)</f>
        <v>0</v>
      </c>
      <c r="J169" s="696">
        <f>SUMIF([4]Estoque!$B$6:$B$880,$B169,[4]Estoque!$H$6:$H$880)</f>
        <v>0</v>
      </c>
      <c r="K169" s="697">
        <f t="shared" si="28"/>
        <v>0</v>
      </c>
      <c r="L169" s="698">
        <f t="shared" si="26"/>
        <v>0</v>
      </c>
      <c r="M169" s="699">
        <f t="shared" si="29"/>
        <v>0</v>
      </c>
      <c r="N169" s="698">
        <v>0</v>
      </c>
      <c r="O169" s="699">
        <v>0</v>
      </c>
      <c r="P169" s="699">
        <f t="shared" si="30"/>
        <v>0</v>
      </c>
      <c r="Q169" s="698">
        <f t="shared" si="24"/>
        <v>1</v>
      </c>
      <c r="R169" s="700">
        <f t="shared" si="25"/>
        <v>758.02526988120007</v>
      </c>
    </row>
    <row r="170" spans="1:18" s="130" customFormat="1" ht="21.95" customHeight="1" x14ac:dyDescent="0.2">
      <c r="A170" s="393" t="s">
        <v>112</v>
      </c>
      <c r="B170" s="959" t="s">
        <v>2099</v>
      </c>
      <c r="C170" s="959" t="s">
        <v>2257</v>
      </c>
      <c r="D170" s="366">
        <f>VLOOKUP($B170,'Análise Física Detalhada'!$E$13:$V$380,18,0)</f>
        <v>3411.1188599688003</v>
      </c>
      <c r="E170" s="367">
        <f>VLOOKUP($B170,'Análise Física Detalhada'!$E$13:$P$380,12,0)</f>
        <v>0</v>
      </c>
      <c r="F170" s="368">
        <f t="shared" si="27"/>
        <v>0</v>
      </c>
      <c r="G170" s="696">
        <f>SUMIF('[2]Despesas Diretas'!$B$5:$B$9944,$B170,'[2]Despesas Diretas'!$H$5:$H$9944)</f>
        <v>0</v>
      </c>
      <c r="H170" s="696">
        <f>SUMIF('[3]Despesas Diretas'!$B$5:$B$9999,$B170,'[3]Despesas Diretas'!$H$5:$H$9999)</f>
        <v>0</v>
      </c>
      <c r="I170" s="696">
        <f>SUMIF([4]Comprometimento!$B$6:$B$147,$B170,[4]Comprometimento!$E$6:$E$147)</f>
        <v>0</v>
      </c>
      <c r="J170" s="696">
        <f>SUMIF([4]Estoque!$B$6:$B$880,$B170,[4]Estoque!$H$6:$H$880)</f>
        <v>0</v>
      </c>
      <c r="K170" s="697">
        <f t="shared" si="28"/>
        <v>0</v>
      </c>
      <c r="L170" s="698">
        <f t="shared" si="26"/>
        <v>0</v>
      </c>
      <c r="M170" s="699">
        <f t="shared" si="29"/>
        <v>0</v>
      </c>
      <c r="N170" s="698">
        <v>0</v>
      </c>
      <c r="O170" s="699">
        <v>0</v>
      </c>
      <c r="P170" s="699">
        <f t="shared" si="30"/>
        <v>0</v>
      </c>
      <c r="Q170" s="698">
        <f t="shared" si="24"/>
        <v>1</v>
      </c>
      <c r="R170" s="700">
        <f t="shared" si="25"/>
        <v>3411.1188599688003</v>
      </c>
    </row>
    <row r="171" spans="1:18" s="177" customFormat="1" ht="21.95" customHeight="1" x14ac:dyDescent="0.2">
      <c r="A171" s="393" t="s">
        <v>112</v>
      </c>
      <c r="B171" s="959" t="s">
        <v>2100</v>
      </c>
      <c r="C171" s="959" t="s">
        <v>2097</v>
      </c>
      <c r="D171" s="366">
        <f>VLOOKUP($B171,'Análise Física Detalhada'!$E$13:$V$380,18,0)</f>
        <v>3125.8418604660005</v>
      </c>
      <c r="E171" s="367">
        <f>VLOOKUP($B171,'Análise Física Detalhada'!$E$13:$P$380,12,0)</f>
        <v>0</v>
      </c>
      <c r="F171" s="368">
        <f t="shared" si="27"/>
        <v>0</v>
      </c>
      <c r="G171" s="696">
        <f>SUMIF('[2]Despesas Diretas'!$B$5:$B$9944,$B171,'[2]Despesas Diretas'!$H$5:$H$9944)</f>
        <v>0</v>
      </c>
      <c r="H171" s="696">
        <f>SUMIF('[3]Despesas Diretas'!$B$5:$B$9999,$B171,'[3]Despesas Diretas'!$H$5:$H$9999)</f>
        <v>0</v>
      </c>
      <c r="I171" s="696">
        <f>SUMIF([4]Comprometimento!$B$6:$B$147,$B171,[4]Comprometimento!$E$6:$E$147)</f>
        <v>0</v>
      </c>
      <c r="J171" s="696">
        <f>SUMIF([4]Estoque!$B$6:$B$880,$B171,[4]Estoque!$H$6:$H$880)</f>
        <v>0</v>
      </c>
      <c r="K171" s="697">
        <f t="shared" si="28"/>
        <v>0</v>
      </c>
      <c r="L171" s="698">
        <f t="shared" si="26"/>
        <v>0</v>
      </c>
      <c r="M171" s="699">
        <f t="shared" si="29"/>
        <v>0</v>
      </c>
      <c r="N171" s="698">
        <v>0</v>
      </c>
      <c r="O171" s="699">
        <v>0</v>
      </c>
      <c r="P171" s="699">
        <f t="shared" si="30"/>
        <v>0</v>
      </c>
      <c r="Q171" s="698">
        <f t="shared" si="24"/>
        <v>1</v>
      </c>
      <c r="R171" s="700">
        <f t="shared" si="25"/>
        <v>3125.8418604660005</v>
      </c>
    </row>
    <row r="172" spans="1:18" s="130" customFormat="1" ht="21.95" customHeight="1" x14ac:dyDescent="0.2">
      <c r="A172" s="393" t="s">
        <v>112</v>
      </c>
      <c r="B172" s="959" t="s">
        <v>2101</v>
      </c>
      <c r="C172" s="959" t="s">
        <v>2258</v>
      </c>
      <c r="D172" s="366">
        <f>VLOOKUP($B172,'Análise Física Detalhada'!$E$13:$V$380,18,0)</f>
        <v>8214.652104004801</v>
      </c>
      <c r="E172" s="367">
        <f>VLOOKUP($B172,'Análise Física Detalhada'!$E$13:$P$380,12,0)</f>
        <v>0</v>
      </c>
      <c r="F172" s="368">
        <f t="shared" si="27"/>
        <v>0</v>
      </c>
      <c r="G172" s="696">
        <f>SUMIF('[2]Despesas Diretas'!$B$5:$B$9944,$B172,'[2]Despesas Diretas'!$H$5:$H$9944)</f>
        <v>0</v>
      </c>
      <c r="H172" s="696">
        <f>SUMIF('[3]Despesas Diretas'!$B$5:$B$9999,$B172,'[3]Despesas Diretas'!$H$5:$H$9999)</f>
        <v>0</v>
      </c>
      <c r="I172" s="696">
        <f>SUMIF([4]Comprometimento!$B$6:$B$147,$B172,[4]Comprometimento!$E$6:$E$147)</f>
        <v>0</v>
      </c>
      <c r="J172" s="696">
        <f>SUMIF([4]Estoque!$B$6:$B$880,$B172,[4]Estoque!$H$6:$H$880)</f>
        <v>0</v>
      </c>
      <c r="K172" s="697">
        <f t="shared" si="28"/>
        <v>0</v>
      </c>
      <c r="L172" s="698">
        <f t="shared" si="26"/>
        <v>0</v>
      </c>
      <c r="M172" s="699">
        <f t="shared" si="29"/>
        <v>0</v>
      </c>
      <c r="N172" s="698">
        <v>0</v>
      </c>
      <c r="O172" s="699">
        <v>0</v>
      </c>
      <c r="P172" s="699">
        <f t="shared" si="30"/>
        <v>0</v>
      </c>
      <c r="Q172" s="698">
        <f t="shared" si="24"/>
        <v>1</v>
      </c>
      <c r="R172" s="700">
        <f t="shared" si="25"/>
        <v>8214.652104004801</v>
      </c>
    </row>
    <row r="173" spans="1:18" s="130" customFormat="1" ht="21.95" customHeight="1" x14ac:dyDescent="0.2">
      <c r="A173" s="393" t="s">
        <v>112</v>
      </c>
      <c r="B173" s="959" t="s">
        <v>2259</v>
      </c>
      <c r="C173" s="959" t="s">
        <v>2260</v>
      </c>
      <c r="D173" s="366">
        <f>VLOOKUP($B173,'Análise Física Detalhada'!$E$13:$V$380,18,0)</f>
        <v>6872.0976478836019</v>
      </c>
      <c r="E173" s="367">
        <f>VLOOKUP($B173,'Análise Física Detalhada'!$E$13:$P$380,12,0)</f>
        <v>0</v>
      </c>
      <c r="F173" s="368">
        <f t="shared" si="27"/>
        <v>0</v>
      </c>
      <c r="G173" s="696">
        <f>SUMIF('[2]Despesas Diretas'!$B$5:$B$9944,$B173,'[2]Despesas Diretas'!$H$5:$H$9944)</f>
        <v>0</v>
      </c>
      <c r="H173" s="696">
        <f>SUMIF('[3]Despesas Diretas'!$B$5:$B$9999,$B173,'[3]Despesas Diretas'!$H$5:$H$9999)</f>
        <v>0</v>
      </c>
      <c r="I173" s="696">
        <f>SUMIF([4]Comprometimento!$B$6:$B$147,$B173,[4]Comprometimento!$E$6:$E$147)</f>
        <v>0</v>
      </c>
      <c r="J173" s="696">
        <f>SUMIF([4]Estoque!$B$6:$B$880,$B173,[4]Estoque!$H$6:$H$880)</f>
        <v>0</v>
      </c>
      <c r="K173" s="697">
        <f t="shared" si="28"/>
        <v>0</v>
      </c>
      <c r="L173" s="698">
        <f t="shared" si="26"/>
        <v>0</v>
      </c>
      <c r="M173" s="699">
        <f t="shared" si="29"/>
        <v>0</v>
      </c>
      <c r="N173" s="698">
        <v>0</v>
      </c>
      <c r="O173" s="699">
        <v>0</v>
      </c>
      <c r="P173" s="699">
        <f t="shared" si="30"/>
        <v>0</v>
      </c>
      <c r="Q173" s="698">
        <f t="shared" si="24"/>
        <v>1</v>
      </c>
      <c r="R173" s="700">
        <f t="shared" si="25"/>
        <v>6872.0976478836019</v>
      </c>
    </row>
    <row r="174" spans="1:18" s="130" customFormat="1" ht="21.95" customHeight="1" x14ac:dyDescent="0.2">
      <c r="A174" s="393" t="s">
        <v>112</v>
      </c>
      <c r="B174" s="959" t="s">
        <v>2261</v>
      </c>
      <c r="C174" s="959" t="s">
        <v>2262</v>
      </c>
      <c r="D174" s="366">
        <f>VLOOKUP($B174,'Análise Física Detalhada'!$E$13:$V$380,18,0)</f>
        <v>2689.6781192616004</v>
      </c>
      <c r="E174" s="367">
        <f>VLOOKUP($B174,'Análise Física Detalhada'!$E$13:$P$380,12,0)</f>
        <v>0</v>
      </c>
      <c r="F174" s="368">
        <f t="shared" si="27"/>
        <v>0</v>
      </c>
      <c r="G174" s="696">
        <f>SUMIF('[2]Despesas Diretas'!$B$5:$B$9944,$B174,'[2]Despesas Diretas'!$H$5:$H$9944)</f>
        <v>0</v>
      </c>
      <c r="H174" s="696">
        <f>SUMIF('[3]Despesas Diretas'!$B$5:$B$9999,$B174,'[3]Despesas Diretas'!$H$5:$H$9999)</f>
        <v>0</v>
      </c>
      <c r="I174" s="696">
        <f>SUMIF([4]Comprometimento!$B$6:$B$147,$B174,[4]Comprometimento!$E$6:$E$147)</f>
        <v>0</v>
      </c>
      <c r="J174" s="696">
        <f>SUMIF([4]Estoque!$B$6:$B$880,$B174,[4]Estoque!$H$6:$H$880)</f>
        <v>0</v>
      </c>
      <c r="K174" s="697">
        <f t="shared" si="28"/>
        <v>0</v>
      </c>
      <c r="L174" s="698">
        <f t="shared" si="26"/>
        <v>0</v>
      </c>
      <c r="M174" s="699">
        <f t="shared" si="29"/>
        <v>0</v>
      </c>
      <c r="N174" s="698">
        <v>0</v>
      </c>
      <c r="O174" s="699">
        <v>0</v>
      </c>
      <c r="P174" s="699">
        <f t="shared" si="30"/>
        <v>0</v>
      </c>
      <c r="Q174" s="698">
        <f t="shared" si="24"/>
        <v>1</v>
      </c>
      <c r="R174" s="700">
        <f t="shared" si="25"/>
        <v>2689.6781192616004</v>
      </c>
    </row>
    <row r="175" spans="1:18" s="177" customFormat="1" ht="21.95" customHeight="1" x14ac:dyDescent="0.2">
      <c r="A175" s="393" t="s">
        <v>122</v>
      </c>
      <c r="B175" s="161" t="s">
        <v>122</v>
      </c>
      <c r="C175" s="161" t="s">
        <v>643</v>
      </c>
      <c r="D175" s="163">
        <f>VLOOKUP($B175,'Análise Física Detalhada'!$E$13:$V$380,18,0)</f>
        <v>289326.92231887195</v>
      </c>
      <c r="E175" s="530">
        <f>F175/D175</f>
        <v>0</v>
      </c>
      <c r="F175" s="1001">
        <f>SUM(F176:F213)</f>
        <v>0</v>
      </c>
      <c r="G175" s="1000">
        <f>SUM(G176:G213)</f>
        <v>0</v>
      </c>
      <c r="H175" s="1000">
        <f t="shared" ref="H175:K175" si="31">SUM(H176:H213)</f>
        <v>0</v>
      </c>
      <c r="I175" s="1000">
        <f t="shared" si="31"/>
        <v>0</v>
      </c>
      <c r="J175" s="1000">
        <f t="shared" si="31"/>
        <v>0</v>
      </c>
      <c r="K175" s="1000">
        <f t="shared" si="31"/>
        <v>0</v>
      </c>
      <c r="L175" s="537">
        <f>IF($F175=0,0,$K175/$F175)</f>
        <v>0</v>
      </c>
      <c r="M175" s="163">
        <f>IF($L175=0,0,$K175-$F175)</f>
        <v>0</v>
      </c>
      <c r="N175" s="537">
        <v>0</v>
      </c>
      <c r="O175" s="163">
        <v>0</v>
      </c>
      <c r="P175" s="163">
        <f>$M175-$O175</f>
        <v>0</v>
      </c>
      <c r="Q175" s="537">
        <f t="shared" si="24"/>
        <v>1</v>
      </c>
      <c r="R175" s="163">
        <f t="shared" si="25"/>
        <v>289326.92231887195</v>
      </c>
    </row>
    <row r="176" spans="1:18" s="130" customFormat="1" ht="21.95" customHeight="1" x14ac:dyDescent="0.2">
      <c r="A176" s="393" t="s">
        <v>122</v>
      </c>
      <c r="B176" s="967" t="s">
        <v>123</v>
      </c>
      <c r="C176" s="967" t="s">
        <v>644</v>
      </c>
      <c r="D176" s="366">
        <f>VLOOKUP($B176,'Análise Física Detalhada'!$E$13:$V$380,18,0)</f>
        <v>0</v>
      </c>
      <c r="E176" s="367">
        <f>VLOOKUP($B176,'Análise Física Detalhada'!$E$13:$P$380,12,0)</f>
        <v>0</v>
      </c>
      <c r="F176" s="368">
        <f t="shared" si="27"/>
        <v>0</v>
      </c>
      <c r="G176" s="696">
        <f>SUMIF('[2]Despesas Diretas'!$B$5:$B$9944,$B176,'[2]Despesas Diretas'!$H$5:$H$9944)</f>
        <v>0</v>
      </c>
      <c r="H176" s="696">
        <f>SUMIF('[3]Despesas Diretas'!$B$5:$B$9999,$B176,'[3]Despesas Diretas'!$H$5:$H$9999)</f>
        <v>0</v>
      </c>
      <c r="I176" s="696">
        <f>SUMIF([4]Comprometimento!$B$6:$B$147,$B176,[4]Comprometimento!$E$6:$E$147)</f>
        <v>0</v>
      </c>
      <c r="J176" s="696">
        <f>SUMIF([4]Estoque!$B$6:$B$880,$B176,[4]Estoque!$H$6:$H$880)</f>
        <v>0</v>
      </c>
      <c r="K176" s="697">
        <f t="shared" si="28"/>
        <v>0</v>
      </c>
      <c r="L176" s="698">
        <f t="shared" si="26"/>
        <v>0</v>
      </c>
      <c r="M176" s="699">
        <f t="shared" si="29"/>
        <v>0</v>
      </c>
      <c r="N176" s="698">
        <v>0</v>
      </c>
      <c r="O176" s="699">
        <v>0</v>
      </c>
      <c r="P176" s="699">
        <f t="shared" si="30"/>
        <v>0</v>
      </c>
      <c r="Q176" s="698">
        <f t="shared" si="24"/>
        <v>0</v>
      </c>
      <c r="R176" s="700">
        <f t="shared" si="25"/>
        <v>0</v>
      </c>
    </row>
    <row r="177" spans="1:18" s="177" customFormat="1" ht="21.95" customHeight="1" x14ac:dyDescent="0.2">
      <c r="A177" s="393" t="s">
        <v>122</v>
      </c>
      <c r="B177" s="959" t="s">
        <v>124</v>
      </c>
      <c r="C177" s="959" t="s">
        <v>785</v>
      </c>
      <c r="D177" s="366">
        <f>VLOOKUP($B177,'Análise Física Detalhada'!$E$13:$V$380,18,0)</f>
        <v>10073.207932084802</v>
      </c>
      <c r="E177" s="367">
        <f>VLOOKUP($B177,'Análise Física Detalhada'!$E$13:$P$380,12,0)</f>
        <v>0</v>
      </c>
      <c r="F177" s="368">
        <f t="shared" si="27"/>
        <v>0</v>
      </c>
      <c r="G177" s="696">
        <f>SUMIF('[2]Despesas Diretas'!$B$5:$B$9944,$B177,'[2]Despesas Diretas'!$H$5:$H$9944)</f>
        <v>0</v>
      </c>
      <c r="H177" s="696">
        <f>SUMIF('[3]Despesas Diretas'!$B$5:$B$9999,$B177,'[3]Despesas Diretas'!$H$5:$H$9999)</f>
        <v>0</v>
      </c>
      <c r="I177" s="696">
        <f>SUMIF([4]Comprometimento!$B$6:$B$147,$B177,[4]Comprometimento!$E$6:$E$147)</f>
        <v>0</v>
      </c>
      <c r="J177" s="696">
        <f>SUMIF([4]Estoque!$B$6:$B$880,$B177,[4]Estoque!$H$6:$H$880)</f>
        <v>0</v>
      </c>
      <c r="K177" s="697">
        <f t="shared" si="28"/>
        <v>0</v>
      </c>
      <c r="L177" s="698">
        <f t="shared" si="26"/>
        <v>0</v>
      </c>
      <c r="M177" s="699">
        <f t="shared" si="29"/>
        <v>0</v>
      </c>
      <c r="N177" s="698">
        <v>0</v>
      </c>
      <c r="O177" s="699">
        <v>0</v>
      </c>
      <c r="P177" s="699">
        <f t="shared" si="30"/>
        <v>0</v>
      </c>
      <c r="Q177" s="698">
        <f t="shared" si="24"/>
        <v>1</v>
      </c>
      <c r="R177" s="700">
        <f t="shared" si="25"/>
        <v>10073.207932084802</v>
      </c>
    </row>
    <row r="178" spans="1:18" s="130" customFormat="1" ht="21.95" customHeight="1" x14ac:dyDescent="0.2">
      <c r="A178" s="393" t="s">
        <v>122</v>
      </c>
      <c r="B178" s="959" t="s">
        <v>1449</v>
      </c>
      <c r="C178" s="959" t="s">
        <v>1450</v>
      </c>
      <c r="D178" s="366">
        <f>VLOOKUP($B178,'Análise Física Detalhada'!$E$13:$V$380,18,0)</f>
        <v>6449.0446493424015</v>
      </c>
      <c r="E178" s="367">
        <f>VLOOKUP($B178,'Análise Física Detalhada'!$E$13:$P$380,12,0)</f>
        <v>0</v>
      </c>
      <c r="F178" s="368">
        <f t="shared" si="27"/>
        <v>0</v>
      </c>
      <c r="G178" s="696">
        <f>SUMIF('[2]Despesas Diretas'!$B$5:$B$9944,$B178,'[2]Despesas Diretas'!$H$5:$H$9944)</f>
        <v>0</v>
      </c>
      <c r="H178" s="696">
        <f>SUMIF('[3]Despesas Diretas'!$B$5:$B$9999,$B178,'[3]Despesas Diretas'!$H$5:$H$9999)</f>
        <v>0</v>
      </c>
      <c r="I178" s="696">
        <f>SUMIF([4]Comprometimento!$B$6:$B$147,$B178,[4]Comprometimento!$E$6:$E$147)</f>
        <v>0</v>
      </c>
      <c r="J178" s="696">
        <f>SUMIF([4]Estoque!$B$6:$B$880,$B178,[4]Estoque!$H$6:$H$880)</f>
        <v>0</v>
      </c>
      <c r="K178" s="697">
        <f t="shared" si="28"/>
        <v>0</v>
      </c>
      <c r="L178" s="698">
        <f t="shared" si="26"/>
        <v>0</v>
      </c>
      <c r="M178" s="699">
        <f t="shared" si="29"/>
        <v>0</v>
      </c>
      <c r="N178" s="698">
        <v>0</v>
      </c>
      <c r="O178" s="699">
        <v>0</v>
      </c>
      <c r="P178" s="699">
        <f t="shared" si="30"/>
        <v>0</v>
      </c>
      <c r="Q178" s="698">
        <f t="shared" si="24"/>
        <v>1</v>
      </c>
      <c r="R178" s="700">
        <f t="shared" si="25"/>
        <v>6449.0446493424015</v>
      </c>
    </row>
    <row r="179" spans="1:18" s="130" customFormat="1" ht="21.95" customHeight="1" x14ac:dyDescent="0.2">
      <c r="A179" s="393" t="s">
        <v>122</v>
      </c>
      <c r="B179" s="967" t="s">
        <v>125</v>
      </c>
      <c r="C179" s="967" t="s">
        <v>645</v>
      </c>
      <c r="D179" s="366">
        <f>VLOOKUP($B179,'Análise Física Detalhada'!$E$13:$V$380,18,0)</f>
        <v>0</v>
      </c>
      <c r="E179" s="367">
        <f>VLOOKUP($B179,'Análise Física Detalhada'!$E$13:$P$380,12,0)</f>
        <v>0</v>
      </c>
      <c r="F179" s="368">
        <f t="shared" si="27"/>
        <v>0</v>
      </c>
      <c r="G179" s="696">
        <f>SUMIF('[2]Despesas Diretas'!$B$5:$B$9944,$B179,'[2]Despesas Diretas'!$H$5:$H$9944)</f>
        <v>0</v>
      </c>
      <c r="H179" s="696">
        <f>SUMIF('[3]Despesas Diretas'!$B$5:$B$9999,$B179,'[3]Despesas Diretas'!$H$5:$H$9999)</f>
        <v>0</v>
      </c>
      <c r="I179" s="696">
        <f>SUMIF([4]Comprometimento!$B$6:$B$147,$B179,[4]Comprometimento!$E$6:$E$147)</f>
        <v>0</v>
      </c>
      <c r="J179" s="696">
        <f>SUMIF([4]Estoque!$B$6:$B$880,$B179,[4]Estoque!$H$6:$H$880)</f>
        <v>0</v>
      </c>
      <c r="K179" s="697">
        <f t="shared" si="28"/>
        <v>0</v>
      </c>
      <c r="L179" s="698">
        <f t="shared" si="26"/>
        <v>0</v>
      </c>
      <c r="M179" s="699">
        <f t="shared" si="29"/>
        <v>0</v>
      </c>
      <c r="N179" s="698">
        <v>0</v>
      </c>
      <c r="O179" s="699">
        <v>0</v>
      </c>
      <c r="P179" s="699">
        <f t="shared" si="30"/>
        <v>0</v>
      </c>
      <c r="Q179" s="698">
        <f t="shared" si="24"/>
        <v>0</v>
      </c>
      <c r="R179" s="700">
        <f t="shared" si="25"/>
        <v>0</v>
      </c>
    </row>
    <row r="180" spans="1:18" s="130" customFormat="1" ht="21.95" customHeight="1" x14ac:dyDescent="0.2">
      <c r="A180" s="393" t="s">
        <v>122</v>
      </c>
      <c r="B180" s="959" t="s">
        <v>126</v>
      </c>
      <c r="C180" s="959" t="s">
        <v>1964</v>
      </c>
      <c r="D180" s="366">
        <f>VLOOKUP($B180,'Análise Física Detalhada'!$E$13:$V$380,18,0)</f>
        <v>8190.0874707732009</v>
      </c>
      <c r="E180" s="367">
        <f>VLOOKUP($B180,'Análise Física Detalhada'!$E$13:$P$380,12,0)</f>
        <v>0</v>
      </c>
      <c r="F180" s="368">
        <f t="shared" si="27"/>
        <v>0</v>
      </c>
      <c r="G180" s="696">
        <f>SUMIF('[2]Despesas Diretas'!$B$5:$B$9944,$B180,'[2]Despesas Diretas'!$H$5:$H$9944)</f>
        <v>0</v>
      </c>
      <c r="H180" s="696">
        <f>SUMIF('[3]Despesas Diretas'!$B$5:$B$9999,$B180,'[3]Despesas Diretas'!$H$5:$H$9999)</f>
        <v>0</v>
      </c>
      <c r="I180" s="696">
        <f>SUMIF([4]Comprometimento!$B$6:$B$147,$B180,[4]Comprometimento!$E$6:$E$147)</f>
        <v>0</v>
      </c>
      <c r="J180" s="696">
        <f>SUMIF([4]Estoque!$B$6:$B$880,$B180,[4]Estoque!$H$6:$H$880)</f>
        <v>0</v>
      </c>
      <c r="K180" s="697">
        <f t="shared" si="28"/>
        <v>0</v>
      </c>
      <c r="L180" s="698">
        <f t="shared" si="26"/>
        <v>0</v>
      </c>
      <c r="M180" s="699">
        <f t="shared" si="29"/>
        <v>0</v>
      </c>
      <c r="N180" s="698">
        <v>0</v>
      </c>
      <c r="O180" s="699">
        <v>0</v>
      </c>
      <c r="P180" s="699">
        <f t="shared" si="30"/>
        <v>0</v>
      </c>
      <c r="Q180" s="698">
        <f t="shared" si="24"/>
        <v>1</v>
      </c>
      <c r="R180" s="700">
        <f t="shared" si="25"/>
        <v>8190.0874707732009</v>
      </c>
    </row>
    <row r="181" spans="1:18" s="130" customFormat="1" ht="21.95" customHeight="1" x14ac:dyDescent="0.2">
      <c r="A181" s="393" t="s">
        <v>122</v>
      </c>
      <c r="B181" s="959" t="s">
        <v>127</v>
      </c>
      <c r="C181" s="959" t="s">
        <v>1451</v>
      </c>
      <c r="D181" s="366">
        <f>VLOOKUP($B181,'Análise Física Detalhada'!$E$13:$V$380,18,0)</f>
        <v>21393.089009935204</v>
      </c>
      <c r="E181" s="367">
        <f>VLOOKUP($B181,'Análise Física Detalhada'!$E$13:$P$380,12,0)</f>
        <v>0</v>
      </c>
      <c r="F181" s="368">
        <f t="shared" si="27"/>
        <v>0</v>
      </c>
      <c r="G181" s="696">
        <f>SUMIF('[2]Despesas Diretas'!$B$5:$B$9944,$B181,'[2]Despesas Diretas'!$H$5:$H$9944)</f>
        <v>0</v>
      </c>
      <c r="H181" s="696">
        <f>SUMIF('[3]Despesas Diretas'!$B$5:$B$9999,$B181,'[3]Despesas Diretas'!$H$5:$H$9999)</f>
        <v>0</v>
      </c>
      <c r="I181" s="696">
        <f>SUMIF([4]Comprometimento!$B$6:$B$147,$B181,[4]Comprometimento!$E$6:$E$147)</f>
        <v>0</v>
      </c>
      <c r="J181" s="696">
        <f>SUMIF([4]Estoque!$B$6:$B$880,$B181,[4]Estoque!$H$6:$H$880)</f>
        <v>0</v>
      </c>
      <c r="K181" s="697">
        <f t="shared" si="28"/>
        <v>0</v>
      </c>
      <c r="L181" s="698">
        <f t="shared" si="26"/>
        <v>0</v>
      </c>
      <c r="M181" s="699">
        <f t="shared" si="29"/>
        <v>0</v>
      </c>
      <c r="N181" s="698">
        <v>0</v>
      </c>
      <c r="O181" s="699">
        <v>0</v>
      </c>
      <c r="P181" s="699">
        <f t="shared" si="30"/>
        <v>0</v>
      </c>
      <c r="Q181" s="698">
        <f t="shared" si="24"/>
        <v>1</v>
      </c>
      <c r="R181" s="700">
        <f t="shared" si="25"/>
        <v>21393.089009935204</v>
      </c>
    </row>
    <row r="182" spans="1:18" s="130" customFormat="1" ht="21.95" customHeight="1" x14ac:dyDescent="0.2">
      <c r="A182" s="393" t="s">
        <v>122</v>
      </c>
      <c r="B182" s="959" t="s">
        <v>128</v>
      </c>
      <c r="C182" s="959" t="s">
        <v>2102</v>
      </c>
      <c r="D182" s="366">
        <f>VLOOKUP($B182,'Análise Física Detalhada'!$E$13:$V$380,18,0)</f>
        <v>115.41364126200003</v>
      </c>
      <c r="E182" s="367">
        <f>VLOOKUP($B182,'Análise Física Detalhada'!$E$13:$P$380,12,0)</f>
        <v>0</v>
      </c>
      <c r="F182" s="368">
        <f t="shared" si="27"/>
        <v>0</v>
      </c>
      <c r="G182" s="696">
        <f>SUMIF('[2]Despesas Diretas'!$B$5:$B$9944,$B182,'[2]Despesas Diretas'!$H$5:$H$9944)</f>
        <v>0</v>
      </c>
      <c r="H182" s="696">
        <f>SUMIF('[3]Despesas Diretas'!$B$5:$B$9999,$B182,'[3]Despesas Diretas'!$H$5:$H$9999)</f>
        <v>0</v>
      </c>
      <c r="I182" s="696">
        <f>SUMIF([4]Comprometimento!$B$6:$B$147,$B182,[4]Comprometimento!$E$6:$E$147)</f>
        <v>0</v>
      </c>
      <c r="J182" s="696">
        <f>SUMIF([4]Estoque!$B$6:$B$880,$B182,[4]Estoque!$H$6:$H$880)</f>
        <v>0</v>
      </c>
      <c r="K182" s="697">
        <f t="shared" si="28"/>
        <v>0</v>
      </c>
      <c r="L182" s="698">
        <f t="shared" si="26"/>
        <v>0</v>
      </c>
      <c r="M182" s="699">
        <f t="shared" si="29"/>
        <v>0</v>
      </c>
      <c r="N182" s="698">
        <v>0</v>
      </c>
      <c r="O182" s="699">
        <v>0</v>
      </c>
      <c r="P182" s="699">
        <f t="shared" si="30"/>
        <v>0</v>
      </c>
      <c r="Q182" s="698">
        <f t="shared" si="24"/>
        <v>1</v>
      </c>
      <c r="R182" s="700">
        <f t="shared" si="25"/>
        <v>115.41364126200003</v>
      </c>
    </row>
    <row r="183" spans="1:18" s="177" customFormat="1" ht="21.95" customHeight="1" x14ac:dyDescent="0.2">
      <c r="A183" s="393" t="s">
        <v>122</v>
      </c>
      <c r="B183" s="967" t="s">
        <v>129</v>
      </c>
      <c r="C183" s="967" t="s">
        <v>646</v>
      </c>
      <c r="D183" s="366">
        <f>VLOOKUP($B183,'Análise Física Detalhada'!$E$13:$V$380,18,0)</f>
        <v>0</v>
      </c>
      <c r="E183" s="367">
        <f>VLOOKUP($B183,'Análise Física Detalhada'!$E$13:$P$380,12,0)</f>
        <v>0</v>
      </c>
      <c r="F183" s="368">
        <f t="shared" si="27"/>
        <v>0</v>
      </c>
      <c r="G183" s="696">
        <f>SUMIF('[2]Despesas Diretas'!$B$5:$B$9944,$B183,'[2]Despesas Diretas'!$H$5:$H$9944)</f>
        <v>0</v>
      </c>
      <c r="H183" s="696">
        <f>SUMIF('[3]Despesas Diretas'!$B$5:$B$9999,$B183,'[3]Despesas Diretas'!$H$5:$H$9999)</f>
        <v>0</v>
      </c>
      <c r="I183" s="696">
        <f>SUMIF([4]Comprometimento!$B$6:$B$147,$B183,[4]Comprometimento!$E$6:$E$147)</f>
        <v>0</v>
      </c>
      <c r="J183" s="696">
        <f>SUMIF([4]Estoque!$B$6:$B$880,$B183,[4]Estoque!$H$6:$H$880)</f>
        <v>0</v>
      </c>
      <c r="K183" s="697">
        <f t="shared" si="28"/>
        <v>0</v>
      </c>
      <c r="L183" s="698">
        <f t="shared" si="26"/>
        <v>0</v>
      </c>
      <c r="M183" s="699">
        <f t="shared" si="29"/>
        <v>0</v>
      </c>
      <c r="N183" s="698">
        <v>0</v>
      </c>
      <c r="O183" s="699">
        <v>0</v>
      </c>
      <c r="P183" s="699">
        <f t="shared" si="30"/>
        <v>0</v>
      </c>
      <c r="Q183" s="698">
        <f t="shared" si="24"/>
        <v>0</v>
      </c>
      <c r="R183" s="700">
        <f t="shared" si="25"/>
        <v>0</v>
      </c>
    </row>
    <row r="184" spans="1:18" s="130" customFormat="1" ht="21.95" customHeight="1" x14ac:dyDescent="0.2">
      <c r="A184" s="393" t="s">
        <v>122</v>
      </c>
      <c r="B184" s="959" t="s">
        <v>130</v>
      </c>
      <c r="C184" s="959" t="s">
        <v>1965</v>
      </c>
      <c r="D184" s="366">
        <f>VLOOKUP($B184,'Análise Física Detalhada'!$E$13:$V$380,18,0)</f>
        <v>4474.1798624088005</v>
      </c>
      <c r="E184" s="367">
        <f>VLOOKUP($B184,'Análise Física Detalhada'!$E$13:$P$380,12,0)</f>
        <v>0</v>
      </c>
      <c r="F184" s="368">
        <f t="shared" si="27"/>
        <v>0</v>
      </c>
      <c r="G184" s="696">
        <f>SUMIF('[2]Despesas Diretas'!$B$5:$B$9944,$B184,'[2]Despesas Diretas'!$H$5:$H$9944)</f>
        <v>0</v>
      </c>
      <c r="H184" s="696">
        <f>SUMIF('[3]Despesas Diretas'!$B$5:$B$9999,$B184,'[3]Despesas Diretas'!$H$5:$H$9999)</f>
        <v>0</v>
      </c>
      <c r="I184" s="696">
        <f>SUMIF([4]Comprometimento!$B$6:$B$147,$B184,[4]Comprometimento!$E$6:$E$147)</f>
        <v>0</v>
      </c>
      <c r="J184" s="696">
        <f>SUMIF([4]Estoque!$B$6:$B$880,$B184,[4]Estoque!$H$6:$H$880)</f>
        <v>0</v>
      </c>
      <c r="K184" s="697">
        <f t="shared" si="28"/>
        <v>0</v>
      </c>
      <c r="L184" s="698">
        <f t="shared" si="26"/>
        <v>0</v>
      </c>
      <c r="M184" s="699">
        <f t="shared" si="29"/>
        <v>0</v>
      </c>
      <c r="N184" s="698">
        <v>0</v>
      </c>
      <c r="O184" s="699">
        <v>0</v>
      </c>
      <c r="P184" s="699">
        <f t="shared" si="30"/>
        <v>0</v>
      </c>
      <c r="Q184" s="698">
        <f t="shared" si="24"/>
        <v>1</v>
      </c>
      <c r="R184" s="700">
        <f t="shared" si="25"/>
        <v>4474.1798624088005</v>
      </c>
    </row>
    <row r="185" spans="1:18" s="130" customFormat="1" ht="21.95" customHeight="1" x14ac:dyDescent="0.2">
      <c r="A185" s="393" t="s">
        <v>122</v>
      </c>
      <c r="B185" s="959" t="s">
        <v>647</v>
      </c>
      <c r="C185" s="959" t="s">
        <v>1453</v>
      </c>
      <c r="D185" s="366">
        <f>VLOOKUP($B185,'Análise Física Detalhada'!$E$13:$V$380,18,0)</f>
        <v>10992.832881746401</v>
      </c>
      <c r="E185" s="367">
        <f>VLOOKUP($B185,'Análise Física Detalhada'!$E$13:$P$380,12,0)</f>
        <v>0</v>
      </c>
      <c r="F185" s="368">
        <f t="shared" si="27"/>
        <v>0</v>
      </c>
      <c r="G185" s="696">
        <f>SUMIF('[2]Despesas Diretas'!$B$5:$B$9944,$B185,'[2]Despesas Diretas'!$H$5:$H$9944)</f>
        <v>0</v>
      </c>
      <c r="H185" s="696">
        <f>SUMIF('[3]Despesas Diretas'!$B$5:$B$9999,$B185,'[3]Despesas Diretas'!$H$5:$H$9999)</f>
        <v>0</v>
      </c>
      <c r="I185" s="696">
        <f>SUMIF([4]Comprometimento!$B$6:$B$147,$B185,[4]Comprometimento!$E$6:$E$147)</f>
        <v>0</v>
      </c>
      <c r="J185" s="696">
        <f>SUMIF([4]Estoque!$B$6:$B$880,$B185,[4]Estoque!$H$6:$H$880)</f>
        <v>0</v>
      </c>
      <c r="K185" s="697">
        <f t="shared" si="28"/>
        <v>0</v>
      </c>
      <c r="L185" s="698">
        <f t="shared" si="26"/>
        <v>0</v>
      </c>
      <c r="M185" s="699">
        <f t="shared" si="29"/>
        <v>0</v>
      </c>
      <c r="N185" s="698">
        <v>0</v>
      </c>
      <c r="O185" s="699">
        <v>0</v>
      </c>
      <c r="P185" s="699">
        <f t="shared" si="30"/>
        <v>0</v>
      </c>
      <c r="Q185" s="698">
        <f t="shared" si="24"/>
        <v>1</v>
      </c>
      <c r="R185" s="700">
        <f t="shared" si="25"/>
        <v>10992.832881746401</v>
      </c>
    </row>
    <row r="186" spans="1:18" s="177" customFormat="1" ht="21.95" customHeight="1" x14ac:dyDescent="0.2">
      <c r="A186" s="393" t="s">
        <v>122</v>
      </c>
      <c r="B186" s="967" t="s">
        <v>131</v>
      </c>
      <c r="C186" s="967" t="s">
        <v>648</v>
      </c>
      <c r="D186" s="366">
        <f>VLOOKUP($B186,'Análise Física Detalhada'!$E$13:$V$380,18,0)</f>
        <v>0</v>
      </c>
      <c r="E186" s="367">
        <f>VLOOKUP($B186,'Análise Física Detalhada'!$E$13:$P$380,12,0)</f>
        <v>0</v>
      </c>
      <c r="F186" s="368">
        <f t="shared" si="27"/>
        <v>0</v>
      </c>
      <c r="G186" s="696">
        <f>SUMIF('[2]Despesas Diretas'!$B$5:$B$9944,$B186,'[2]Despesas Diretas'!$H$5:$H$9944)</f>
        <v>0</v>
      </c>
      <c r="H186" s="696">
        <f>SUMIF('[3]Despesas Diretas'!$B$5:$B$9999,$B186,'[3]Despesas Diretas'!$H$5:$H$9999)</f>
        <v>0</v>
      </c>
      <c r="I186" s="696">
        <f>SUMIF([4]Comprometimento!$B$6:$B$147,$B186,[4]Comprometimento!$E$6:$E$147)</f>
        <v>0</v>
      </c>
      <c r="J186" s="696">
        <f>SUMIF([4]Estoque!$B$6:$B$880,$B186,[4]Estoque!$H$6:$H$880)</f>
        <v>0</v>
      </c>
      <c r="K186" s="697">
        <f t="shared" si="28"/>
        <v>0</v>
      </c>
      <c r="L186" s="698">
        <f t="shared" si="26"/>
        <v>0</v>
      </c>
      <c r="M186" s="699">
        <f t="shared" si="29"/>
        <v>0</v>
      </c>
      <c r="N186" s="698">
        <v>0</v>
      </c>
      <c r="O186" s="699">
        <v>0</v>
      </c>
      <c r="P186" s="699">
        <f t="shared" si="30"/>
        <v>0</v>
      </c>
      <c r="Q186" s="698">
        <f t="shared" si="24"/>
        <v>0</v>
      </c>
      <c r="R186" s="700">
        <f t="shared" si="25"/>
        <v>0</v>
      </c>
    </row>
    <row r="187" spans="1:18" s="130" customFormat="1" ht="21.95" customHeight="1" x14ac:dyDescent="0.2">
      <c r="A187" s="393" t="s">
        <v>122</v>
      </c>
      <c r="B187" s="959" t="s">
        <v>132</v>
      </c>
      <c r="C187" s="959" t="s">
        <v>2263</v>
      </c>
      <c r="D187" s="366">
        <f>VLOOKUP($B187,'Análise Física Detalhada'!$E$13:$V$380,18,0)</f>
        <v>102783.6738544824</v>
      </c>
      <c r="E187" s="367">
        <f>VLOOKUP($B187,'Análise Física Detalhada'!$E$13:$P$380,12,0)</f>
        <v>0</v>
      </c>
      <c r="F187" s="368">
        <f t="shared" si="27"/>
        <v>0</v>
      </c>
      <c r="G187" s="696">
        <f>SUMIF('[2]Despesas Diretas'!$B$5:$B$9944,$B187,'[2]Despesas Diretas'!$H$5:$H$9944)</f>
        <v>0</v>
      </c>
      <c r="H187" s="696">
        <f>SUMIF('[3]Despesas Diretas'!$B$5:$B$9999,$B187,'[3]Despesas Diretas'!$H$5:$H$9999)</f>
        <v>0</v>
      </c>
      <c r="I187" s="696">
        <f>SUMIF([4]Comprometimento!$B$6:$B$147,$B187,[4]Comprometimento!$E$6:$E$147)</f>
        <v>0</v>
      </c>
      <c r="J187" s="696">
        <f>SUMIF([4]Estoque!$B$6:$B$880,$B187,[4]Estoque!$H$6:$H$880)</f>
        <v>0</v>
      </c>
      <c r="K187" s="697">
        <f t="shared" si="28"/>
        <v>0</v>
      </c>
      <c r="L187" s="698">
        <f t="shared" si="26"/>
        <v>0</v>
      </c>
      <c r="M187" s="699">
        <f t="shared" si="29"/>
        <v>0</v>
      </c>
      <c r="N187" s="698">
        <v>0</v>
      </c>
      <c r="O187" s="699">
        <v>0</v>
      </c>
      <c r="P187" s="699">
        <f t="shared" si="30"/>
        <v>0</v>
      </c>
      <c r="Q187" s="698">
        <f t="shared" si="24"/>
        <v>1</v>
      </c>
      <c r="R187" s="700">
        <f t="shared" si="25"/>
        <v>102783.6738544824</v>
      </c>
    </row>
    <row r="188" spans="1:18" s="177" customFormat="1" ht="21.95" customHeight="1" x14ac:dyDescent="0.2">
      <c r="A188" s="393" t="s">
        <v>122</v>
      </c>
      <c r="B188" s="967" t="s">
        <v>649</v>
      </c>
      <c r="C188" s="967" t="s">
        <v>650</v>
      </c>
      <c r="D188" s="366">
        <f>VLOOKUP($B188,'Análise Física Detalhada'!$E$13:$V$380,18,0)</f>
        <v>0</v>
      </c>
      <c r="E188" s="367">
        <f>VLOOKUP($B188,'Análise Física Detalhada'!$E$13:$P$380,12,0)</f>
        <v>0</v>
      </c>
      <c r="F188" s="368">
        <f t="shared" si="27"/>
        <v>0</v>
      </c>
      <c r="G188" s="696">
        <f>SUMIF('[2]Despesas Diretas'!$B$5:$B$9944,$B188,'[2]Despesas Diretas'!$H$5:$H$9944)</f>
        <v>0</v>
      </c>
      <c r="H188" s="696">
        <f>SUMIF('[3]Despesas Diretas'!$B$5:$B$9999,$B188,'[3]Despesas Diretas'!$H$5:$H$9999)</f>
        <v>0</v>
      </c>
      <c r="I188" s="696">
        <f>SUMIF([4]Comprometimento!$B$6:$B$147,$B188,[4]Comprometimento!$E$6:$E$147)</f>
        <v>0</v>
      </c>
      <c r="J188" s="696">
        <f>SUMIF([4]Estoque!$B$6:$B$880,$B188,[4]Estoque!$H$6:$H$880)</f>
        <v>0</v>
      </c>
      <c r="K188" s="697">
        <f t="shared" si="28"/>
        <v>0</v>
      </c>
      <c r="L188" s="698">
        <f t="shared" si="26"/>
        <v>0</v>
      </c>
      <c r="M188" s="699">
        <f t="shared" si="29"/>
        <v>0</v>
      </c>
      <c r="N188" s="698">
        <v>0</v>
      </c>
      <c r="O188" s="699">
        <v>0</v>
      </c>
      <c r="P188" s="699">
        <f t="shared" si="30"/>
        <v>0</v>
      </c>
      <c r="Q188" s="698">
        <f t="shared" si="24"/>
        <v>0</v>
      </c>
      <c r="R188" s="700">
        <f t="shared" si="25"/>
        <v>0</v>
      </c>
    </row>
    <row r="189" spans="1:18" s="130" customFormat="1" ht="21.95" customHeight="1" x14ac:dyDescent="0.2">
      <c r="A189" s="393" t="s">
        <v>122</v>
      </c>
      <c r="B189" s="967" t="s">
        <v>1454</v>
      </c>
      <c r="C189" s="967" t="s">
        <v>1455</v>
      </c>
      <c r="D189" s="366">
        <f>VLOOKUP($B189,'Análise Física Detalhada'!$E$13:$V$380,18,0)</f>
        <v>0</v>
      </c>
      <c r="E189" s="367">
        <f>VLOOKUP($B189,'Análise Física Detalhada'!$E$13:$P$380,12,0)</f>
        <v>0</v>
      </c>
      <c r="F189" s="368">
        <f t="shared" si="27"/>
        <v>0</v>
      </c>
      <c r="G189" s="696">
        <f>SUMIF('[2]Despesas Diretas'!$B$5:$B$9944,$B189,'[2]Despesas Diretas'!$H$5:$H$9944)</f>
        <v>0</v>
      </c>
      <c r="H189" s="696">
        <f>SUMIF('[3]Despesas Diretas'!$B$5:$B$9999,$B189,'[3]Despesas Diretas'!$H$5:$H$9999)</f>
        <v>0</v>
      </c>
      <c r="I189" s="696">
        <f>SUMIF([4]Comprometimento!$B$6:$B$147,$B189,[4]Comprometimento!$E$6:$E$147)</f>
        <v>0</v>
      </c>
      <c r="J189" s="696">
        <f>SUMIF([4]Estoque!$B$6:$B$880,$B189,[4]Estoque!$H$6:$H$880)</f>
        <v>0</v>
      </c>
      <c r="K189" s="697">
        <f t="shared" si="28"/>
        <v>0</v>
      </c>
      <c r="L189" s="698">
        <f t="shared" si="26"/>
        <v>0</v>
      </c>
      <c r="M189" s="699">
        <f t="shared" si="29"/>
        <v>0</v>
      </c>
      <c r="N189" s="698">
        <v>0</v>
      </c>
      <c r="O189" s="699">
        <v>0</v>
      </c>
      <c r="P189" s="699">
        <f t="shared" si="30"/>
        <v>0</v>
      </c>
      <c r="Q189" s="698">
        <f t="shared" si="24"/>
        <v>0</v>
      </c>
      <c r="R189" s="700">
        <f t="shared" si="25"/>
        <v>0</v>
      </c>
    </row>
    <row r="190" spans="1:18" s="130" customFormat="1" ht="21.95" customHeight="1" x14ac:dyDescent="0.2">
      <c r="A190" s="393" t="s">
        <v>122</v>
      </c>
      <c r="B190" s="959" t="s">
        <v>1456</v>
      </c>
      <c r="C190" s="959" t="s">
        <v>2264</v>
      </c>
      <c r="D190" s="366">
        <f>VLOOKUP($B190,'Análise Física Detalhada'!$E$13:$V$380,18,0)</f>
        <v>33563.4600537648</v>
      </c>
      <c r="E190" s="367">
        <f>VLOOKUP($B190,'Análise Física Detalhada'!$E$13:$P$380,12,0)</f>
        <v>0</v>
      </c>
      <c r="F190" s="368">
        <f t="shared" si="27"/>
        <v>0</v>
      </c>
      <c r="G190" s="696">
        <f>SUMIF('[2]Despesas Diretas'!$B$5:$B$9944,$B190,'[2]Despesas Diretas'!$H$5:$H$9944)</f>
        <v>0</v>
      </c>
      <c r="H190" s="696">
        <f>SUMIF('[3]Despesas Diretas'!$B$5:$B$9999,$B190,'[3]Despesas Diretas'!$H$5:$H$9999)</f>
        <v>0</v>
      </c>
      <c r="I190" s="696">
        <f>SUMIF([4]Comprometimento!$B$6:$B$147,$B190,[4]Comprometimento!$E$6:$E$147)</f>
        <v>0</v>
      </c>
      <c r="J190" s="696">
        <f>SUMIF([4]Estoque!$B$6:$B$880,$B190,[4]Estoque!$H$6:$H$880)</f>
        <v>0</v>
      </c>
      <c r="K190" s="697">
        <f t="shared" si="28"/>
        <v>0</v>
      </c>
      <c r="L190" s="698">
        <f t="shared" si="26"/>
        <v>0</v>
      </c>
      <c r="M190" s="699">
        <f t="shared" si="29"/>
        <v>0</v>
      </c>
      <c r="N190" s="698">
        <v>0</v>
      </c>
      <c r="O190" s="699">
        <v>0</v>
      </c>
      <c r="P190" s="699">
        <f t="shared" si="30"/>
        <v>0</v>
      </c>
      <c r="Q190" s="698">
        <f t="shared" si="24"/>
        <v>1</v>
      </c>
      <c r="R190" s="700">
        <f t="shared" si="25"/>
        <v>33563.4600537648</v>
      </c>
    </row>
    <row r="191" spans="1:18" s="155" customFormat="1" ht="21.95" customHeight="1" x14ac:dyDescent="0.2">
      <c r="A191" s="393" t="s">
        <v>122</v>
      </c>
      <c r="B191" s="959" t="s">
        <v>1458</v>
      </c>
      <c r="C191" s="959" t="s">
        <v>2265</v>
      </c>
      <c r="D191" s="366">
        <f>VLOOKUP($B191,'Análise Física Detalhada'!$E$13:$V$380,18,0)</f>
        <v>2290.2326903196004</v>
      </c>
      <c r="E191" s="367">
        <f>VLOOKUP($B191,'Análise Física Detalhada'!$E$13:$P$380,12,0)</f>
        <v>0</v>
      </c>
      <c r="F191" s="368">
        <f t="shared" si="27"/>
        <v>0</v>
      </c>
      <c r="G191" s="696">
        <f>SUMIF('[2]Despesas Diretas'!$B$5:$B$9944,$B191,'[2]Despesas Diretas'!$H$5:$H$9944)</f>
        <v>0</v>
      </c>
      <c r="H191" s="696">
        <f>SUMIF('[3]Despesas Diretas'!$B$5:$B$9999,$B191,'[3]Despesas Diretas'!$H$5:$H$9999)</f>
        <v>0</v>
      </c>
      <c r="I191" s="696">
        <f>SUMIF([4]Comprometimento!$B$6:$B$147,$B191,[4]Comprometimento!$E$6:$E$147)</f>
        <v>0</v>
      </c>
      <c r="J191" s="696">
        <f>SUMIF([4]Estoque!$B$6:$B$880,$B191,[4]Estoque!$H$6:$H$880)</f>
        <v>0</v>
      </c>
      <c r="K191" s="697">
        <f t="shared" si="28"/>
        <v>0</v>
      </c>
      <c r="L191" s="698">
        <f t="shared" si="26"/>
        <v>0</v>
      </c>
      <c r="M191" s="699">
        <f t="shared" si="29"/>
        <v>0</v>
      </c>
      <c r="N191" s="698">
        <v>0</v>
      </c>
      <c r="O191" s="699">
        <v>0</v>
      </c>
      <c r="P191" s="699">
        <f t="shared" si="30"/>
        <v>0</v>
      </c>
      <c r="Q191" s="698">
        <f t="shared" si="24"/>
        <v>1</v>
      </c>
      <c r="R191" s="700">
        <f t="shared" si="25"/>
        <v>2290.2326903196004</v>
      </c>
    </row>
    <row r="192" spans="1:18" s="177" customFormat="1" ht="21.95" customHeight="1" x14ac:dyDescent="0.2">
      <c r="A192" s="393" t="s">
        <v>122</v>
      </c>
      <c r="B192" s="959" t="s">
        <v>1459</v>
      </c>
      <c r="C192" s="959" t="s">
        <v>2266</v>
      </c>
      <c r="D192" s="366">
        <f>VLOOKUP($B192,'Análise Física Detalhada'!$E$13:$V$380,18,0)</f>
        <v>4760.6300366868008</v>
      </c>
      <c r="E192" s="367">
        <f>VLOOKUP($B192,'Análise Física Detalhada'!$E$13:$P$380,12,0)</f>
        <v>0</v>
      </c>
      <c r="F192" s="368">
        <f t="shared" si="27"/>
        <v>0</v>
      </c>
      <c r="G192" s="696">
        <f>SUMIF('[2]Despesas Diretas'!$B$5:$B$9944,$B192,'[2]Despesas Diretas'!$H$5:$H$9944)</f>
        <v>0</v>
      </c>
      <c r="H192" s="696">
        <f>SUMIF('[3]Despesas Diretas'!$B$5:$B$9999,$B192,'[3]Despesas Diretas'!$H$5:$H$9999)</f>
        <v>0</v>
      </c>
      <c r="I192" s="696">
        <f>SUMIF([4]Comprometimento!$B$6:$B$147,$B192,[4]Comprometimento!$E$6:$E$147)</f>
        <v>0</v>
      </c>
      <c r="J192" s="696">
        <f>SUMIF([4]Estoque!$B$6:$B$880,$B192,[4]Estoque!$H$6:$H$880)</f>
        <v>0</v>
      </c>
      <c r="K192" s="697">
        <f t="shared" si="28"/>
        <v>0</v>
      </c>
      <c r="L192" s="698">
        <f t="shared" si="26"/>
        <v>0</v>
      </c>
      <c r="M192" s="699">
        <f t="shared" si="29"/>
        <v>0</v>
      </c>
      <c r="N192" s="698">
        <v>0</v>
      </c>
      <c r="O192" s="699">
        <v>0</v>
      </c>
      <c r="P192" s="699">
        <f t="shared" si="30"/>
        <v>0</v>
      </c>
      <c r="Q192" s="698">
        <f t="shared" si="24"/>
        <v>1</v>
      </c>
      <c r="R192" s="700">
        <f t="shared" si="25"/>
        <v>4760.6300366868008</v>
      </c>
    </row>
    <row r="193" spans="1:18" s="130" customFormat="1" ht="21.95" customHeight="1" x14ac:dyDescent="0.2">
      <c r="A193" s="393" t="s">
        <v>122</v>
      </c>
      <c r="B193" s="959" t="s">
        <v>2103</v>
      </c>
      <c r="C193" s="959" t="s">
        <v>2267</v>
      </c>
      <c r="D193" s="366">
        <f>VLOOKUP($B193,'Análise Física Detalhada'!$E$13:$V$380,18,0)</f>
        <v>587.64736130040012</v>
      </c>
      <c r="E193" s="367">
        <f>VLOOKUP($B193,'Análise Física Detalhada'!$E$13:$P$380,12,0)</f>
        <v>0</v>
      </c>
      <c r="F193" s="368">
        <f t="shared" si="27"/>
        <v>0</v>
      </c>
      <c r="G193" s="696">
        <f>SUMIF('[2]Despesas Diretas'!$B$5:$B$9944,$B193,'[2]Despesas Diretas'!$H$5:$H$9944)</f>
        <v>0</v>
      </c>
      <c r="H193" s="696">
        <f>SUMIF('[3]Despesas Diretas'!$B$5:$B$9999,$B193,'[3]Despesas Diretas'!$H$5:$H$9999)</f>
        <v>0</v>
      </c>
      <c r="I193" s="696">
        <f>SUMIF([4]Comprometimento!$B$6:$B$147,$B193,[4]Comprometimento!$E$6:$E$147)</f>
        <v>0</v>
      </c>
      <c r="J193" s="696">
        <f>SUMIF([4]Estoque!$B$6:$B$880,$B193,[4]Estoque!$H$6:$H$880)</f>
        <v>0</v>
      </c>
      <c r="K193" s="697">
        <f t="shared" si="28"/>
        <v>0</v>
      </c>
      <c r="L193" s="698">
        <f t="shared" si="26"/>
        <v>0</v>
      </c>
      <c r="M193" s="699">
        <f t="shared" si="29"/>
        <v>0</v>
      </c>
      <c r="N193" s="698">
        <v>0</v>
      </c>
      <c r="O193" s="699">
        <v>0</v>
      </c>
      <c r="P193" s="699">
        <f t="shared" si="30"/>
        <v>0</v>
      </c>
      <c r="Q193" s="698">
        <f t="shared" si="24"/>
        <v>1</v>
      </c>
      <c r="R193" s="700">
        <f t="shared" si="25"/>
        <v>587.64736130040012</v>
      </c>
    </row>
    <row r="194" spans="1:18" s="130" customFormat="1" ht="21.95" customHeight="1" x14ac:dyDescent="0.2">
      <c r="A194" s="393" t="s">
        <v>122</v>
      </c>
      <c r="B194" s="959" t="s">
        <v>2104</v>
      </c>
      <c r="C194" s="959" t="s">
        <v>482</v>
      </c>
      <c r="D194" s="366">
        <f>VLOOKUP($B194,'Análise Física Detalhada'!$E$13:$V$380,18,0)</f>
        <v>38077.404366448805</v>
      </c>
      <c r="E194" s="367">
        <f>VLOOKUP($B194,'Análise Física Detalhada'!$E$13:$P$380,12,0)</f>
        <v>0</v>
      </c>
      <c r="F194" s="368">
        <f t="shared" si="27"/>
        <v>0</v>
      </c>
      <c r="G194" s="696">
        <f>SUMIF('[2]Despesas Diretas'!$B$5:$B$9944,$B194,'[2]Despesas Diretas'!$H$5:$H$9944)</f>
        <v>0</v>
      </c>
      <c r="H194" s="696">
        <f>SUMIF('[3]Despesas Diretas'!$B$5:$B$9999,$B194,'[3]Despesas Diretas'!$H$5:$H$9999)</f>
        <v>0</v>
      </c>
      <c r="I194" s="696">
        <f>SUMIF([4]Comprometimento!$B$6:$B$147,$B194,[4]Comprometimento!$E$6:$E$147)</f>
        <v>0</v>
      </c>
      <c r="J194" s="696">
        <f>SUMIF([4]Estoque!$B$6:$B$880,$B194,[4]Estoque!$H$6:$H$880)</f>
        <v>0</v>
      </c>
      <c r="K194" s="697">
        <f t="shared" si="28"/>
        <v>0</v>
      </c>
      <c r="L194" s="698">
        <f t="shared" si="26"/>
        <v>0</v>
      </c>
      <c r="M194" s="699">
        <f t="shared" si="29"/>
        <v>0</v>
      </c>
      <c r="N194" s="698">
        <v>0</v>
      </c>
      <c r="O194" s="699">
        <v>0</v>
      </c>
      <c r="P194" s="699">
        <f t="shared" si="30"/>
        <v>0</v>
      </c>
      <c r="Q194" s="698">
        <f t="shared" si="24"/>
        <v>1</v>
      </c>
      <c r="R194" s="700">
        <f t="shared" si="25"/>
        <v>38077.404366448805</v>
      </c>
    </row>
    <row r="195" spans="1:18" s="130" customFormat="1" ht="21.95" customHeight="1" x14ac:dyDescent="0.2">
      <c r="A195" s="393" t="s">
        <v>122</v>
      </c>
      <c r="B195" s="959" t="s">
        <v>2268</v>
      </c>
      <c r="C195" s="959" t="s">
        <v>2110</v>
      </c>
      <c r="D195" s="366">
        <f>VLOOKUP($B195,'Análise Física Detalhada'!$E$13:$V$380,18,0)</f>
        <v>6683.4223292124016</v>
      </c>
      <c r="E195" s="367">
        <f>VLOOKUP($B195,'Análise Física Detalhada'!$E$13:$P$380,12,0)</f>
        <v>0</v>
      </c>
      <c r="F195" s="368">
        <f t="shared" si="27"/>
        <v>0</v>
      </c>
      <c r="G195" s="696">
        <f>SUMIF('[2]Despesas Diretas'!$B$5:$B$9944,$B195,'[2]Despesas Diretas'!$H$5:$H$9944)</f>
        <v>0</v>
      </c>
      <c r="H195" s="696">
        <f>SUMIF('[3]Despesas Diretas'!$B$5:$B$9999,$B195,'[3]Despesas Diretas'!$H$5:$H$9999)</f>
        <v>0</v>
      </c>
      <c r="I195" s="696">
        <f>SUMIF([4]Comprometimento!$B$6:$B$147,$B195,[4]Comprometimento!$E$6:$E$147)</f>
        <v>0</v>
      </c>
      <c r="J195" s="696">
        <f>SUMIF([4]Estoque!$B$6:$B$880,$B195,[4]Estoque!$H$6:$H$880)</f>
        <v>0</v>
      </c>
      <c r="K195" s="697">
        <f t="shared" si="28"/>
        <v>0</v>
      </c>
      <c r="L195" s="698">
        <f t="shared" si="26"/>
        <v>0</v>
      </c>
      <c r="M195" s="699">
        <f t="shared" si="29"/>
        <v>0</v>
      </c>
      <c r="N195" s="698">
        <v>0</v>
      </c>
      <c r="O195" s="699">
        <v>0</v>
      </c>
      <c r="P195" s="699">
        <f t="shared" si="30"/>
        <v>0</v>
      </c>
      <c r="Q195" s="698">
        <f t="shared" si="24"/>
        <v>1</v>
      </c>
      <c r="R195" s="700">
        <f t="shared" si="25"/>
        <v>6683.4223292124016</v>
      </c>
    </row>
    <row r="196" spans="1:18" s="177" customFormat="1" ht="21.95" customHeight="1" x14ac:dyDescent="0.2">
      <c r="A196" s="393" t="s">
        <v>122</v>
      </c>
      <c r="B196" s="959" t="s">
        <v>2269</v>
      </c>
      <c r="C196" s="959" t="s">
        <v>2111</v>
      </c>
      <c r="D196" s="366">
        <f>VLOOKUP($B196,'Análise Física Detalhada'!$E$13:$V$380,18,0)</f>
        <v>3009.3476634900003</v>
      </c>
      <c r="E196" s="367">
        <f>VLOOKUP($B196,'Análise Física Detalhada'!$E$13:$P$380,12,0)</f>
        <v>0</v>
      </c>
      <c r="F196" s="368">
        <f t="shared" si="27"/>
        <v>0</v>
      </c>
      <c r="G196" s="696">
        <f>SUMIF('[2]Despesas Diretas'!$B$5:$B$9944,$B196,'[2]Despesas Diretas'!$H$5:$H$9944)</f>
        <v>0</v>
      </c>
      <c r="H196" s="696">
        <f>SUMIF('[3]Despesas Diretas'!$B$5:$B$9999,$B196,'[3]Despesas Diretas'!$H$5:$H$9999)</f>
        <v>0</v>
      </c>
      <c r="I196" s="696">
        <f>SUMIF([4]Comprometimento!$B$6:$B$147,$B196,[4]Comprometimento!$E$6:$E$147)</f>
        <v>0</v>
      </c>
      <c r="J196" s="696">
        <f>SUMIF([4]Estoque!$B$6:$B$880,$B196,[4]Estoque!$H$6:$H$880)</f>
        <v>0</v>
      </c>
      <c r="K196" s="697">
        <f t="shared" si="28"/>
        <v>0</v>
      </c>
      <c r="L196" s="698">
        <f t="shared" si="26"/>
        <v>0</v>
      </c>
      <c r="M196" s="699">
        <f t="shared" si="29"/>
        <v>0</v>
      </c>
      <c r="N196" s="698">
        <v>0</v>
      </c>
      <c r="O196" s="699">
        <v>0</v>
      </c>
      <c r="P196" s="699">
        <f t="shared" si="30"/>
        <v>0</v>
      </c>
      <c r="Q196" s="698">
        <f t="shared" si="24"/>
        <v>1</v>
      </c>
      <c r="R196" s="700">
        <f t="shared" si="25"/>
        <v>3009.3476634900003</v>
      </c>
    </row>
    <row r="197" spans="1:18" s="130" customFormat="1" ht="21.95" customHeight="1" x14ac:dyDescent="0.2">
      <c r="A197" s="393" t="s">
        <v>122</v>
      </c>
      <c r="B197" s="959" t="s">
        <v>2270</v>
      </c>
      <c r="C197" s="959" t="s">
        <v>2271</v>
      </c>
      <c r="D197" s="366">
        <f>VLOOKUP($B197,'Análise Física Detalhada'!$E$13:$V$380,18,0)</f>
        <v>1017.4512603024001</v>
      </c>
      <c r="E197" s="367">
        <f>VLOOKUP($B197,'Análise Física Detalhada'!$E$13:$P$380,12,0)</f>
        <v>0</v>
      </c>
      <c r="F197" s="368">
        <f t="shared" si="27"/>
        <v>0</v>
      </c>
      <c r="G197" s="696">
        <f>SUMIF('[2]Despesas Diretas'!$B$5:$B$9944,$B197,'[2]Despesas Diretas'!$H$5:$H$9944)</f>
        <v>0</v>
      </c>
      <c r="H197" s="696">
        <f>SUMIF('[3]Despesas Diretas'!$B$5:$B$9999,$B197,'[3]Despesas Diretas'!$H$5:$H$9999)</f>
        <v>0</v>
      </c>
      <c r="I197" s="696">
        <f>SUMIF([4]Comprometimento!$B$6:$B$147,$B197,[4]Comprometimento!$E$6:$E$147)</f>
        <v>0</v>
      </c>
      <c r="J197" s="696">
        <f>SUMIF([4]Estoque!$B$6:$B$880,$B197,[4]Estoque!$H$6:$H$880)</f>
        <v>0</v>
      </c>
      <c r="K197" s="697">
        <f t="shared" si="28"/>
        <v>0</v>
      </c>
      <c r="L197" s="698">
        <f t="shared" si="26"/>
        <v>0</v>
      </c>
      <c r="M197" s="699">
        <f t="shared" si="29"/>
        <v>0</v>
      </c>
      <c r="N197" s="698">
        <v>0</v>
      </c>
      <c r="O197" s="699">
        <v>0</v>
      </c>
      <c r="P197" s="699">
        <f t="shared" si="30"/>
        <v>0</v>
      </c>
      <c r="Q197" s="698">
        <f t="shared" si="24"/>
        <v>1</v>
      </c>
      <c r="R197" s="700">
        <f t="shared" si="25"/>
        <v>1017.4512603024001</v>
      </c>
    </row>
    <row r="198" spans="1:18" s="130" customFormat="1" ht="21.95" customHeight="1" x14ac:dyDescent="0.2">
      <c r="A198" s="393" t="s">
        <v>122</v>
      </c>
      <c r="B198" s="967" t="s">
        <v>1460</v>
      </c>
      <c r="C198" s="967" t="s">
        <v>1461</v>
      </c>
      <c r="D198" s="366">
        <f>VLOOKUP($B198,'Análise Física Detalhada'!$E$13:$V$380,18,0)</f>
        <v>0</v>
      </c>
      <c r="E198" s="367">
        <f>VLOOKUP($B198,'Análise Física Detalhada'!$E$13:$P$380,12,0)</f>
        <v>0</v>
      </c>
      <c r="F198" s="368">
        <f t="shared" si="27"/>
        <v>0</v>
      </c>
      <c r="G198" s="696">
        <f>SUMIF('[2]Despesas Diretas'!$B$5:$B$9944,$B198,'[2]Despesas Diretas'!$H$5:$H$9944)</f>
        <v>0</v>
      </c>
      <c r="H198" s="696">
        <f>SUMIF('[3]Despesas Diretas'!$B$5:$B$9999,$B198,'[3]Despesas Diretas'!$H$5:$H$9999)</f>
        <v>0</v>
      </c>
      <c r="I198" s="696">
        <f>SUMIF([4]Comprometimento!$B$6:$B$147,$B198,[4]Comprometimento!$E$6:$E$147)</f>
        <v>0</v>
      </c>
      <c r="J198" s="696">
        <f>SUMIF([4]Estoque!$B$6:$B$880,$B198,[4]Estoque!$H$6:$H$880)</f>
        <v>0</v>
      </c>
      <c r="K198" s="697">
        <f t="shared" si="28"/>
        <v>0</v>
      </c>
      <c r="L198" s="698">
        <f t="shared" si="26"/>
        <v>0</v>
      </c>
      <c r="M198" s="699">
        <f t="shared" si="29"/>
        <v>0</v>
      </c>
      <c r="N198" s="698">
        <v>0</v>
      </c>
      <c r="O198" s="699">
        <v>0</v>
      </c>
      <c r="P198" s="699">
        <f t="shared" si="30"/>
        <v>0</v>
      </c>
      <c r="Q198" s="698">
        <f t="shared" si="24"/>
        <v>0</v>
      </c>
      <c r="R198" s="700">
        <f t="shared" si="25"/>
        <v>0</v>
      </c>
    </row>
    <row r="199" spans="1:18" s="177" customFormat="1" ht="21.95" customHeight="1" x14ac:dyDescent="0.2">
      <c r="A199" s="393" t="s">
        <v>122</v>
      </c>
      <c r="B199" s="959" t="s">
        <v>1462</v>
      </c>
      <c r="C199" s="959" t="s">
        <v>1966</v>
      </c>
      <c r="D199" s="366">
        <f>VLOOKUP($B199,'Análise Física Detalhada'!$E$13:$V$380,18,0)</f>
        <v>115.23869414640002</v>
      </c>
      <c r="E199" s="367">
        <f>VLOOKUP($B199,'Análise Física Detalhada'!$E$13:$P$380,12,0)</f>
        <v>0</v>
      </c>
      <c r="F199" s="368">
        <f t="shared" si="27"/>
        <v>0</v>
      </c>
      <c r="G199" s="696">
        <f>SUMIF('[2]Despesas Diretas'!$B$5:$B$9944,$B199,'[2]Despesas Diretas'!$H$5:$H$9944)</f>
        <v>0</v>
      </c>
      <c r="H199" s="696">
        <f>SUMIF('[3]Despesas Diretas'!$B$5:$B$9999,$B199,'[3]Despesas Diretas'!$H$5:$H$9999)</f>
        <v>0</v>
      </c>
      <c r="I199" s="696">
        <f>SUMIF([4]Comprometimento!$B$6:$B$147,$B199,[4]Comprometimento!$E$6:$E$147)</f>
        <v>0</v>
      </c>
      <c r="J199" s="696">
        <f>SUMIF([4]Estoque!$B$6:$B$880,$B199,[4]Estoque!$H$6:$H$880)</f>
        <v>0</v>
      </c>
      <c r="K199" s="697">
        <f t="shared" si="28"/>
        <v>0</v>
      </c>
      <c r="L199" s="698">
        <f t="shared" si="26"/>
        <v>0</v>
      </c>
      <c r="M199" s="699">
        <f t="shared" si="29"/>
        <v>0</v>
      </c>
      <c r="N199" s="698">
        <v>0</v>
      </c>
      <c r="O199" s="699">
        <v>0</v>
      </c>
      <c r="P199" s="699">
        <f t="shared" si="30"/>
        <v>0</v>
      </c>
      <c r="Q199" s="698">
        <f t="shared" si="24"/>
        <v>1</v>
      </c>
      <c r="R199" s="700">
        <f t="shared" si="25"/>
        <v>115.23869414640002</v>
      </c>
    </row>
    <row r="200" spans="1:18" s="130" customFormat="1" ht="21.95" customHeight="1" x14ac:dyDescent="0.2">
      <c r="A200" s="393" t="s">
        <v>122</v>
      </c>
      <c r="B200" s="959" t="s">
        <v>2105</v>
      </c>
      <c r="C200" s="959" t="s">
        <v>2106</v>
      </c>
      <c r="D200" s="366">
        <f>VLOOKUP($B200,'Análise Física Detalhada'!$E$13:$V$380,18,0)</f>
        <v>145.61774622000002</v>
      </c>
      <c r="E200" s="367">
        <f>VLOOKUP($B200,'Análise Física Detalhada'!$E$13:$P$380,12,0)</f>
        <v>0</v>
      </c>
      <c r="F200" s="368">
        <f t="shared" si="27"/>
        <v>0</v>
      </c>
      <c r="G200" s="696">
        <f>SUMIF('[2]Despesas Diretas'!$B$5:$B$9944,$B200,'[2]Despesas Diretas'!$H$5:$H$9944)</f>
        <v>0</v>
      </c>
      <c r="H200" s="696">
        <f>SUMIF('[3]Despesas Diretas'!$B$5:$B$9999,$B200,'[3]Despesas Diretas'!$H$5:$H$9999)</f>
        <v>0</v>
      </c>
      <c r="I200" s="696">
        <f>SUMIF([4]Comprometimento!$B$6:$B$147,$B200,[4]Comprometimento!$E$6:$E$147)</f>
        <v>0</v>
      </c>
      <c r="J200" s="696">
        <f>SUMIF([4]Estoque!$B$6:$B$880,$B200,[4]Estoque!$H$6:$H$880)</f>
        <v>0</v>
      </c>
      <c r="K200" s="697">
        <f t="shared" si="28"/>
        <v>0</v>
      </c>
      <c r="L200" s="698">
        <f t="shared" si="26"/>
        <v>0</v>
      </c>
      <c r="M200" s="699">
        <f t="shared" si="29"/>
        <v>0</v>
      </c>
      <c r="N200" s="698">
        <v>0</v>
      </c>
      <c r="O200" s="699">
        <v>0</v>
      </c>
      <c r="P200" s="699">
        <f t="shared" si="30"/>
        <v>0</v>
      </c>
      <c r="Q200" s="698">
        <f t="shared" ref="Q200:Q263" si="32">IF($D200=0,0,IF(($F200/$D200)&lt;20%,1,IF($D200=0,0,IF(($F200/$D200)=1,$L200,IF(($F200/$D200)=0,1,IF($L200&lt;1,(+$L200*($F200/$D200))+(1-((1-$L200)/2))*(1-($F200/$D200)),(+$L200*($F200/$D200))+(1+(($L200-1)/2))*(1-($F200/$D200))))))))</f>
        <v>1</v>
      </c>
      <c r="R200" s="700">
        <f t="shared" ref="R200:R263" si="33">IF($Q200="","",$Q200*$D200)</f>
        <v>145.61774622000002</v>
      </c>
    </row>
    <row r="201" spans="1:18" s="177" customFormat="1" ht="21.95" customHeight="1" x14ac:dyDescent="0.2">
      <c r="A201" s="393" t="s">
        <v>122</v>
      </c>
      <c r="B201" s="967" t="s">
        <v>1464</v>
      </c>
      <c r="C201" s="967" t="s">
        <v>1465</v>
      </c>
      <c r="D201" s="366">
        <f>VLOOKUP($B201,'Análise Física Detalhada'!$E$13:$V$380,18,0)</f>
        <v>0</v>
      </c>
      <c r="E201" s="367">
        <f>VLOOKUP($B201,'Análise Física Detalhada'!$E$13:$P$380,12,0)</f>
        <v>0</v>
      </c>
      <c r="F201" s="368">
        <f t="shared" si="27"/>
        <v>0</v>
      </c>
      <c r="G201" s="696">
        <f>SUMIF('[2]Despesas Diretas'!$B$5:$B$9944,$B201,'[2]Despesas Diretas'!$H$5:$H$9944)</f>
        <v>0</v>
      </c>
      <c r="H201" s="696">
        <f>SUMIF('[3]Despesas Diretas'!$B$5:$B$9999,$B201,'[3]Despesas Diretas'!$H$5:$H$9999)</f>
        <v>0</v>
      </c>
      <c r="I201" s="696">
        <f>SUMIF([4]Comprometimento!$B$6:$B$147,$B201,[4]Comprometimento!$E$6:$E$147)</f>
        <v>0</v>
      </c>
      <c r="J201" s="696">
        <f>SUMIF([4]Estoque!$B$6:$B$880,$B201,[4]Estoque!$H$6:$H$880)</f>
        <v>0</v>
      </c>
      <c r="K201" s="697">
        <f t="shared" si="28"/>
        <v>0</v>
      </c>
      <c r="L201" s="698">
        <f t="shared" ref="L201:L264" si="34">IF($F201=0,0,$K201/$F201)</f>
        <v>0</v>
      </c>
      <c r="M201" s="699">
        <f t="shared" si="29"/>
        <v>0</v>
      </c>
      <c r="N201" s="698">
        <v>0</v>
      </c>
      <c r="O201" s="699">
        <v>0</v>
      </c>
      <c r="P201" s="699">
        <f t="shared" si="30"/>
        <v>0</v>
      </c>
      <c r="Q201" s="698">
        <f t="shared" si="32"/>
        <v>0</v>
      </c>
      <c r="R201" s="700">
        <f t="shared" si="33"/>
        <v>0</v>
      </c>
    </row>
    <row r="202" spans="1:18" s="130" customFormat="1" ht="21.95" customHeight="1" x14ac:dyDescent="0.2">
      <c r="A202" s="393" t="s">
        <v>122</v>
      </c>
      <c r="B202" s="959" t="s">
        <v>1466</v>
      </c>
      <c r="C202" s="959" t="s">
        <v>1967</v>
      </c>
      <c r="D202" s="366">
        <f>VLOOKUP($B202,'Análise Física Detalhada'!$E$13:$V$380,18,0)</f>
        <v>230.46709728600001</v>
      </c>
      <c r="E202" s="367">
        <f>VLOOKUP($B202,'Análise Física Detalhada'!$E$13:$P$380,12,0)</f>
        <v>0</v>
      </c>
      <c r="F202" s="368">
        <f t="shared" ref="F202:F265" si="35">E202*D202</f>
        <v>0</v>
      </c>
      <c r="G202" s="696">
        <f>SUMIF('[2]Despesas Diretas'!$B$5:$B$9944,$B202,'[2]Despesas Diretas'!$H$5:$H$9944)</f>
        <v>0</v>
      </c>
      <c r="H202" s="696">
        <f>SUMIF('[3]Despesas Diretas'!$B$5:$B$9999,$B202,'[3]Despesas Diretas'!$H$5:$H$9999)</f>
        <v>0</v>
      </c>
      <c r="I202" s="696">
        <f>SUMIF([4]Comprometimento!$B$6:$B$147,$B202,[4]Comprometimento!$E$6:$E$147)</f>
        <v>0</v>
      </c>
      <c r="J202" s="696">
        <f>SUMIF([4]Estoque!$B$6:$B$880,$B202,[4]Estoque!$H$6:$H$880)</f>
        <v>0</v>
      </c>
      <c r="K202" s="697">
        <f t="shared" ref="K202:K265" si="36">SUM($G202:$I202)-$J202</f>
        <v>0</v>
      </c>
      <c r="L202" s="698">
        <f t="shared" si="34"/>
        <v>0</v>
      </c>
      <c r="M202" s="699">
        <f t="shared" ref="M202:M265" si="37">$K202-$F202</f>
        <v>0</v>
      </c>
      <c r="N202" s="698">
        <v>0</v>
      </c>
      <c r="O202" s="699">
        <v>0</v>
      </c>
      <c r="P202" s="699">
        <f t="shared" ref="P202:P265" si="38">$M202-$O202</f>
        <v>0</v>
      </c>
      <c r="Q202" s="698">
        <f t="shared" si="32"/>
        <v>1</v>
      </c>
      <c r="R202" s="700">
        <f t="shared" si="33"/>
        <v>230.46709728600001</v>
      </c>
    </row>
    <row r="203" spans="1:18" s="130" customFormat="1" ht="21.95" customHeight="1" x14ac:dyDescent="0.2">
      <c r="A203" s="393" t="s">
        <v>122</v>
      </c>
      <c r="B203" s="959" t="s">
        <v>1467</v>
      </c>
      <c r="C203" s="959" t="s">
        <v>2082</v>
      </c>
      <c r="D203" s="366">
        <f>VLOOKUP($B203,'Análise Física Detalhada'!$E$13:$V$380,18,0)</f>
        <v>7.2448687872000006</v>
      </c>
      <c r="E203" s="367">
        <f>VLOOKUP($B203,'Análise Física Detalhada'!$E$13:$P$380,12,0)</f>
        <v>0</v>
      </c>
      <c r="F203" s="368">
        <f t="shared" si="35"/>
        <v>0</v>
      </c>
      <c r="G203" s="696">
        <f>SUMIF('[2]Despesas Diretas'!$B$5:$B$9944,$B203,'[2]Despesas Diretas'!$H$5:$H$9944)</f>
        <v>0</v>
      </c>
      <c r="H203" s="696">
        <f>SUMIF('[3]Despesas Diretas'!$B$5:$B$9999,$B203,'[3]Despesas Diretas'!$H$5:$H$9999)</f>
        <v>0</v>
      </c>
      <c r="I203" s="696">
        <f>SUMIF([4]Comprometimento!$B$6:$B$147,$B203,[4]Comprometimento!$E$6:$E$147)</f>
        <v>0</v>
      </c>
      <c r="J203" s="696">
        <f>SUMIF([4]Estoque!$B$6:$B$880,$B203,[4]Estoque!$H$6:$H$880)</f>
        <v>0</v>
      </c>
      <c r="K203" s="697">
        <f t="shared" si="36"/>
        <v>0</v>
      </c>
      <c r="L203" s="698">
        <f t="shared" si="34"/>
        <v>0</v>
      </c>
      <c r="M203" s="699">
        <f t="shared" si="37"/>
        <v>0</v>
      </c>
      <c r="N203" s="698">
        <v>0</v>
      </c>
      <c r="O203" s="699">
        <v>0</v>
      </c>
      <c r="P203" s="699">
        <f t="shared" si="38"/>
        <v>0</v>
      </c>
      <c r="Q203" s="698">
        <f t="shared" si="32"/>
        <v>1</v>
      </c>
      <c r="R203" s="700">
        <f t="shared" si="33"/>
        <v>7.2448687872000006</v>
      </c>
    </row>
    <row r="204" spans="1:18" s="177" customFormat="1" ht="21.95" customHeight="1" x14ac:dyDescent="0.2">
      <c r="A204" s="393" t="s">
        <v>122</v>
      </c>
      <c r="B204" s="959" t="s">
        <v>2107</v>
      </c>
      <c r="C204" s="959" t="s">
        <v>2272</v>
      </c>
      <c r="D204" s="366">
        <f>VLOOKUP($B204,'Análise Física Detalhada'!$E$13:$V$380,18,0)</f>
        <v>9.7558744464000018</v>
      </c>
      <c r="E204" s="367">
        <f>VLOOKUP($B204,'Análise Física Detalhada'!$E$13:$P$380,12,0)</f>
        <v>0</v>
      </c>
      <c r="F204" s="368">
        <f t="shared" si="35"/>
        <v>0</v>
      </c>
      <c r="G204" s="696">
        <f>SUMIF('[2]Despesas Diretas'!$B$5:$B$9944,$B204,'[2]Despesas Diretas'!$H$5:$H$9944)</f>
        <v>0</v>
      </c>
      <c r="H204" s="696">
        <f>SUMIF('[3]Despesas Diretas'!$B$5:$B$9999,$B204,'[3]Despesas Diretas'!$H$5:$H$9999)</f>
        <v>0</v>
      </c>
      <c r="I204" s="696">
        <f>SUMIF([4]Comprometimento!$B$6:$B$147,$B204,[4]Comprometimento!$E$6:$E$147)</f>
        <v>0</v>
      </c>
      <c r="J204" s="696">
        <f>SUMIF([4]Estoque!$B$6:$B$880,$B204,[4]Estoque!$H$6:$H$880)</f>
        <v>0</v>
      </c>
      <c r="K204" s="697">
        <f t="shared" si="36"/>
        <v>0</v>
      </c>
      <c r="L204" s="698">
        <f t="shared" si="34"/>
        <v>0</v>
      </c>
      <c r="M204" s="699">
        <f t="shared" si="37"/>
        <v>0</v>
      </c>
      <c r="N204" s="698">
        <v>0</v>
      </c>
      <c r="O204" s="699">
        <v>0</v>
      </c>
      <c r="P204" s="699">
        <f t="shared" si="38"/>
        <v>0</v>
      </c>
      <c r="Q204" s="698">
        <f t="shared" si="32"/>
        <v>1</v>
      </c>
      <c r="R204" s="700">
        <f t="shared" si="33"/>
        <v>9.7558744464000018</v>
      </c>
    </row>
    <row r="205" spans="1:18" s="130" customFormat="1" ht="21.95" customHeight="1" x14ac:dyDescent="0.2">
      <c r="A205" s="393" t="s">
        <v>122</v>
      </c>
      <c r="B205" s="959" t="s">
        <v>2108</v>
      </c>
      <c r="C205" s="959" t="s">
        <v>2273</v>
      </c>
      <c r="D205" s="366">
        <f>VLOOKUP($B205,'Análise Física Detalhada'!$E$13:$V$380,18,0)</f>
        <v>42.913498356000012</v>
      </c>
      <c r="E205" s="367">
        <f>VLOOKUP($B205,'Análise Física Detalhada'!$E$13:$P$380,12,0)</f>
        <v>0</v>
      </c>
      <c r="F205" s="368">
        <f t="shared" si="35"/>
        <v>0</v>
      </c>
      <c r="G205" s="696">
        <f>SUMIF('[2]Despesas Diretas'!$B$5:$B$9944,$B205,'[2]Despesas Diretas'!$H$5:$H$9944)</f>
        <v>0</v>
      </c>
      <c r="H205" s="696">
        <f>SUMIF('[3]Despesas Diretas'!$B$5:$B$9999,$B205,'[3]Despesas Diretas'!$H$5:$H$9999)</f>
        <v>0</v>
      </c>
      <c r="I205" s="696">
        <f>SUMIF([4]Comprometimento!$B$6:$B$147,$B205,[4]Comprometimento!$E$6:$E$147)</f>
        <v>0</v>
      </c>
      <c r="J205" s="696">
        <f>SUMIF([4]Estoque!$B$6:$B$880,$B205,[4]Estoque!$H$6:$H$880)</f>
        <v>0</v>
      </c>
      <c r="K205" s="697">
        <f t="shared" si="36"/>
        <v>0</v>
      </c>
      <c r="L205" s="698">
        <f t="shared" si="34"/>
        <v>0</v>
      </c>
      <c r="M205" s="699">
        <f t="shared" si="37"/>
        <v>0</v>
      </c>
      <c r="N205" s="698">
        <v>0</v>
      </c>
      <c r="O205" s="699">
        <v>0</v>
      </c>
      <c r="P205" s="699">
        <f t="shared" si="38"/>
        <v>0</v>
      </c>
      <c r="Q205" s="698">
        <f t="shared" si="32"/>
        <v>1</v>
      </c>
      <c r="R205" s="700">
        <f t="shared" si="33"/>
        <v>42.913498356000012</v>
      </c>
    </row>
    <row r="206" spans="1:18" s="130" customFormat="1" ht="21.95" customHeight="1" x14ac:dyDescent="0.2">
      <c r="A206" s="393" t="s">
        <v>122</v>
      </c>
      <c r="B206" s="959" t="s">
        <v>2109</v>
      </c>
      <c r="C206" s="959" t="s">
        <v>2274</v>
      </c>
      <c r="D206" s="366">
        <f>VLOOKUP($B206,'Análise Física Detalhada'!$E$13:$V$380,18,0)</f>
        <v>7101.5253534828016</v>
      </c>
      <c r="E206" s="367">
        <f>VLOOKUP($B206,'Análise Física Detalhada'!$E$13:$P$380,12,0)</f>
        <v>0</v>
      </c>
      <c r="F206" s="368">
        <f t="shared" si="35"/>
        <v>0</v>
      </c>
      <c r="G206" s="696">
        <f>SUMIF('[2]Despesas Diretas'!$B$5:$B$9944,$B206,'[2]Despesas Diretas'!$H$5:$H$9944)</f>
        <v>0</v>
      </c>
      <c r="H206" s="696">
        <f>SUMIF('[3]Despesas Diretas'!$B$5:$B$9999,$B206,'[3]Despesas Diretas'!$H$5:$H$9999)</f>
        <v>0</v>
      </c>
      <c r="I206" s="696">
        <f>SUMIF([4]Comprometimento!$B$6:$B$147,$B206,[4]Comprometimento!$E$6:$E$147)</f>
        <v>0</v>
      </c>
      <c r="J206" s="696">
        <f>SUMIF([4]Estoque!$B$6:$B$880,$B206,[4]Estoque!$H$6:$H$880)</f>
        <v>0</v>
      </c>
      <c r="K206" s="697">
        <f t="shared" si="36"/>
        <v>0</v>
      </c>
      <c r="L206" s="698">
        <f t="shared" si="34"/>
        <v>0</v>
      </c>
      <c r="M206" s="699">
        <f t="shared" si="37"/>
        <v>0</v>
      </c>
      <c r="N206" s="698">
        <v>0</v>
      </c>
      <c r="O206" s="699">
        <v>0</v>
      </c>
      <c r="P206" s="699">
        <f t="shared" si="38"/>
        <v>0</v>
      </c>
      <c r="Q206" s="698">
        <f t="shared" si="32"/>
        <v>1</v>
      </c>
      <c r="R206" s="700">
        <f t="shared" si="33"/>
        <v>7101.5253534828016</v>
      </c>
    </row>
    <row r="207" spans="1:18" s="130" customFormat="1" ht="21.95" customHeight="1" x14ac:dyDescent="0.2">
      <c r="A207" s="393" t="s">
        <v>122</v>
      </c>
      <c r="B207" s="967" t="s">
        <v>1468</v>
      </c>
      <c r="C207" s="967" t="s">
        <v>1469</v>
      </c>
      <c r="D207" s="366">
        <f>VLOOKUP($B207,'Análise Física Detalhada'!$E$13:$V$380,18,0)</f>
        <v>0</v>
      </c>
      <c r="E207" s="367">
        <f>VLOOKUP($B207,'Análise Física Detalhada'!$E$13:$P$380,12,0)</f>
        <v>0</v>
      </c>
      <c r="F207" s="368">
        <f t="shared" si="35"/>
        <v>0</v>
      </c>
      <c r="G207" s="696">
        <f>SUMIF('[2]Despesas Diretas'!$B$5:$B$9944,$B207,'[2]Despesas Diretas'!$H$5:$H$9944)</f>
        <v>0</v>
      </c>
      <c r="H207" s="696">
        <f>SUMIF('[3]Despesas Diretas'!$B$5:$B$9999,$B207,'[3]Despesas Diretas'!$H$5:$H$9999)</f>
        <v>0</v>
      </c>
      <c r="I207" s="696">
        <f>SUMIF([4]Comprometimento!$B$6:$B$147,$B207,[4]Comprometimento!$E$6:$E$147)</f>
        <v>0</v>
      </c>
      <c r="J207" s="696">
        <f>SUMIF([4]Estoque!$B$6:$B$880,$B207,[4]Estoque!$H$6:$H$880)</f>
        <v>0</v>
      </c>
      <c r="K207" s="697">
        <f t="shared" si="36"/>
        <v>0</v>
      </c>
      <c r="L207" s="698">
        <f t="shared" si="34"/>
        <v>0</v>
      </c>
      <c r="M207" s="699">
        <f t="shared" si="37"/>
        <v>0</v>
      </c>
      <c r="N207" s="698">
        <v>0</v>
      </c>
      <c r="O207" s="699">
        <v>0</v>
      </c>
      <c r="P207" s="699">
        <f t="shared" si="38"/>
        <v>0</v>
      </c>
      <c r="Q207" s="698">
        <f t="shared" si="32"/>
        <v>0</v>
      </c>
      <c r="R207" s="700">
        <f t="shared" si="33"/>
        <v>0</v>
      </c>
    </row>
    <row r="208" spans="1:18" s="130" customFormat="1" ht="21.95" customHeight="1" x14ac:dyDescent="0.2">
      <c r="A208" s="393" t="s">
        <v>122</v>
      </c>
      <c r="B208" s="959" t="s">
        <v>1470</v>
      </c>
      <c r="C208" s="959" t="s">
        <v>1471</v>
      </c>
      <c r="D208" s="366">
        <f>VLOOKUP($B208,'Análise Física Detalhada'!$E$13:$V$380,18,0)</f>
        <v>256.78120167360004</v>
      </c>
      <c r="E208" s="367">
        <f>VLOOKUP($B208,'Análise Física Detalhada'!$E$13:$P$380,12,0)</f>
        <v>0</v>
      </c>
      <c r="F208" s="368">
        <f t="shared" si="35"/>
        <v>0</v>
      </c>
      <c r="G208" s="696">
        <f>SUMIF('[2]Despesas Diretas'!$B$5:$B$9944,$B208,'[2]Despesas Diretas'!$H$5:$H$9944)</f>
        <v>0</v>
      </c>
      <c r="H208" s="696">
        <f>SUMIF('[3]Despesas Diretas'!$B$5:$B$9999,$B208,'[3]Despesas Diretas'!$H$5:$H$9999)</f>
        <v>0</v>
      </c>
      <c r="I208" s="696">
        <f>SUMIF([4]Comprometimento!$B$6:$B$147,$B208,[4]Comprometimento!$E$6:$E$147)</f>
        <v>0</v>
      </c>
      <c r="J208" s="696">
        <f>SUMIF([4]Estoque!$B$6:$B$880,$B208,[4]Estoque!$H$6:$H$880)</f>
        <v>0</v>
      </c>
      <c r="K208" s="697">
        <f t="shared" si="36"/>
        <v>0</v>
      </c>
      <c r="L208" s="698">
        <f t="shared" si="34"/>
        <v>0</v>
      </c>
      <c r="M208" s="699">
        <f t="shared" si="37"/>
        <v>0</v>
      </c>
      <c r="N208" s="698">
        <v>0</v>
      </c>
      <c r="O208" s="699">
        <v>0</v>
      </c>
      <c r="P208" s="699">
        <f t="shared" si="38"/>
        <v>0</v>
      </c>
      <c r="Q208" s="698">
        <f t="shared" si="32"/>
        <v>1</v>
      </c>
      <c r="R208" s="700">
        <f t="shared" si="33"/>
        <v>256.78120167360004</v>
      </c>
    </row>
    <row r="209" spans="1:18" s="155" customFormat="1" ht="21.95" customHeight="1" x14ac:dyDescent="0.2">
      <c r="A209" s="393" t="s">
        <v>122</v>
      </c>
      <c r="B209" s="967" t="s">
        <v>651</v>
      </c>
      <c r="C209" s="967" t="s">
        <v>652</v>
      </c>
      <c r="D209" s="366">
        <f>VLOOKUP($B209,'Análise Física Detalhada'!$E$13:$V$380,18,0)</f>
        <v>0</v>
      </c>
      <c r="E209" s="367">
        <f>VLOOKUP($B209,'Análise Física Detalhada'!$E$13:$P$380,12,0)</f>
        <v>0</v>
      </c>
      <c r="F209" s="368">
        <f t="shared" si="35"/>
        <v>0</v>
      </c>
      <c r="G209" s="696">
        <f>SUMIF('[2]Despesas Diretas'!$B$5:$B$9944,$B209,'[2]Despesas Diretas'!$H$5:$H$9944)</f>
        <v>0</v>
      </c>
      <c r="H209" s="696">
        <f>SUMIF('[3]Despesas Diretas'!$B$5:$B$9999,$B209,'[3]Despesas Diretas'!$H$5:$H$9999)</f>
        <v>0</v>
      </c>
      <c r="I209" s="696">
        <f>SUMIF([4]Comprometimento!$B$6:$B$147,$B209,[4]Comprometimento!$E$6:$E$147)</f>
        <v>0</v>
      </c>
      <c r="J209" s="696">
        <f>SUMIF([4]Estoque!$B$6:$B$880,$B209,[4]Estoque!$H$6:$H$880)</f>
        <v>0</v>
      </c>
      <c r="K209" s="697">
        <f t="shared" si="36"/>
        <v>0</v>
      </c>
      <c r="L209" s="698">
        <f t="shared" si="34"/>
        <v>0</v>
      </c>
      <c r="M209" s="699">
        <f t="shared" si="37"/>
        <v>0</v>
      </c>
      <c r="N209" s="698">
        <v>0</v>
      </c>
      <c r="O209" s="699">
        <v>0</v>
      </c>
      <c r="P209" s="699">
        <f t="shared" si="38"/>
        <v>0</v>
      </c>
      <c r="Q209" s="698">
        <f t="shared" si="32"/>
        <v>0</v>
      </c>
      <c r="R209" s="700">
        <f t="shared" si="33"/>
        <v>0</v>
      </c>
    </row>
    <row r="210" spans="1:18" s="130" customFormat="1" ht="21.95" customHeight="1" x14ac:dyDescent="0.2">
      <c r="A210" s="393" t="s">
        <v>122</v>
      </c>
      <c r="B210" s="959" t="s">
        <v>653</v>
      </c>
      <c r="C210" s="959" t="s">
        <v>1473</v>
      </c>
      <c r="D210" s="366">
        <f>VLOOKUP($B210,'Análise Física Detalhada'!$E$13:$V$380,18,0)</f>
        <v>11778.530668912801</v>
      </c>
      <c r="E210" s="367">
        <f>VLOOKUP($B210,'Análise Física Detalhada'!$E$13:$P$380,12,0)</f>
        <v>0</v>
      </c>
      <c r="F210" s="368">
        <f t="shared" si="35"/>
        <v>0</v>
      </c>
      <c r="G210" s="696">
        <f>SUMIF('[2]Despesas Diretas'!$B$5:$B$9944,$B210,'[2]Despesas Diretas'!$H$5:$H$9944)</f>
        <v>0</v>
      </c>
      <c r="H210" s="696">
        <f>SUMIF('[3]Despesas Diretas'!$B$5:$B$9999,$B210,'[3]Despesas Diretas'!$H$5:$H$9999)</f>
        <v>0</v>
      </c>
      <c r="I210" s="696">
        <f>SUMIF([4]Comprometimento!$B$6:$B$147,$B210,[4]Comprometimento!$E$6:$E$147)</f>
        <v>0</v>
      </c>
      <c r="J210" s="696">
        <f>SUMIF([4]Estoque!$B$6:$B$880,$B210,[4]Estoque!$H$6:$H$880)</f>
        <v>0</v>
      </c>
      <c r="K210" s="697">
        <f t="shared" si="36"/>
        <v>0</v>
      </c>
      <c r="L210" s="698">
        <f t="shared" si="34"/>
        <v>0</v>
      </c>
      <c r="M210" s="699">
        <f t="shared" si="37"/>
        <v>0</v>
      </c>
      <c r="N210" s="698">
        <v>0</v>
      </c>
      <c r="O210" s="699">
        <v>0</v>
      </c>
      <c r="P210" s="699">
        <f t="shared" si="38"/>
        <v>0</v>
      </c>
      <c r="Q210" s="698">
        <f t="shared" si="32"/>
        <v>1</v>
      </c>
      <c r="R210" s="700">
        <f t="shared" si="33"/>
        <v>11778.530668912801</v>
      </c>
    </row>
    <row r="211" spans="1:18" s="130" customFormat="1" ht="21.95" customHeight="1" x14ac:dyDescent="0.2">
      <c r="A211" s="393" t="s">
        <v>122</v>
      </c>
      <c r="B211" s="967" t="s">
        <v>1474</v>
      </c>
      <c r="C211" s="967" t="s">
        <v>116</v>
      </c>
      <c r="D211" s="366">
        <f>VLOOKUP($B211,'Análise Física Detalhada'!$E$13:$V$380,18,0)</f>
        <v>0</v>
      </c>
      <c r="E211" s="367">
        <f>VLOOKUP($B211,'Análise Física Detalhada'!$E$13:$P$380,12,0)</f>
        <v>0</v>
      </c>
      <c r="F211" s="368">
        <f t="shared" si="35"/>
        <v>0</v>
      </c>
      <c r="G211" s="696">
        <f>SUMIF('[2]Despesas Diretas'!$B$5:$B$9944,$B211,'[2]Despesas Diretas'!$H$5:$H$9944)</f>
        <v>0</v>
      </c>
      <c r="H211" s="696">
        <f>SUMIF('[3]Despesas Diretas'!$B$5:$B$9999,$B211,'[3]Despesas Diretas'!$H$5:$H$9999)</f>
        <v>0</v>
      </c>
      <c r="I211" s="696">
        <f>SUMIF([4]Comprometimento!$B$6:$B$147,$B211,[4]Comprometimento!$E$6:$E$147)</f>
        <v>0</v>
      </c>
      <c r="J211" s="696">
        <f>SUMIF([4]Estoque!$B$6:$B$880,$B211,[4]Estoque!$H$6:$H$880)</f>
        <v>0</v>
      </c>
      <c r="K211" s="697">
        <f t="shared" si="36"/>
        <v>0</v>
      </c>
      <c r="L211" s="698">
        <f t="shared" si="34"/>
        <v>0</v>
      </c>
      <c r="M211" s="699">
        <f t="shared" si="37"/>
        <v>0</v>
      </c>
      <c r="N211" s="698">
        <v>0</v>
      </c>
      <c r="O211" s="699">
        <v>0</v>
      </c>
      <c r="P211" s="699">
        <f t="shared" si="38"/>
        <v>0</v>
      </c>
      <c r="Q211" s="698">
        <f t="shared" si="32"/>
        <v>0</v>
      </c>
      <c r="R211" s="700">
        <f t="shared" si="33"/>
        <v>0</v>
      </c>
    </row>
    <row r="212" spans="1:18" s="130" customFormat="1" ht="21.95" customHeight="1" x14ac:dyDescent="0.2">
      <c r="A212" s="393" t="s">
        <v>122</v>
      </c>
      <c r="B212" s="959" t="s">
        <v>1475</v>
      </c>
      <c r="C212" s="959" t="s">
        <v>2275</v>
      </c>
      <c r="D212" s="366">
        <f>VLOOKUP($B212,'Análise Física Detalhada'!$E$13:$V$380,18,0)</f>
        <v>8264.5737779916017</v>
      </c>
      <c r="E212" s="367">
        <f>VLOOKUP($B212,'Análise Física Detalhada'!$E$13:$P$380,12,0)</f>
        <v>0</v>
      </c>
      <c r="F212" s="368">
        <f t="shared" si="35"/>
        <v>0</v>
      </c>
      <c r="G212" s="696">
        <f>SUMIF('[2]Despesas Diretas'!$B$5:$B$9944,$B212,'[2]Despesas Diretas'!$H$5:$H$9944)</f>
        <v>0</v>
      </c>
      <c r="H212" s="696">
        <f>SUMIF('[3]Despesas Diretas'!$B$5:$B$9999,$B212,'[3]Despesas Diretas'!$H$5:$H$9999)</f>
        <v>0</v>
      </c>
      <c r="I212" s="696">
        <f>SUMIF([4]Comprometimento!$B$6:$B$147,$B212,[4]Comprometimento!$E$6:$E$147)</f>
        <v>0</v>
      </c>
      <c r="J212" s="696">
        <f>SUMIF([4]Estoque!$B$6:$B$880,$B212,[4]Estoque!$H$6:$H$880)</f>
        <v>0</v>
      </c>
      <c r="K212" s="697">
        <f t="shared" si="36"/>
        <v>0</v>
      </c>
      <c r="L212" s="698">
        <f t="shared" si="34"/>
        <v>0</v>
      </c>
      <c r="M212" s="699">
        <f t="shared" si="37"/>
        <v>0</v>
      </c>
      <c r="N212" s="698">
        <v>0</v>
      </c>
      <c r="O212" s="699">
        <v>0</v>
      </c>
      <c r="P212" s="699">
        <f t="shared" si="38"/>
        <v>0</v>
      </c>
      <c r="Q212" s="698">
        <f t="shared" si="32"/>
        <v>1</v>
      </c>
      <c r="R212" s="700">
        <f t="shared" si="33"/>
        <v>8264.5737779916017</v>
      </c>
    </row>
    <row r="213" spans="1:18" s="155" customFormat="1" ht="21.95" customHeight="1" x14ac:dyDescent="0.2">
      <c r="A213" s="393" t="s">
        <v>122</v>
      </c>
      <c r="B213" s="959" t="s">
        <v>1476</v>
      </c>
      <c r="C213" s="959" t="s">
        <v>2276</v>
      </c>
      <c r="D213" s="366">
        <f>VLOOKUP($B213,'Análise Física Detalhada'!$E$13:$V$380,18,0)</f>
        <v>6913.1484740088008</v>
      </c>
      <c r="E213" s="367">
        <f>VLOOKUP($B213,'Análise Física Detalhada'!$E$13:$P$380,12,0)</f>
        <v>0</v>
      </c>
      <c r="F213" s="368">
        <f t="shared" si="35"/>
        <v>0</v>
      </c>
      <c r="G213" s="696">
        <f>SUMIF('[2]Despesas Diretas'!$B$5:$B$9944,$B213,'[2]Despesas Diretas'!$H$5:$H$9944)</f>
        <v>0</v>
      </c>
      <c r="H213" s="696">
        <f>SUMIF('[3]Despesas Diretas'!$B$5:$B$9999,$B213,'[3]Despesas Diretas'!$H$5:$H$9999)</f>
        <v>0</v>
      </c>
      <c r="I213" s="696">
        <f>SUMIF([4]Comprometimento!$B$6:$B$147,$B213,[4]Comprometimento!$E$6:$E$147)</f>
        <v>0</v>
      </c>
      <c r="J213" s="696">
        <f>SUMIF([4]Estoque!$B$6:$B$880,$B213,[4]Estoque!$H$6:$H$880)</f>
        <v>0</v>
      </c>
      <c r="K213" s="697">
        <f t="shared" si="36"/>
        <v>0</v>
      </c>
      <c r="L213" s="698">
        <f t="shared" si="34"/>
        <v>0</v>
      </c>
      <c r="M213" s="699">
        <f t="shared" si="37"/>
        <v>0</v>
      </c>
      <c r="N213" s="698">
        <v>0</v>
      </c>
      <c r="O213" s="699">
        <v>0</v>
      </c>
      <c r="P213" s="699">
        <f t="shared" si="38"/>
        <v>0</v>
      </c>
      <c r="Q213" s="698">
        <f t="shared" si="32"/>
        <v>1</v>
      </c>
      <c r="R213" s="700">
        <f t="shared" si="33"/>
        <v>6913.1484740088008</v>
      </c>
    </row>
    <row r="214" spans="1:18" s="130" customFormat="1" ht="21.95" customHeight="1" x14ac:dyDescent="0.2">
      <c r="A214" s="393" t="s">
        <v>133</v>
      </c>
      <c r="B214" s="161" t="s">
        <v>133</v>
      </c>
      <c r="C214" s="161" t="s">
        <v>654</v>
      </c>
      <c r="D214" s="163">
        <f>VLOOKUP($B214,'Análise Física Detalhada'!$E$13:$V$380,18,0)</f>
        <v>44536.163726210405</v>
      </c>
      <c r="E214" s="530">
        <f>F214/D214</f>
        <v>0</v>
      </c>
      <c r="F214" s="1001">
        <f>SUM(F215:F219)</f>
        <v>0</v>
      </c>
      <c r="G214" s="1000">
        <f>SUM(G215:G219)</f>
        <v>0</v>
      </c>
      <c r="H214" s="1000">
        <f t="shared" ref="H214:K214" si="39">SUM(H215:H219)</f>
        <v>0</v>
      </c>
      <c r="I214" s="1000">
        <f t="shared" si="39"/>
        <v>0</v>
      </c>
      <c r="J214" s="1000">
        <f t="shared" si="39"/>
        <v>0</v>
      </c>
      <c r="K214" s="1000">
        <f t="shared" si="39"/>
        <v>0</v>
      </c>
      <c r="L214" s="537">
        <f>IF($F214=0,0,$K214/$F214)</f>
        <v>0</v>
      </c>
      <c r="M214" s="163">
        <f>IF($L214=0,0,$K214-$F214)</f>
        <v>0</v>
      </c>
      <c r="N214" s="537">
        <v>0</v>
      </c>
      <c r="O214" s="163">
        <v>0</v>
      </c>
      <c r="P214" s="163">
        <f>$M214-$O214</f>
        <v>0</v>
      </c>
      <c r="Q214" s="537">
        <f t="shared" si="32"/>
        <v>1</v>
      </c>
      <c r="R214" s="163">
        <f t="shared" si="33"/>
        <v>44536.163726210405</v>
      </c>
    </row>
    <row r="215" spans="1:18" s="155" customFormat="1" ht="21.95" customHeight="1" x14ac:dyDescent="0.2">
      <c r="A215" s="393" t="s">
        <v>133</v>
      </c>
      <c r="B215" s="967" t="s">
        <v>239</v>
      </c>
      <c r="C215" s="967" t="s">
        <v>655</v>
      </c>
      <c r="D215" s="366">
        <f>VLOOKUP($B215,'Análise Física Detalhada'!$E$13:$V$380,18,0)</f>
        <v>0</v>
      </c>
      <c r="E215" s="367">
        <f>VLOOKUP($B215,'Análise Física Detalhada'!$E$13:$P$380,12,0)</f>
        <v>0</v>
      </c>
      <c r="F215" s="368">
        <f t="shared" si="35"/>
        <v>0</v>
      </c>
      <c r="G215" s="696">
        <f>SUMIF('[2]Despesas Diretas'!$B$5:$B$9944,$B215,'[2]Despesas Diretas'!$H$5:$H$9944)</f>
        <v>0</v>
      </c>
      <c r="H215" s="696">
        <f>SUMIF('[3]Despesas Diretas'!$B$5:$B$9999,$B215,'[3]Despesas Diretas'!$H$5:$H$9999)</f>
        <v>0</v>
      </c>
      <c r="I215" s="696">
        <f>SUMIF([4]Comprometimento!$B$6:$B$147,$B215,[4]Comprometimento!$E$6:$E$147)</f>
        <v>0</v>
      </c>
      <c r="J215" s="696">
        <f>SUMIF([4]Estoque!$B$6:$B$880,$B215,[4]Estoque!$H$6:$H$880)</f>
        <v>0</v>
      </c>
      <c r="K215" s="697">
        <f t="shared" si="36"/>
        <v>0</v>
      </c>
      <c r="L215" s="698">
        <f t="shared" si="34"/>
        <v>0</v>
      </c>
      <c r="M215" s="699">
        <f t="shared" si="37"/>
        <v>0</v>
      </c>
      <c r="N215" s="698">
        <v>0</v>
      </c>
      <c r="O215" s="699">
        <v>0</v>
      </c>
      <c r="P215" s="699">
        <f t="shared" si="38"/>
        <v>0</v>
      </c>
      <c r="Q215" s="698">
        <f t="shared" si="32"/>
        <v>0</v>
      </c>
      <c r="R215" s="700">
        <f t="shared" si="33"/>
        <v>0</v>
      </c>
    </row>
    <row r="216" spans="1:18" s="130" customFormat="1" ht="21.95" customHeight="1" x14ac:dyDescent="0.2">
      <c r="A216" s="393" t="s">
        <v>133</v>
      </c>
      <c r="B216" s="959" t="s">
        <v>240</v>
      </c>
      <c r="C216" s="959" t="s">
        <v>2112</v>
      </c>
      <c r="D216" s="366">
        <f>VLOOKUP($B216,'Análise Física Detalhada'!$E$13:$V$380,18,0)</f>
        <v>19112.231426810402</v>
      </c>
      <c r="E216" s="367">
        <f>VLOOKUP($B216,'Análise Física Detalhada'!$E$13:$P$380,12,0)</f>
        <v>0</v>
      </c>
      <c r="F216" s="368">
        <f t="shared" si="35"/>
        <v>0</v>
      </c>
      <c r="G216" s="696">
        <f>SUMIF('[2]Despesas Diretas'!$B$5:$B$9944,$B216,'[2]Despesas Diretas'!$H$5:$H$9944)</f>
        <v>0</v>
      </c>
      <c r="H216" s="696">
        <f>SUMIF('[3]Despesas Diretas'!$B$5:$B$9999,$B216,'[3]Despesas Diretas'!$H$5:$H$9999)</f>
        <v>0</v>
      </c>
      <c r="I216" s="696">
        <f>SUMIF([4]Comprometimento!$B$6:$B$147,$B216,[4]Comprometimento!$E$6:$E$147)</f>
        <v>0</v>
      </c>
      <c r="J216" s="696">
        <f>SUMIF([4]Estoque!$B$6:$B$880,$B216,[4]Estoque!$H$6:$H$880)</f>
        <v>0</v>
      </c>
      <c r="K216" s="697">
        <f t="shared" si="36"/>
        <v>0</v>
      </c>
      <c r="L216" s="698">
        <f t="shared" si="34"/>
        <v>0</v>
      </c>
      <c r="M216" s="699">
        <f t="shared" si="37"/>
        <v>0</v>
      </c>
      <c r="N216" s="698">
        <v>0</v>
      </c>
      <c r="O216" s="699">
        <v>0</v>
      </c>
      <c r="P216" s="699">
        <f t="shared" si="38"/>
        <v>0</v>
      </c>
      <c r="Q216" s="698">
        <f t="shared" si="32"/>
        <v>1</v>
      </c>
      <c r="R216" s="700">
        <f t="shared" si="33"/>
        <v>19112.231426810402</v>
      </c>
    </row>
    <row r="217" spans="1:18" s="130" customFormat="1" ht="21.95" customHeight="1" x14ac:dyDescent="0.2">
      <c r="A217" s="393" t="s">
        <v>133</v>
      </c>
      <c r="B217" s="959" t="s">
        <v>241</v>
      </c>
      <c r="C217" s="959" t="s">
        <v>2277</v>
      </c>
      <c r="D217" s="366">
        <f>VLOOKUP($B217,'Análise Física Detalhada'!$E$13:$V$380,18,0)</f>
        <v>12779.783884512002</v>
      </c>
      <c r="E217" s="367">
        <f>VLOOKUP($B217,'Análise Física Detalhada'!$E$13:$P$380,12,0)</f>
        <v>0</v>
      </c>
      <c r="F217" s="368">
        <f t="shared" si="35"/>
        <v>0</v>
      </c>
      <c r="G217" s="696">
        <f>SUMIF('[2]Despesas Diretas'!$B$5:$B$9944,$B217,'[2]Despesas Diretas'!$H$5:$H$9944)</f>
        <v>0</v>
      </c>
      <c r="H217" s="696">
        <f>SUMIF('[3]Despesas Diretas'!$B$5:$B$9999,$B217,'[3]Despesas Diretas'!$H$5:$H$9999)</f>
        <v>0</v>
      </c>
      <c r="I217" s="696">
        <f>SUMIF([4]Comprometimento!$B$6:$B$147,$B217,[4]Comprometimento!$E$6:$E$147)</f>
        <v>0</v>
      </c>
      <c r="J217" s="696">
        <f>SUMIF([4]Estoque!$B$6:$B$880,$B217,[4]Estoque!$H$6:$H$880)</f>
        <v>0</v>
      </c>
      <c r="K217" s="697">
        <f t="shared" si="36"/>
        <v>0</v>
      </c>
      <c r="L217" s="698">
        <f t="shared" si="34"/>
        <v>0</v>
      </c>
      <c r="M217" s="699">
        <f t="shared" si="37"/>
        <v>0</v>
      </c>
      <c r="N217" s="698">
        <v>0</v>
      </c>
      <c r="O217" s="699">
        <v>0</v>
      </c>
      <c r="P217" s="699">
        <f t="shared" si="38"/>
        <v>0</v>
      </c>
      <c r="Q217" s="698">
        <f t="shared" si="32"/>
        <v>1</v>
      </c>
      <c r="R217" s="700">
        <f t="shared" si="33"/>
        <v>12779.783884512002</v>
      </c>
    </row>
    <row r="218" spans="1:18" s="130" customFormat="1" ht="21.95" customHeight="1" x14ac:dyDescent="0.2">
      <c r="A218" s="393" t="s">
        <v>133</v>
      </c>
      <c r="B218" s="959" t="s">
        <v>656</v>
      </c>
      <c r="C218" s="959" t="s">
        <v>489</v>
      </c>
      <c r="D218" s="366">
        <f>VLOOKUP($B218,'Análise Física Detalhada'!$E$13:$V$380,18,0)</f>
        <v>9834.7035584880014</v>
      </c>
      <c r="E218" s="367">
        <f>VLOOKUP($B218,'Análise Física Detalhada'!$E$13:$P$380,12,0)</f>
        <v>0</v>
      </c>
      <c r="F218" s="368">
        <f t="shared" si="35"/>
        <v>0</v>
      </c>
      <c r="G218" s="696">
        <f>SUMIF('[2]Despesas Diretas'!$B$5:$B$9944,$B218,'[2]Despesas Diretas'!$H$5:$H$9944)</f>
        <v>0</v>
      </c>
      <c r="H218" s="696">
        <f>SUMIF('[3]Despesas Diretas'!$B$5:$B$9999,$B218,'[3]Despesas Diretas'!$H$5:$H$9999)</f>
        <v>0</v>
      </c>
      <c r="I218" s="696">
        <f>SUMIF([4]Comprometimento!$B$6:$B$147,$B218,[4]Comprometimento!$E$6:$E$147)</f>
        <v>0</v>
      </c>
      <c r="J218" s="696">
        <f>SUMIF([4]Estoque!$B$6:$B$880,$B218,[4]Estoque!$H$6:$H$880)</f>
        <v>0</v>
      </c>
      <c r="K218" s="697">
        <f t="shared" si="36"/>
        <v>0</v>
      </c>
      <c r="L218" s="698">
        <f t="shared" si="34"/>
        <v>0</v>
      </c>
      <c r="M218" s="699">
        <f t="shared" si="37"/>
        <v>0</v>
      </c>
      <c r="N218" s="698">
        <v>0</v>
      </c>
      <c r="O218" s="699">
        <v>0</v>
      </c>
      <c r="P218" s="699">
        <f t="shared" si="38"/>
        <v>0</v>
      </c>
      <c r="Q218" s="698">
        <f t="shared" si="32"/>
        <v>1</v>
      </c>
      <c r="R218" s="700">
        <f t="shared" si="33"/>
        <v>9834.7035584880014</v>
      </c>
    </row>
    <row r="219" spans="1:18" s="177" customFormat="1" ht="21.95" customHeight="1" x14ac:dyDescent="0.2">
      <c r="A219" s="393" t="s">
        <v>133</v>
      </c>
      <c r="B219" s="959" t="s">
        <v>657</v>
      </c>
      <c r="C219" s="959" t="s">
        <v>2278</v>
      </c>
      <c r="D219" s="366">
        <f>VLOOKUP($B219,'Análise Física Detalhada'!$E$13:$V$380,18,0)</f>
        <v>2809.4448564000004</v>
      </c>
      <c r="E219" s="367">
        <f>VLOOKUP($B219,'Análise Física Detalhada'!$E$13:$P$380,12,0)</f>
        <v>0</v>
      </c>
      <c r="F219" s="368">
        <f t="shared" si="35"/>
        <v>0</v>
      </c>
      <c r="G219" s="696">
        <f>SUMIF('[2]Despesas Diretas'!$B$5:$B$9944,$B219,'[2]Despesas Diretas'!$H$5:$H$9944)</f>
        <v>0</v>
      </c>
      <c r="H219" s="696">
        <f>SUMIF('[3]Despesas Diretas'!$B$5:$B$9999,$B219,'[3]Despesas Diretas'!$H$5:$H$9999)</f>
        <v>0</v>
      </c>
      <c r="I219" s="696">
        <f>SUMIF([4]Comprometimento!$B$6:$B$147,$B219,[4]Comprometimento!$E$6:$E$147)</f>
        <v>0</v>
      </c>
      <c r="J219" s="696">
        <f>SUMIF([4]Estoque!$B$6:$B$880,$B219,[4]Estoque!$H$6:$H$880)</f>
        <v>0</v>
      </c>
      <c r="K219" s="697">
        <f t="shared" si="36"/>
        <v>0</v>
      </c>
      <c r="L219" s="698">
        <f t="shared" si="34"/>
        <v>0</v>
      </c>
      <c r="M219" s="699">
        <f t="shared" si="37"/>
        <v>0</v>
      </c>
      <c r="N219" s="698">
        <v>0</v>
      </c>
      <c r="O219" s="699">
        <v>0</v>
      </c>
      <c r="P219" s="699">
        <f t="shared" si="38"/>
        <v>0</v>
      </c>
      <c r="Q219" s="698">
        <f t="shared" si="32"/>
        <v>1</v>
      </c>
      <c r="R219" s="700">
        <f t="shared" si="33"/>
        <v>2809.4448564000004</v>
      </c>
    </row>
    <row r="220" spans="1:18" s="130" customFormat="1" ht="21.95" customHeight="1" x14ac:dyDescent="0.2">
      <c r="A220" s="393" t="s">
        <v>134</v>
      </c>
      <c r="B220" s="161" t="s">
        <v>134</v>
      </c>
      <c r="C220" s="161" t="s">
        <v>1</v>
      </c>
      <c r="D220" s="163">
        <f>VLOOKUP($B220,'Análise Física Detalhada'!$E$13:$V$380,18,0)</f>
        <v>396282.29247289081</v>
      </c>
      <c r="E220" s="530">
        <f>F220/D220</f>
        <v>0</v>
      </c>
      <c r="F220" s="1001">
        <f>SUM(F221:F244)</f>
        <v>0</v>
      </c>
      <c r="G220" s="1000">
        <f>SUM(G221:G244)</f>
        <v>0</v>
      </c>
      <c r="H220" s="1000">
        <f t="shared" ref="H220:K220" si="40">SUM(H221:H244)</f>
        <v>0</v>
      </c>
      <c r="I220" s="1000">
        <f t="shared" si="40"/>
        <v>0</v>
      </c>
      <c r="J220" s="1000">
        <f t="shared" si="40"/>
        <v>0</v>
      </c>
      <c r="K220" s="1000">
        <f t="shared" si="40"/>
        <v>0</v>
      </c>
      <c r="L220" s="537">
        <f>IF($F220=0,0,$K220/$F220)</f>
        <v>0</v>
      </c>
      <c r="M220" s="163">
        <f>IF($L220=0,0,$K220-$F220)</f>
        <v>0</v>
      </c>
      <c r="N220" s="537">
        <v>0</v>
      </c>
      <c r="O220" s="163">
        <v>0</v>
      </c>
      <c r="P220" s="163">
        <f>$M220-$O220</f>
        <v>0</v>
      </c>
      <c r="Q220" s="537">
        <f t="shared" si="32"/>
        <v>1</v>
      </c>
      <c r="R220" s="163">
        <f t="shared" si="33"/>
        <v>396282.29247289081</v>
      </c>
    </row>
    <row r="221" spans="1:18" s="177" customFormat="1" ht="21.95" customHeight="1" x14ac:dyDescent="0.2">
      <c r="A221" s="393" t="s">
        <v>134</v>
      </c>
      <c r="B221" s="967" t="s">
        <v>135</v>
      </c>
      <c r="C221" s="967" t="s">
        <v>478</v>
      </c>
      <c r="D221" s="366">
        <f>VLOOKUP($B221,'Análise Física Detalhada'!$E$13:$V$380,18,0)</f>
        <v>0</v>
      </c>
      <c r="E221" s="367">
        <f>VLOOKUP($B221,'Análise Física Detalhada'!$E$13:$P$380,12,0)</f>
        <v>0</v>
      </c>
      <c r="F221" s="368">
        <f t="shared" si="35"/>
        <v>0</v>
      </c>
      <c r="G221" s="696">
        <f>SUMIF('[2]Despesas Diretas'!$B$5:$B$9944,$B221,'[2]Despesas Diretas'!$H$5:$H$9944)</f>
        <v>0</v>
      </c>
      <c r="H221" s="696">
        <f>SUMIF('[3]Despesas Diretas'!$B$5:$B$9999,$B221,'[3]Despesas Diretas'!$H$5:$H$9999)</f>
        <v>0</v>
      </c>
      <c r="I221" s="696">
        <f>SUMIF([4]Comprometimento!$B$6:$B$147,$B221,[4]Comprometimento!$E$6:$E$147)</f>
        <v>0</v>
      </c>
      <c r="J221" s="696">
        <f>SUMIF([4]Estoque!$B$6:$B$880,$B221,[4]Estoque!$H$6:$H$880)</f>
        <v>0</v>
      </c>
      <c r="K221" s="697">
        <f t="shared" si="36"/>
        <v>0</v>
      </c>
      <c r="L221" s="698">
        <f t="shared" si="34"/>
        <v>0</v>
      </c>
      <c r="M221" s="699">
        <f t="shared" si="37"/>
        <v>0</v>
      </c>
      <c r="N221" s="698">
        <v>0</v>
      </c>
      <c r="O221" s="699">
        <v>0</v>
      </c>
      <c r="P221" s="699">
        <f t="shared" si="38"/>
        <v>0</v>
      </c>
      <c r="Q221" s="698">
        <f t="shared" si="32"/>
        <v>0</v>
      </c>
      <c r="R221" s="700">
        <f t="shared" si="33"/>
        <v>0</v>
      </c>
    </row>
    <row r="222" spans="1:18" s="130" customFormat="1" ht="21.95" customHeight="1" x14ac:dyDescent="0.2">
      <c r="A222" s="393" t="s">
        <v>134</v>
      </c>
      <c r="B222" s="959" t="s">
        <v>136</v>
      </c>
      <c r="C222" s="959" t="s">
        <v>478</v>
      </c>
      <c r="D222" s="366">
        <f>VLOOKUP($B222,'Análise Física Detalhada'!$E$13:$V$380,18,0)</f>
        <v>8370.7666771608019</v>
      </c>
      <c r="E222" s="367">
        <f>VLOOKUP($B222,'Análise Física Detalhada'!$E$13:$P$380,12,0)</f>
        <v>0</v>
      </c>
      <c r="F222" s="368">
        <f t="shared" si="35"/>
        <v>0</v>
      </c>
      <c r="G222" s="696">
        <f>SUMIF('[2]Despesas Diretas'!$B$5:$B$9944,$B222,'[2]Despesas Diretas'!$H$5:$H$9944)</f>
        <v>0</v>
      </c>
      <c r="H222" s="696">
        <f>SUMIF('[3]Despesas Diretas'!$B$5:$B$9999,$B222,'[3]Despesas Diretas'!$H$5:$H$9999)</f>
        <v>0</v>
      </c>
      <c r="I222" s="696">
        <f>SUMIF([4]Comprometimento!$B$6:$B$147,$B222,[4]Comprometimento!$E$6:$E$147)</f>
        <v>0</v>
      </c>
      <c r="J222" s="696">
        <f>SUMIF([4]Estoque!$B$6:$B$880,$B222,[4]Estoque!$H$6:$H$880)</f>
        <v>0</v>
      </c>
      <c r="K222" s="697">
        <f t="shared" si="36"/>
        <v>0</v>
      </c>
      <c r="L222" s="698">
        <f t="shared" si="34"/>
        <v>0</v>
      </c>
      <c r="M222" s="699">
        <f t="shared" si="37"/>
        <v>0</v>
      </c>
      <c r="N222" s="698">
        <v>0</v>
      </c>
      <c r="O222" s="699">
        <v>0</v>
      </c>
      <c r="P222" s="699">
        <f t="shared" si="38"/>
        <v>0</v>
      </c>
      <c r="Q222" s="698">
        <f t="shared" si="32"/>
        <v>1</v>
      </c>
      <c r="R222" s="700">
        <f t="shared" si="33"/>
        <v>8370.7666771608019</v>
      </c>
    </row>
    <row r="223" spans="1:18" s="130" customFormat="1" ht="21.95" customHeight="1" x14ac:dyDescent="0.2">
      <c r="A223" s="393" t="s">
        <v>134</v>
      </c>
      <c r="B223" s="959" t="s">
        <v>2279</v>
      </c>
      <c r="C223" s="959" t="s">
        <v>2280</v>
      </c>
      <c r="D223" s="366">
        <f>VLOOKUP($B223,'Análise Física Detalhada'!$E$13:$V$380,18,0)</f>
        <v>2041.4270189160004</v>
      </c>
      <c r="E223" s="367">
        <f>VLOOKUP($B223,'Análise Física Detalhada'!$E$13:$P$380,12,0)</f>
        <v>0</v>
      </c>
      <c r="F223" s="368">
        <f t="shared" si="35"/>
        <v>0</v>
      </c>
      <c r="G223" s="696">
        <f>SUMIF('[2]Despesas Diretas'!$B$5:$B$9944,$B223,'[2]Despesas Diretas'!$H$5:$H$9944)</f>
        <v>0</v>
      </c>
      <c r="H223" s="696">
        <f>SUMIF('[3]Despesas Diretas'!$B$5:$B$9999,$B223,'[3]Despesas Diretas'!$H$5:$H$9999)</f>
        <v>0</v>
      </c>
      <c r="I223" s="696">
        <f>SUMIF([4]Comprometimento!$B$6:$B$147,$B223,[4]Comprometimento!$E$6:$E$147)</f>
        <v>0</v>
      </c>
      <c r="J223" s="696">
        <f>SUMIF([4]Estoque!$B$6:$B$880,$B223,[4]Estoque!$H$6:$H$880)</f>
        <v>0</v>
      </c>
      <c r="K223" s="697">
        <f t="shared" si="36"/>
        <v>0</v>
      </c>
      <c r="L223" s="698">
        <f t="shared" si="34"/>
        <v>0</v>
      </c>
      <c r="M223" s="699">
        <f t="shared" si="37"/>
        <v>0</v>
      </c>
      <c r="N223" s="698">
        <v>0</v>
      </c>
      <c r="O223" s="699">
        <v>0</v>
      </c>
      <c r="P223" s="699">
        <f t="shared" si="38"/>
        <v>0</v>
      </c>
      <c r="Q223" s="698">
        <f t="shared" si="32"/>
        <v>1</v>
      </c>
      <c r="R223" s="700">
        <f t="shared" si="33"/>
        <v>2041.4270189160004</v>
      </c>
    </row>
    <row r="224" spans="1:18" s="130" customFormat="1" ht="21.95" customHeight="1" x14ac:dyDescent="0.2">
      <c r="A224" s="393" t="s">
        <v>134</v>
      </c>
      <c r="B224" s="967" t="s">
        <v>137</v>
      </c>
      <c r="C224" s="967" t="s">
        <v>480</v>
      </c>
      <c r="D224" s="366">
        <f>VLOOKUP($B224,'Análise Física Detalhada'!$E$13:$V$380,18,0)</f>
        <v>0</v>
      </c>
      <c r="E224" s="367">
        <f>VLOOKUP($B224,'Análise Física Detalhada'!$E$13:$P$380,12,0)</f>
        <v>0</v>
      </c>
      <c r="F224" s="368">
        <f t="shared" si="35"/>
        <v>0</v>
      </c>
      <c r="G224" s="696">
        <f>SUMIF('[2]Despesas Diretas'!$B$5:$B$9944,$B224,'[2]Despesas Diretas'!$H$5:$H$9944)</f>
        <v>0</v>
      </c>
      <c r="H224" s="696">
        <f>SUMIF('[3]Despesas Diretas'!$B$5:$B$9999,$B224,'[3]Despesas Diretas'!$H$5:$H$9999)</f>
        <v>0</v>
      </c>
      <c r="I224" s="696">
        <f>SUMIF([4]Comprometimento!$B$6:$B$147,$B224,[4]Comprometimento!$E$6:$E$147)</f>
        <v>0</v>
      </c>
      <c r="J224" s="696">
        <f>SUMIF([4]Estoque!$B$6:$B$880,$B224,[4]Estoque!$H$6:$H$880)</f>
        <v>0</v>
      </c>
      <c r="K224" s="697">
        <f t="shared" si="36"/>
        <v>0</v>
      </c>
      <c r="L224" s="698">
        <f t="shared" si="34"/>
        <v>0</v>
      </c>
      <c r="M224" s="699">
        <f t="shared" si="37"/>
        <v>0</v>
      </c>
      <c r="N224" s="698">
        <v>0</v>
      </c>
      <c r="O224" s="699">
        <v>0</v>
      </c>
      <c r="P224" s="699">
        <f t="shared" si="38"/>
        <v>0</v>
      </c>
      <c r="Q224" s="698">
        <f t="shared" si="32"/>
        <v>0</v>
      </c>
      <c r="R224" s="700">
        <f t="shared" si="33"/>
        <v>0</v>
      </c>
    </row>
    <row r="225" spans="1:19" s="155" customFormat="1" ht="21.95" customHeight="1" x14ac:dyDescent="0.2">
      <c r="A225" s="393" t="s">
        <v>134</v>
      </c>
      <c r="B225" s="959" t="s">
        <v>138</v>
      </c>
      <c r="C225" s="959" t="s">
        <v>1968</v>
      </c>
      <c r="D225" s="366">
        <f>VLOOKUP($B225,'Análise Física Detalhada'!$E$13:$V$380,18,0)</f>
        <v>11687.846316991201</v>
      </c>
      <c r="E225" s="367">
        <f>VLOOKUP($B225,'Análise Física Detalhada'!$E$13:$P$380,12,0)</f>
        <v>0</v>
      </c>
      <c r="F225" s="368">
        <f t="shared" si="35"/>
        <v>0</v>
      </c>
      <c r="G225" s="696">
        <f>SUMIF('[2]Despesas Diretas'!$B$5:$B$9944,$B225,'[2]Despesas Diretas'!$H$5:$H$9944)</f>
        <v>0</v>
      </c>
      <c r="H225" s="696">
        <f>SUMIF('[3]Despesas Diretas'!$B$5:$B$9999,$B225,'[3]Despesas Diretas'!$H$5:$H$9999)</f>
        <v>0</v>
      </c>
      <c r="I225" s="696">
        <f>SUMIF([4]Comprometimento!$B$6:$B$147,$B225,[4]Comprometimento!$E$6:$E$147)</f>
        <v>0</v>
      </c>
      <c r="J225" s="696">
        <f>SUMIF([4]Estoque!$B$6:$B$880,$B225,[4]Estoque!$H$6:$H$880)</f>
        <v>0</v>
      </c>
      <c r="K225" s="697">
        <f t="shared" si="36"/>
        <v>0</v>
      </c>
      <c r="L225" s="698">
        <f t="shared" si="34"/>
        <v>0</v>
      </c>
      <c r="M225" s="699">
        <f t="shared" si="37"/>
        <v>0</v>
      </c>
      <c r="N225" s="698">
        <v>0</v>
      </c>
      <c r="O225" s="699">
        <v>0</v>
      </c>
      <c r="P225" s="699">
        <f t="shared" si="38"/>
        <v>0</v>
      </c>
      <c r="Q225" s="698">
        <f t="shared" si="32"/>
        <v>1</v>
      </c>
      <c r="R225" s="700">
        <f t="shared" si="33"/>
        <v>11687.846316991201</v>
      </c>
    </row>
    <row r="226" spans="1:19" s="130" customFormat="1" ht="21.95" customHeight="1" x14ac:dyDescent="0.2">
      <c r="A226" s="393" t="s">
        <v>134</v>
      </c>
      <c r="B226" s="959" t="s">
        <v>139</v>
      </c>
      <c r="C226" s="959" t="s">
        <v>2281</v>
      </c>
      <c r="D226" s="366">
        <f>VLOOKUP($B226,'Análise Física Detalhada'!$E$13:$V$380,18,0)</f>
        <v>22515.693777720004</v>
      </c>
      <c r="E226" s="367">
        <f>VLOOKUP($B226,'Análise Física Detalhada'!$E$13:$P$380,12,0)</f>
        <v>0</v>
      </c>
      <c r="F226" s="368">
        <f t="shared" si="35"/>
        <v>0</v>
      </c>
      <c r="G226" s="696">
        <f>SUMIF('[2]Despesas Diretas'!$B$5:$B$9944,$B226,'[2]Despesas Diretas'!$H$5:$H$9944)</f>
        <v>0</v>
      </c>
      <c r="H226" s="696">
        <f>SUMIF('[3]Despesas Diretas'!$B$5:$B$9999,$B226,'[3]Despesas Diretas'!$H$5:$H$9999)</f>
        <v>0</v>
      </c>
      <c r="I226" s="696">
        <f>SUMIF([4]Comprometimento!$B$6:$B$147,$B226,[4]Comprometimento!$E$6:$E$147)</f>
        <v>0</v>
      </c>
      <c r="J226" s="696">
        <f>SUMIF([4]Estoque!$B$6:$B$880,$B226,[4]Estoque!$H$6:$H$880)</f>
        <v>0</v>
      </c>
      <c r="K226" s="697">
        <f t="shared" si="36"/>
        <v>0</v>
      </c>
      <c r="L226" s="698">
        <f t="shared" si="34"/>
        <v>0</v>
      </c>
      <c r="M226" s="699">
        <f t="shared" si="37"/>
        <v>0</v>
      </c>
      <c r="N226" s="698">
        <v>0</v>
      </c>
      <c r="O226" s="699">
        <v>0</v>
      </c>
      <c r="P226" s="699">
        <f t="shared" si="38"/>
        <v>0</v>
      </c>
      <c r="Q226" s="698">
        <f t="shared" si="32"/>
        <v>1</v>
      </c>
      <c r="R226" s="700">
        <f t="shared" si="33"/>
        <v>22515.693777720004</v>
      </c>
    </row>
    <row r="227" spans="1:19" s="130" customFormat="1" ht="21.95" customHeight="1" x14ac:dyDescent="0.2">
      <c r="A227" s="393" t="s">
        <v>134</v>
      </c>
      <c r="B227" s="959" t="s">
        <v>243</v>
      </c>
      <c r="C227" s="959" t="s">
        <v>479</v>
      </c>
      <c r="D227" s="366">
        <f>VLOOKUP($B227,'Análise Física Detalhada'!$E$13:$V$380,18,0)</f>
        <v>27322.067339632802</v>
      </c>
      <c r="E227" s="367">
        <f>VLOOKUP($B227,'Análise Física Detalhada'!$E$13:$P$380,12,0)</f>
        <v>0</v>
      </c>
      <c r="F227" s="368">
        <f t="shared" si="35"/>
        <v>0</v>
      </c>
      <c r="G227" s="696">
        <f>SUMIF('[2]Despesas Diretas'!$B$5:$B$9944,$B227,'[2]Despesas Diretas'!$H$5:$H$9944)</f>
        <v>0</v>
      </c>
      <c r="H227" s="696">
        <f>SUMIF('[3]Despesas Diretas'!$B$5:$B$9999,$B227,'[3]Despesas Diretas'!$H$5:$H$9999)</f>
        <v>0</v>
      </c>
      <c r="I227" s="696">
        <f>SUMIF([4]Comprometimento!$B$6:$B$147,$B227,[4]Comprometimento!$E$6:$E$147)</f>
        <v>0</v>
      </c>
      <c r="J227" s="696">
        <f>SUMIF([4]Estoque!$B$6:$B$880,$B227,[4]Estoque!$H$6:$H$880)</f>
        <v>0</v>
      </c>
      <c r="K227" s="697">
        <f t="shared" si="36"/>
        <v>0</v>
      </c>
      <c r="L227" s="698">
        <f t="shared" si="34"/>
        <v>0</v>
      </c>
      <c r="M227" s="699">
        <f t="shared" si="37"/>
        <v>0</v>
      </c>
      <c r="N227" s="698">
        <v>0</v>
      </c>
      <c r="O227" s="699">
        <v>0</v>
      </c>
      <c r="P227" s="699">
        <f t="shared" si="38"/>
        <v>0</v>
      </c>
      <c r="Q227" s="698">
        <f t="shared" si="32"/>
        <v>1</v>
      </c>
      <c r="R227" s="700">
        <f t="shared" si="33"/>
        <v>27322.067339632802</v>
      </c>
    </row>
    <row r="228" spans="1:19" s="130" customFormat="1" ht="21.95" customHeight="1" x14ac:dyDescent="0.2">
      <c r="A228" s="393" t="s">
        <v>134</v>
      </c>
      <c r="B228" s="959" t="s">
        <v>2282</v>
      </c>
      <c r="C228" s="959" t="s">
        <v>2350</v>
      </c>
      <c r="D228" s="366">
        <f>VLOOKUP($B228,'Análise Física Detalhada'!$E$13:$V$380,18,0)</f>
        <v>6897.3517785708018</v>
      </c>
      <c r="E228" s="367">
        <f>VLOOKUP($B228,'Análise Física Detalhada'!$E$13:$P$380,12,0)</f>
        <v>0</v>
      </c>
      <c r="F228" s="368">
        <f t="shared" si="35"/>
        <v>0</v>
      </c>
      <c r="G228" s="696">
        <f>SUMIF('[2]Despesas Diretas'!$B$5:$B$9944,$B228,'[2]Despesas Diretas'!$H$5:$H$9944)</f>
        <v>0</v>
      </c>
      <c r="H228" s="696">
        <f>SUMIF('[3]Despesas Diretas'!$B$5:$B$9999,$B228,'[3]Despesas Diretas'!$H$5:$H$9999)</f>
        <v>0</v>
      </c>
      <c r="I228" s="696">
        <f>SUMIF([4]Comprometimento!$B$6:$B$147,$B228,[4]Comprometimento!$E$6:$E$147)</f>
        <v>0</v>
      </c>
      <c r="J228" s="696">
        <f>SUMIF([4]Estoque!$B$6:$B$880,$B228,[4]Estoque!$H$6:$H$880)</f>
        <v>0</v>
      </c>
      <c r="K228" s="697">
        <f t="shared" si="36"/>
        <v>0</v>
      </c>
      <c r="L228" s="698">
        <f t="shared" si="34"/>
        <v>0</v>
      </c>
      <c r="M228" s="699">
        <f t="shared" si="37"/>
        <v>0</v>
      </c>
      <c r="N228" s="698">
        <v>0</v>
      </c>
      <c r="O228" s="699">
        <v>0</v>
      </c>
      <c r="P228" s="699">
        <f t="shared" si="38"/>
        <v>0</v>
      </c>
      <c r="Q228" s="698">
        <f t="shared" si="32"/>
        <v>1</v>
      </c>
      <c r="R228" s="700">
        <f t="shared" si="33"/>
        <v>6897.3517785708018</v>
      </c>
    </row>
    <row r="229" spans="1:19" s="130" customFormat="1" ht="21.95" customHeight="1" x14ac:dyDescent="0.2">
      <c r="A229" s="393" t="s">
        <v>134</v>
      </c>
      <c r="B229" s="967" t="s">
        <v>658</v>
      </c>
      <c r="C229" s="967" t="s">
        <v>786</v>
      </c>
      <c r="D229" s="366">
        <f>VLOOKUP($B229,'Análise Física Detalhada'!$E$13:$V$380,18,0)</f>
        <v>0</v>
      </c>
      <c r="E229" s="367">
        <f>VLOOKUP($B229,'Análise Física Detalhada'!$E$13:$P$380,12,0)</f>
        <v>0</v>
      </c>
      <c r="F229" s="368">
        <f t="shared" si="35"/>
        <v>0</v>
      </c>
      <c r="G229" s="696">
        <f>SUMIF('[2]Despesas Diretas'!$B$5:$B$9944,$B229,'[2]Despesas Diretas'!$H$5:$H$9944)</f>
        <v>0</v>
      </c>
      <c r="H229" s="696">
        <f>SUMIF('[3]Despesas Diretas'!$B$5:$B$9999,$B229,'[3]Despesas Diretas'!$H$5:$H$9999)</f>
        <v>0</v>
      </c>
      <c r="I229" s="696">
        <f>SUMIF([4]Comprometimento!$B$6:$B$147,$B229,[4]Comprometimento!$E$6:$E$147)</f>
        <v>0</v>
      </c>
      <c r="J229" s="696">
        <f>SUMIF([4]Estoque!$B$6:$B$880,$B229,[4]Estoque!$H$6:$H$880)</f>
        <v>0</v>
      </c>
      <c r="K229" s="697">
        <f t="shared" si="36"/>
        <v>0</v>
      </c>
      <c r="L229" s="698">
        <f t="shared" si="34"/>
        <v>0</v>
      </c>
      <c r="M229" s="699">
        <f t="shared" si="37"/>
        <v>0</v>
      </c>
      <c r="N229" s="698">
        <v>0</v>
      </c>
      <c r="O229" s="699">
        <v>0</v>
      </c>
      <c r="P229" s="699">
        <f t="shared" si="38"/>
        <v>0</v>
      </c>
      <c r="Q229" s="698">
        <f t="shared" si="32"/>
        <v>0</v>
      </c>
      <c r="R229" s="700">
        <f t="shared" si="33"/>
        <v>0</v>
      </c>
    </row>
    <row r="230" spans="1:19" s="130" customFormat="1" ht="21.95" customHeight="1" x14ac:dyDescent="0.2">
      <c r="A230" s="393" t="s">
        <v>134</v>
      </c>
      <c r="B230" s="959" t="s">
        <v>659</v>
      </c>
      <c r="C230" s="959" t="s">
        <v>2351</v>
      </c>
      <c r="D230" s="366">
        <f>VLOOKUP($B230,'Análise Física Detalhada'!$E$13:$V$380,18,0)</f>
        <v>49344.811600626002</v>
      </c>
      <c r="E230" s="367">
        <f>VLOOKUP($B230,'Análise Física Detalhada'!$E$13:$P$380,12,0)</f>
        <v>0</v>
      </c>
      <c r="F230" s="368">
        <f t="shared" si="35"/>
        <v>0</v>
      </c>
      <c r="G230" s="696">
        <f>SUMIF('[2]Despesas Diretas'!$B$5:$B$9944,$B230,'[2]Despesas Diretas'!$H$5:$H$9944)</f>
        <v>0</v>
      </c>
      <c r="H230" s="696">
        <f>SUMIF('[3]Despesas Diretas'!$B$5:$B$9999,$B230,'[3]Despesas Diretas'!$H$5:$H$9999)</f>
        <v>0</v>
      </c>
      <c r="I230" s="696">
        <f>SUMIF([4]Comprometimento!$B$6:$B$147,$B230,[4]Comprometimento!$E$6:$E$147)</f>
        <v>0</v>
      </c>
      <c r="J230" s="696">
        <f>SUMIF([4]Estoque!$B$6:$B$880,$B230,[4]Estoque!$H$6:$H$880)</f>
        <v>0</v>
      </c>
      <c r="K230" s="697">
        <f t="shared" si="36"/>
        <v>0</v>
      </c>
      <c r="L230" s="698">
        <f t="shared" si="34"/>
        <v>0</v>
      </c>
      <c r="M230" s="699">
        <f t="shared" si="37"/>
        <v>0</v>
      </c>
      <c r="N230" s="698">
        <v>0</v>
      </c>
      <c r="O230" s="699">
        <v>0</v>
      </c>
      <c r="P230" s="699">
        <f t="shared" si="38"/>
        <v>0</v>
      </c>
      <c r="Q230" s="698">
        <f t="shared" si="32"/>
        <v>1</v>
      </c>
      <c r="R230" s="700">
        <f t="shared" si="33"/>
        <v>49344.811600626002</v>
      </c>
    </row>
    <row r="231" spans="1:19" s="130" customFormat="1" ht="21.95" customHeight="1" x14ac:dyDescent="0.2">
      <c r="A231" s="393" t="s">
        <v>134</v>
      </c>
      <c r="B231" s="959" t="s">
        <v>660</v>
      </c>
      <c r="C231" s="959" t="s">
        <v>2352</v>
      </c>
      <c r="D231" s="366">
        <f>VLOOKUP($B231,'Análise Física Detalhada'!$E$13:$V$380,18,0)</f>
        <v>30700.728364154405</v>
      </c>
      <c r="E231" s="367">
        <f>VLOOKUP($B231,'Análise Física Detalhada'!$E$13:$P$380,12,0)</f>
        <v>0</v>
      </c>
      <c r="F231" s="368">
        <f t="shared" si="35"/>
        <v>0</v>
      </c>
      <c r="G231" s="696">
        <f>SUMIF('[2]Despesas Diretas'!$B$5:$B$9944,$B231,'[2]Despesas Diretas'!$H$5:$H$9944)</f>
        <v>0</v>
      </c>
      <c r="H231" s="696">
        <f>SUMIF('[3]Despesas Diretas'!$B$5:$B$9999,$B231,'[3]Despesas Diretas'!$H$5:$H$9999)</f>
        <v>0</v>
      </c>
      <c r="I231" s="696">
        <f>SUMIF([4]Comprometimento!$B$6:$B$147,$B231,[4]Comprometimento!$E$6:$E$147)</f>
        <v>0</v>
      </c>
      <c r="J231" s="696">
        <f>SUMIF([4]Estoque!$B$6:$B$880,$B231,[4]Estoque!$H$6:$H$880)</f>
        <v>0</v>
      </c>
      <c r="K231" s="697">
        <f t="shared" si="36"/>
        <v>0</v>
      </c>
      <c r="L231" s="698">
        <f t="shared" si="34"/>
        <v>0</v>
      </c>
      <c r="M231" s="699">
        <f t="shared" si="37"/>
        <v>0</v>
      </c>
      <c r="N231" s="698">
        <v>0</v>
      </c>
      <c r="O231" s="699">
        <v>0</v>
      </c>
      <c r="P231" s="699">
        <f t="shared" si="38"/>
        <v>0</v>
      </c>
      <c r="Q231" s="698">
        <f t="shared" si="32"/>
        <v>1</v>
      </c>
      <c r="R231" s="700">
        <f t="shared" si="33"/>
        <v>30700.728364154405</v>
      </c>
    </row>
    <row r="232" spans="1:19" s="130" customFormat="1" ht="21.95" customHeight="1" x14ac:dyDescent="0.2">
      <c r="A232" s="393" t="s">
        <v>134</v>
      </c>
      <c r="B232" s="959" t="s">
        <v>2283</v>
      </c>
      <c r="C232" s="959" t="s">
        <v>2285</v>
      </c>
      <c r="D232" s="366">
        <f>VLOOKUP($B232,'Análise Física Detalhada'!$E$13:$V$380,18,0)</f>
        <v>60648.916565052008</v>
      </c>
      <c r="E232" s="367">
        <f>VLOOKUP($B232,'Análise Física Detalhada'!$E$13:$P$380,12,0)</f>
        <v>0</v>
      </c>
      <c r="F232" s="368">
        <f t="shared" si="35"/>
        <v>0</v>
      </c>
      <c r="G232" s="696">
        <f>SUMIF('[2]Despesas Diretas'!$B$5:$B$9944,$B232,'[2]Despesas Diretas'!$H$5:$H$9944)</f>
        <v>0</v>
      </c>
      <c r="H232" s="696">
        <f>SUMIF('[3]Despesas Diretas'!$B$5:$B$9999,$B232,'[3]Despesas Diretas'!$H$5:$H$9999)</f>
        <v>0</v>
      </c>
      <c r="I232" s="696">
        <f>SUMIF([4]Comprometimento!$B$6:$B$147,$B232,[4]Comprometimento!$E$6:$E$147)</f>
        <v>0</v>
      </c>
      <c r="J232" s="696">
        <f>SUMIF([4]Estoque!$B$6:$B$880,$B232,[4]Estoque!$H$6:$H$880)</f>
        <v>0</v>
      </c>
      <c r="K232" s="697">
        <f t="shared" si="36"/>
        <v>0</v>
      </c>
      <c r="L232" s="698">
        <f t="shared" si="34"/>
        <v>0</v>
      </c>
      <c r="M232" s="699">
        <f t="shared" si="37"/>
        <v>0</v>
      </c>
      <c r="N232" s="698">
        <v>0</v>
      </c>
      <c r="O232" s="699">
        <v>0</v>
      </c>
      <c r="P232" s="699">
        <f t="shared" si="38"/>
        <v>0</v>
      </c>
      <c r="Q232" s="698">
        <f t="shared" si="32"/>
        <v>1</v>
      </c>
      <c r="R232" s="700">
        <f t="shared" si="33"/>
        <v>60648.916565052008</v>
      </c>
    </row>
    <row r="233" spans="1:19" s="130" customFormat="1" ht="21.95" customHeight="1" x14ac:dyDescent="0.2">
      <c r="A233" s="393" t="s">
        <v>134</v>
      </c>
      <c r="B233" s="959" t="s">
        <v>2284</v>
      </c>
      <c r="C233" s="959" t="s">
        <v>1487</v>
      </c>
      <c r="D233" s="366">
        <f>VLOOKUP($B233,'Análise Física Detalhada'!$E$13:$V$380,18,0)</f>
        <v>41656.225473230406</v>
      </c>
      <c r="E233" s="367">
        <f>VLOOKUP($B233,'Análise Física Detalhada'!$E$13:$P$380,12,0)</f>
        <v>0</v>
      </c>
      <c r="F233" s="368">
        <f t="shared" si="35"/>
        <v>0</v>
      </c>
      <c r="G233" s="696">
        <f>SUMIF('[2]Despesas Diretas'!$B$5:$B$9944,$B233,'[2]Despesas Diretas'!$H$5:$H$9944)</f>
        <v>0</v>
      </c>
      <c r="H233" s="696">
        <f>SUMIF('[3]Despesas Diretas'!$B$5:$B$9999,$B233,'[3]Despesas Diretas'!$H$5:$H$9999)</f>
        <v>0</v>
      </c>
      <c r="I233" s="696">
        <f>SUMIF([4]Comprometimento!$B$6:$B$147,$B233,[4]Comprometimento!$E$6:$E$147)</f>
        <v>0</v>
      </c>
      <c r="J233" s="696">
        <f>SUMIF([4]Estoque!$B$6:$B$880,$B233,[4]Estoque!$H$6:$H$880)</f>
        <v>0</v>
      </c>
      <c r="K233" s="697">
        <f t="shared" si="36"/>
        <v>0</v>
      </c>
      <c r="L233" s="698">
        <f t="shared" si="34"/>
        <v>0</v>
      </c>
      <c r="M233" s="699">
        <f t="shared" si="37"/>
        <v>0</v>
      </c>
      <c r="N233" s="698">
        <v>0</v>
      </c>
      <c r="O233" s="699">
        <v>0</v>
      </c>
      <c r="P233" s="699">
        <f t="shared" si="38"/>
        <v>0</v>
      </c>
      <c r="Q233" s="698">
        <f t="shared" si="32"/>
        <v>1</v>
      </c>
      <c r="R233" s="700">
        <f t="shared" si="33"/>
        <v>41656.225473230406</v>
      </c>
    </row>
    <row r="234" spans="1:19" s="130" customFormat="1" ht="21.95" customHeight="1" x14ac:dyDescent="0.2">
      <c r="A234" s="393" t="s">
        <v>134</v>
      </c>
      <c r="B234" s="967" t="s">
        <v>661</v>
      </c>
      <c r="C234" s="967" t="s">
        <v>2286</v>
      </c>
      <c r="D234" s="366">
        <f>VLOOKUP($B234,'Análise Física Detalhada'!$E$13:$V$380,18,0)</f>
        <v>0</v>
      </c>
      <c r="E234" s="367">
        <f>VLOOKUP($B234,'Análise Física Detalhada'!$E$13:$P$380,12,0)</f>
        <v>0</v>
      </c>
      <c r="F234" s="368">
        <f t="shared" si="35"/>
        <v>0</v>
      </c>
      <c r="G234" s="696">
        <f>SUMIF('[2]Despesas Diretas'!$B$5:$B$9944,$B234,'[2]Despesas Diretas'!$H$5:$H$9944)</f>
        <v>0</v>
      </c>
      <c r="H234" s="696">
        <f>SUMIF('[3]Despesas Diretas'!$B$5:$B$9999,$B234,'[3]Despesas Diretas'!$H$5:$H$9999)</f>
        <v>0</v>
      </c>
      <c r="I234" s="696">
        <f>SUMIF([4]Comprometimento!$B$6:$B$147,$B234,[4]Comprometimento!$E$6:$E$147)</f>
        <v>0</v>
      </c>
      <c r="J234" s="696">
        <f>SUMIF([4]Estoque!$B$6:$B$880,$B234,[4]Estoque!$H$6:$H$880)</f>
        <v>0</v>
      </c>
      <c r="K234" s="697">
        <f t="shared" si="36"/>
        <v>0</v>
      </c>
      <c r="L234" s="698">
        <f t="shared" si="34"/>
        <v>0</v>
      </c>
      <c r="M234" s="699">
        <f t="shared" si="37"/>
        <v>0</v>
      </c>
      <c r="N234" s="698">
        <v>0</v>
      </c>
      <c r="O234" s="699">
        <v>0</v>
      </c>
      <c r="P234" s="699">
        <f t="shared" si="38"/>
        <v>0</v>
      </c>
      <c r="Q234" s="698">
        <f t="shared" si="32"/>
        <v>0</v>
      </c>
      <c r="R234" s="700">
        <f t="shared" si="33"/>
        <v>0</v>
      </c>
    </row>
    <row r="235" spans="1:19" s="130" customFormat="1" ht="21.95" customHeight="1" x14ac:dyDescent="0.2">
      <c r="A235" s="393" t="s">
        <v>134</v>
      </c>
      <c r="B235" s="959" t="s">
        <v>662</v>
      </c>
      <c r="C235" s="959" t="s">
        <v>2353</v>
      </c>
      <c r="D235" s="366">
        <f>VLOOKUP($B235,'Análise Física Detalhada'!$E$13:$V$380,18,0)</f>
        <v>4282.0879294800006</v>
      </c>
      <c r="E235" s="367">
        <f>VLOOKUP($B235,'Análise Física Detalhada'!$E$13:$P$380,12,0)</f>
        <v>0</v>
      </c>
      <c r="F235" s="368">
        <f t="shared" si="35"/>
        <v>0</v>
      </c>
      <c r="G235" s="696">
        <f>SUMIF('[2]Despesas Diretas'!$B$5:$B$9944,$B235,'[2]Despesas Diretas'!$H$5:$H$9944)</f>
        <v>0</v>
      </c>
      <c r="H235" s="696">
        <f>SUMIF('[3]Despesas Diretas'!$B$5:$B$9999,$B235,'[3]Despesas Diretas'!$H$5:$H$9999)</f>
        <v>0</v>
      </c>
      <c r="I235" s="696">
        <f>SUMIF([4]Comprometimento!$B$6:$B$147,$B235,[4]Comprometimento!$E$6:$E$147)</f>
        <v>0</v>
      </c>
      <c r="J235" s="696">
        <f>SUMIF([4]Estoque!$B$6:$B$880,$B235,[4]Estoque!$H$6:$H$880)</f>
        <v>0</v>
      </c>
      <c r="K235" s="697">
        <f t="shared" si="36"/>
        <v>0</v>
      </c>
      <c r="L235" s="698">
        <f t="shared" si="34"/>
        <v>0</v>
      </c>
      <c r="M235" s="699">
        <f t="shared" si="37"/>
        <v>0</v>
      </c>
      <c r="N235" s="698">
        <v>0</v>
      </c>
      <c r="O235" s="699">
        <v>0</v>
      </c>
      <c r="P235" s="699">
        <f t="shared" si="38"/>
        <v>0</v>
      </c>
      <c r="Q235" s="698">
        <f t="shared" si="32"/>
        <v>1</v>
      </c>
      <c r="R235" s="700">
        <f t="shared" si="33"/>
        <v>4282.0879294800006</v>
      </c>
    </row>
    <row r="236" spans="1:19" s="130" customFormat="1" ht="21.95" customHeight="1" x14ac:dyDescent="0.2">
      <c r="A236" s="393" t="s">
        <v>134</v>
      </c>
      <c r="B236" s="959" t="s">
        <v>663</v>
      </c>
      <c r="C236" s="959" t="s">
        <v>2354</v>
      </c>
      <c r="D236" s="366">
        <f>VLOOKUP($B236,'Análise Física Detalhada'!$E$13:$V$380,18,0)</f>
        <v>2377.6136290584004</v>
      </c>
      <c r="E236" s="367">
        <f>VLOOKUP($B236,'Análise Física Detalhada'!$E$13:$P$380,12,0)</f>
        <v>0</v>
      </c>
      <c r="F236" s="368">
        <f t="shared" si="35"/>
        <v>0</v>
      </c>
      <c r="G236" s="696">
        <f>SUMIF('[2]Despesas Diretas'!$B$5:$B$9944,$B236,'[2]Despesas Diretas'!$H$5:$H$9944)</f>
        <v>0</v>
      </c>
      <c r="H236" s="696">
        <f>SUMIF('[3]Despesas Diretas'!$B$5:$B$9999,$B236,'[3]Despesas Diretas'!$H$5:$H$9999)</f>
        <v>0</v>
      </c>
      <c r="I236" s="696">
        <f>SUMIF([4]Comprometimento!$B$6:$B$147,$B236,[4]Comprometimento!$E$6:$E$147)</f>
        <v>0</v>
      </c>
      <c r="J236" s="696">
        <f>SUMIF([4]Estoque!$B$6:$B$880,$B236,[4]Estoque!$H$6:$H$880)</f>
        <v>0</v>
      </c>
      <c r="K236" s="697">
        <f t="shared" si="36"/>
        <v>0</v>
      </c>
      <c r="L236" s="698">
        <f t="shared" si="34"/>
        <v>0</v>
      </c>
      <c r="M236" s="699">
        <f t="shared" si="37"/>
        <v>0</v>
      </c>
      <c r="N236" s="698">
        <v>0</v>
      </c>
      <c r="O236" s="699">
        <v>0</v>
      </c>
      <c r="P236" s="699">
        <f t="shared" si="38"/>
        <v>0</v>
      </c>
      <c r="Q236" s="698">
        <f t="shared" si="32"/>
        <v>1</v>
      </c>
      <c r="R236" s="700">
        <f t="shared" si="33"/>
        <v>2377.6136290584004</v>
      </c>
    </row>
    <row r="237" spans="1:19" s="130" customFormat="1" ht="21.95" customHeight="1" x14ac:dyDescent="0.2">
      <c r="A237" s="393" t="s">
        <v>134</v>
      </c>
      <c r="B237" s="959" t="s">
        <v>1482</v>
      </c>
      <c r="C237" s="959" t="s">
        <v>2355</v>
      </c>
      <c r="D237" s="366">
        <f>VLOOKUP($B237,'Análise Física Detalhada'!$E$13:$V$380,18,0)</f>
        <v>69207.133931074815</v>
      </c>
      <c r="E237" s="367">
        <f>VLOOKUP($B237,'Análise Física Detalhada'!$E$13:$P$380,12,0)</f>
        <v>0</v>
      </c>
      <c r="F237" s="368">
        <f t="shared" si="35"/>
        <v>0</v>
      </c>
      <c r="G237" s="696">
        <f>SUMIF('[2]Despesas Diretas'!$B$5:$B$9944,$B237,'[2]Despesas Diretas'!$H$5:$H$9944)</f>
        <v>0</v>
      </c>
      <c r="H237" s="696">
        <f>SUMIF('[3]Despesas Diretas'!$B$5:$B$9999,$B237,'[3]Despesas Diretas'!$H$5:$H$9999)</f>
        <v>0</v>
      </c>
      <c r="I237" s="696">
        <f>SUMIF([4]Comprometimento!$B$6:$B$147,$B237,[4]Comprometimento!$E$6:$E$147)</f>
        <v>0</v>
      </c>
      <c r="J237" s="696">
        <f>SUMIF([4]Estoque!$B$6:$B$880,$B237,[4]Estoque!$H$6:$H$880)</f>
        <v>0</v>
      </c>
      <c r="K237" s="697">
        <f t="shared" si="36"/>
        <v>0</v>
      </c>
      <c r="L237" s="698">
        <f t="shared" si="34"/>
        <v>0</v>
      </c>
      <c r="M237" s="699">
        <f t="shared" si="37"/>
        <v>0</v>
      </c>
      <c r="N237" s="698">
        <v>0</v>
      </c>
      <c r="O237" s="699">
        <v>0</v>
      </c>
      <c r="P237" s="699">
        <f t="shared" si="38"/>
        <v>0</v>
      </c>
      <c r="Q237" s="698">
        <f t="shared" si="32"/>
        <v>1</v>
      </c>
      <c r="R237" s="700">
        <f t="shared" si="33"/>
        <v>69207.133931074815</v>
      </c>
    </row>
    <row r="238" spans="1:19" s="130" customFormat="1" ht="21.95" customHeight="1" x14ac:dyDescent="0.2">
      <c r="A238" s="393" t="s">
        <v>134</v>
      </c>
      <c r="B238" s="959" t="s">
        <v>1484</v>
      </c>
      <c r="C238" s="959" t="s">
        <v>2356</v>
      </c>
      <c r="D238" s="366">
        <f>VLOOKUP($B238,'Análise Física Detalhada'!$E$13:$V$380,18,0)</f>
        <v>19660.752380257203</v>
      </c>
      <c r="E238" s="367">
        <f>VLOOKUP($B238,'Análise Física Detalhada'!$E$13:$P$380,12,0)</f>
        <v>0</v>
      </c>
      <c r="F238" s="368">
        <f t="shared" si="35"/>
        <v>0</v>
      </c>
      <c r="G238" s="696">
        <f>SUMIF('[2]Despesas Diretas'!$B$5:$B$9944,$B238,'[2]Despesas Diretas'!$H$5:$H$9944)</f>
        <v>0</v>
      </c>
      <c r="H238" s="696">
        <f>SUMIF('[3]Despesas Diretas'!$B$5:$B$9999,$B238,'[3]Despesas Diretas'!$H$5:$H$9999)</f>
        <v>0</v>
      </c>
      <c r="I238" s="696">
        <f>SUMIF([4]Comprometimento!$B$6:$B$147,$B238,[4]Comprometimento!$E$6:$E$147)</f>
        <v>0</v>
      </c>
      <c r="J238" s="696">
        <f>SUMIF([4]Estoque!$B$6:$B$880,$B238,[4]Estoque!$H$6:$H$880)</f>
        <v>0</v>
      </c>
      <c r="K238" s="697">
        <f t="shared" si="36"/>
        <v>0</v>
      </c>
      <c r="L238" s="698">
        <f t="shared" si="34"/>
        <v>0</v>
      </c>
      <c r="M238" s="699">
        <f t="shared" si="37"/>
        <v>0</v>
      </c>
      <c r="N238" s="698">
        <v>0</v>
      </c>
      <c r="O238" s="699">
        <v>0</v>
      </c>
      <c r="P238" s="699">
        <f t="shared" si="38"/>
        <v>0</v>
      </c>
      <c r="Q238" s="698">
        <f t="shared" si="32"/>
        <v>1</v>
      </c>
      <c r="R238" s="700">
        <f t="shared" si="33"/>
        <v>19660.752380257203</v>
      </c>
    </row>
    <row r="239" spans="1:19" s="130" customFormat="1" ht="21.95" customHeight="1" x14ac:dyDescent="0.2">
      <c r="A239" s="393" t="s">
        <v>134</v>
      </c>
      <c r="B239" s="959" t="s">
        <v>1485</v>
      </c>
      <c r="C239" s="959" t="s">
        <v>2287</v>
      </c>
      <c r="D239" s="366">
        <f>VLOOKUP($B239,'Análise Física Detalhada'!$E$13:$V$380,18,0)</f>
        <v>23.936881816800007</v>
      </c>
      <c r="E239" s="367">
        <f>VLOOKUP($B239,'Análise Física Detalhada'!$E$13:$P$380,12,0)</f>
        <v>0</v>
      </c>
      <c r="F239" s="368">
        <f t="shared" si="35"/>
        <v>0</v>
      </c>
      <c r="G239" s="696">
        <f>SUMIF('[2]Despesas Diretas'!$B$5:$B$9944,$B239,'[2]Despesas Diretas'!$H$5:$H$9944)</f>
        <v>0</v>
      </c>
      <c r="H239" s="696">
        <f>SUMIF('[3]Despesas Diretas'!$B$5:$B$9999,$B239,'[3]Despesas Diretas'!$H$5:$H$9999)</f>
        <v>0</v>
      </c>
      <c r="I239" s="696">
        <f>SUMIF([4]Comprometimento!$B$6:$B$147,$B239,[4]Comprometimento!$E$6:$E$147)</f>
        <v>0</v>
      </c>
      <c r="J239" s="696">
        <f>SUMIF([4]Estoque!$B$6:$B$880,$B239,[4]Estoque!$H$6:$H$880)</f>
        <v>0</v>
      </c>
      <c r="K239" s="697">
        <f t="shared" si="36"/>
        <v>0</v>
      </c>
      <c r="L239" s="698">
        <f t="shared" si="34"/>
        <v>0</v>
      </c>
      <c r="M239" s="699">
        <f t="shared" si="37"/>
        <v>0</v>
      </c>
      <c r="N239" s="698">
        <v>0</v>
      </c>
      <c r="O239" s="699">
        <v>0</v>
      </c>
      <c r="P239" s="699">
        <f t="shared" si="38"/>
        <v>0</v>
      </c>
      <c r="Q239" s="698">
        <f t="shared" si="32"/>
        <v>1</v>
      </c>
      <c r="R239" s="700">
        <f t="shared" si="33"/>
        <v>23.936881816800007</v>
      </c>
      <c r="S239" s="206">
        <f>G239+H239-J239</f>
        <v>0</v>
      </c>
    </row>
    <row r="240" spans="1:19" s="130" customFormat="1" ht="21.95" customHeight="1" x14ac:dyDescent="0.2">
      <c r="A240" s="393" t="s">
        <v>134</v>
      </c>
      <c r="B240" s="959" t="s">
        <v>1486</v>
      </c>
      <c r="C240" s="959" t="s">
        <v>2288</v>
      </c>
      <c r="D240" s="366">
        <f>VLOOKUP($B240,'Análise Física Detalhada'!$E$13:$V$380,18,0)</f>
        <v>662.17483254600006</v>
      </c>
      <c r="E240" s="367">
        <f>VLOOKUP($B240,'Análise Física Detalhada'!$E$13:$P$380,12,0)</f>
        <v>0</v>
      </c>
      <c r="F240" s="368">
        <f t="shared" si="35"/>
        <v>0</v>
      </c>
      <c r="G240" s="696">
        <f>SUMIF('[2]Despesas Diretas'!$B$5:$B$9944,$B240,'[2]Despesas Diretas'!$H$5:$H$9944)</f>
        <v>0</v>
      </c>
      <c r="H240" s="696">
        <f>SUMIF('[3]Despesas Diretas'!$B$5:$B$9999,$B240,'[3]Despesas Diretas'!$H$5:$H$9999)</f>
        <v>0</v>
      </c>
      <c r="I240" s="696">
        <f>SUMIF([4]Comprometimento!$B$6:$B$147,$B240,[4]Comprometimento!$E$6:$E$147)</f>
        <v>0</v>
      </c>
      <c r="J240" s="696">
        <f>SUMIF([4]Estoque!$B$6:$B$880,$B240,[4]Estoque!$H$6:$H$880)</f>
        <v>0</v>
      </c>
      <c r="K240" s="697">
        <f t="shared" si="36"/>
        <v>0</v>
      </c>
      <c r="L240" s="698">
        <f t="shared" si="34"/>
        <v>0</v>
      </c>
      <c r="M240" s="699">
        <f t="shared" si="37"/>
        <v>0</v>
      </c>
      <c r="N240" s="698">
        <v>0</v>
      </c>
      <c r="O240" s="699">
        <v>0</v>
      </c>
      <c r="P240" s="699">
        <f t="shared" si="38"/>
        <v>0</v>
      </c>
      <c r="Q240" s="698">
        <f t="shared" si="32"/>
        <v>1</v>
      </c>
      <c r="R240" s="700">
        <f t="shared" si="33"/>
        <v>662.17483254600006</v>
      </c>
    </row>
    <row r="241" spans="1:18" s="130" customFormat="1" ht="21.95" customHeight="1" x14ac:dyDescent="0.2">
      <c r="A241" s="393" t="s">
        <v>134</v>
      </c>
      <c r="B241" s="959" t="s">
        <v>2113</v>
      </c>
      <c r="C241" s="959" t="s">
        <v>2357</v>
      </c>
      <c r="D241" s="366">
        <f>VLOOKUP($B241,'Análise Física Detalhada'!$E$13:$V$380,18,0)</f>
        <v>113.1599107728</v>
      </c>
      <c r="E241" s="367">
        <f>VLOOKUP($B241,'Análise Física Detalhada'!$E$13:$P$380,12,0)</f>
        <v>0</v>
      </c>
      <c r="F241" s="368">
        <f t="shared" si="35"/>
        <v>0</v>
      </c>
      <c r="G241" s="696">
        <f>SUMIF('[2]Despesas Diretas'!$B$5:$B$9944,$B241,'[2]Despesas Diretas'!$H$5:$H$9944)</f>
        <v>0</v>
      </c>
      <c r="H241" s="696">
        <f>SUMIF('[3]Despesas Diretas'!$B$5:$B$9999,$B241,'[3]Despesas Diretas'!$H$5:$H$9999)</f>
        <v>0</v>
      </c>
      <c r="I241" s="696">
        <f>SUMIF([4]Comprometimento!$B$6:$B$147,$B241,[4]Comprometimento!$E$6:$E$147)</f>
        <v>0</v>
      </c>
      <c r="J241" s="696">
        <f>SUMIF([4]Estoque!$B$6:$B$880,$B241,[4]Estoque!$H$6:$H$880)</f>
        <v>0</v>
      </c>
      <c r="K241" s="697">
        <f t="shared" si="36"/>
        <v>0</v>
      </c>
      <c r="L241" s="698">
        <f t="shared" si="34"/>
        <v>0</v>
      </c>
      <c r="M241" s="699">
        <f t="shared" si="37"/>
        <v>0</v>
      </c>
      <c r="N241" s="698">
        <v>0</v>
      </c>
      <c r="O241" s="699">
        <v>0</v>
      </c>
      <c r="P241" s="699">
        <f t="shared" si="38"/>
        <v>0</v>
      </c>
      <c r="Q241" s="698">
        <f t="shared" si="32"/>
        <v>1</v>
      </c>
      <c r="R241" s="700">
        <f t="shared" si="33"/>
        <v>113.1599107728</v>
      </c>
    </row>
    <row r="242" spans="1:18" s="130" customFormat="1" ht="21.95" customHeight="1" x14ac:dyDescent="0.2">
      <c r="A242" s="393" t="s">
        <v>134</v>
      </c>
      <c r="B242" s="959" t="s">
        <v>2114</v>
      </c>
      <c r="C242" s="959" t="s">
        <v>2358</v>
      </c>
      <c r="D242" s="366">
        <f>VLOOKUP($B242,'Análise Física Detalhada'!$E$13:$V$380,18,0)</f>
        <v>3129.8244800976004</v>
      </c>
      <c r="E242" s="367">
        <f>VLOOKUP($B242,'Análise Física Detalhada'!$E$13:$P$380,12,0)</f>
        <v>0</v>
      </c>
      <c r="F242" s="368">
        <f t="shared" si="35"/>
        <v>0</v>
      </c>
      <c r="G242" s="696">
        <f>SUMIF('[2]Despesas Diretas'!$B$5:$B$9944,$B242,'[2]Despesas Diretas'!$H$5:$H$9944)</f>
        <v>0</v>
      </c>
      <c r="H242" s="696">
        <f>SUMIF('[3]Despesas Diretas'!$B$5:$B$9999,$B242,'[3]Despesas Diretas'!$H$5:$H$9999)</f>
        <v>0</v>
      </c>
      <c r="I242" s="696">
        <f>SUMIF([4]Comprometimento!$B$6:$B$147,$B242,[4]Comprometimento!$E$6:$E$147)</f>
        <v>0</v>
      </c>
      <c r="J242" s="696">
        <f>SUMIF([4]Estoque!$B$6:$B$880,$B242,[4]Estoque!$H$6:$H$880)</f>
        <v>0</v>
      </c>
      <c r="K242" s="697">
        <f t="shared" si="36"/>
        <v>0</v>
      </c>
      <c r="L242" s="698">
        <f t="shared" si="34"/>
        <v>0</v>
      </c>
      <c r="M242" s="699">
        <f t="shared" si="37"/>
        <v>0</v>
      </c>
      <c r="N242" s="698">
        <v>0</v>
      </c>
      <c r="O242" s="699">
        <v>0</v>
      </c>
      <c r="P242" s="699">
        <f t="shared" si="38"/>
        <v>0</v>
      </c>
      <c r="Q242" s="698">
        <f t="shared" si="32"/>
        <v>1</v>
      </c>
      <c r="R242" s="700">
        <f t="shared" si="33"/>
        <v>3129.8244800976004</v>
      </c>
    </row>
    <row r="243" spans="1:18" s="130" customFormat="1" ht="21.95" customHeight="1" x14ac:dyDescent="0.2">
      <c r="A243" s="393" t="s">
        <v>134</v>
      </c>
      <c r="B243" s="959" t="s">
        <v>2115</v>
      </c>
      <c r="C243" s="959" t="s">
        <v>1488</v>
      </c>
      <c r="D243" s="366">
        <f>VLOOKUP($B243,'Análise Física Detalhada'!$E$13:$V$380,18,0)</f>
        <v>24064.284480984003</v>
      </c>
      <c r="E243" s="367">
        <f>VLOOKUP($B243,'Análise Física Detalhada'!$E$13:$P$380,12,0)</f>
        <v>0</v>
      </c>
      <c r="F243" s="368">
        <f t="shared" si="35"/>
        <v>0</v>
      </c>
      <c r="G243" s="696">
        <f>SUMIF('[2]Despesas Diretas'!$B$5:$B$9944,$B243,'[2]Despesas Diretas'!$H$5:$H$9944)</f>
        <v>0</v>
      </c>
      <c r="H243" s="696">
        <f>SUMIF('[3]Despesas Diretas'!$B$5:$B$9999,$B243,'[3]Despesas Diretas'!$H$5:$H$9999)</f>
        <v>0</v>
      </c>
      <c r="I243" s="696">
        <f>SUMIF([4]Comprometimento!$B$6:$B$147,$B243,[4]Comprometimento!$E$6:$E$147)</f>
        <v>0</v>
      </c>
      <c r="J243" s="696">
        <f>SUMIF([4]Estoque!$B$6:$B$880,$B243,[4]Estoque!$H$6:$H$880)</f>
        <v>0</v>
      </c>
      <c r="K243" s="697">
        <f t="shared" si="36"/>
        <v>0</v>
      </c>
      <c r="L243" s="698">
        <f t="shared" si="34"/>
        <v>0</v>
      </c>
      <c r="M243" s="699">
        <f t="shared" si="37"/>
        <v>0</v>
      </c>
      <c r="N243" s="698">
        <v>0</v>
      </c>
      <c r="O243" s="699">
        <v>0</v>
      </c>
      <c r="P243" s="699">
        <f t="shared" si="38"/>
        <v>0</v>
      </c>
      <c r="Q243" s="698">
        <f t="shared" si="32"/>
        <v>1</v>
      </c>
      <c r="R243" s="700">
        <f t="shared" si="33"/>
        <v>24064.284480984003</v>
      </c>
    </row>
    <row r="244" spans="1:18" s="130" customFormat="1" ht="21.95" customHeight="1" x14ac:dyDescent="0.2">
      <c r="A244" s="393" t="s">
        <v>134</v>
      </c>
      <c r="B244" s="959" t="s">
        <v>2116</v>
      </c>
      <c r="C244" s="959" t="s">
        <v>1489</v>
      </c>
      <c r="D244" s="366">
        <f>VLOOKUP($B244,'Análise Física Detalhada'!$E$13:$V$380,18,0)</f>
        <v>11575.489104748802</v>
      </c>
      <c r="E244" s="367">
        <f>VLOOKUP($B244,'Análise Física Detalhada'!$E$13:$P$380,12,0)</f>
        <v>0</v>
      </c>
      <c r="F244" s="368">
        <f t="shared" si="35"/>
        <v>0</v>
      </c>
      <c r="G244" s="696">
        <f>SUMIF('[2]Despesas Diretas'!$B$5:$B$9944,$B244,'[2]Despesas Diretas'!$H$5:$H$9944)</f>
        <v>0</v>
      </c>
      <c r="H244" s="696">
        <f>SUMIF('[3]Despesas Diretas'!$B$5:$B$9999,$B244,'[3]Despesas Diretas'!$H$5:$H$9999)</f>
        <v>0</v>
      </c>
      <c r="I244" s="696">
        <f>SUMIF([4]Comprometimento!$B$6:$B$147,$B244,[4]Comprometimento!$E$6:$E$147)</f>
        <v>0</v>
      </c>
      <c r="J244" s="696">
        <f>SUMIF([4]Estoque!$B$6:$B$880,$B244,[4]Estoque!$H$6:$H$880)</f>
        <v>0</v>
      </c>
      <c r="K244" s="697">
        <f t="shared" si="36"/>
        <v>0</v>
      </c>
      <c r="L244" s="698">
        <f t="shared" si="34"/>
        <v>0</v>
      </c>
      <c r="M244" s="699">
        <f t="shared" si="37"/>
        <v>0</v>
      </c>
      <c r="N244" s="698">
        <v>0</v>
      </c>
      <c r="O244" s="699">
        <v>0</v>
      </c>
      <c r="P244" s="699">
        <f t="shared" si="38"/>
        <v>0</v>
      </c>
      <c r="Q244" s="698">
        <f t="shared" si="32"/>
        <v>1</v>
      </c>
      <c r="R244" s="700">
        <f t="shared" si="33"/>
        <v>11575.489104748802</v>
      </c>
    </row>
    <row r="245" spans="1:18" s="130" customFormat="1" ht="21.95" customHeight="1" x14ac:dyDescent="0.2">
      <c r="A245" s="393" t="s">
        <v>140</v>
      </c>
      <c r="B245" s="161" t="s">
        <v>140</v>
      </c>
      <c r="C245" s="161" t="s">
        <v>664</v>
      </c>
      <c r="D245" s="163">
        <f>VLOOKUP($B245,'Análise Física Detalhada'!$E$13:$V$380,18,0)</f>
        <v>569475.83080517768</v>
      </c>
      <c r="E245" s="530">
        <f>F245/D245</f>
        <v>0</v>
      </c>
      <c r="F245" s="1001">
        <f>SUM(F246:F248)</f>
        <v>0</v>
      </c>
      <c r="G245" s="1000">
        <f>SUM(G246:G248)</f>
        <v>0</v>
      </c>
      <c r="H245" s="1000">
        <f t="shared" ref="H245:K245" si="41">SUM(H246:H248)</f>
        <v>0</v>
      </c>
      <c r="I245" s="1000">
        <f t="shared" si="41"/>
        <v>0</v>
      </c>
      <c r="J245" s="1000">
        <f t="shared" si="41"/>
        <v>0</v>
      </c>
      <c r="K245" s="1000">
        <f t="shared" si="41"/>
        <v>0</v>
      </c>
      <c r="L245" s="537">
        <f>IF($F245=0,0,$K245/$F245)</f>
        <v>0</v>
      </c>
      <c r="M245" s="163">
        <f>IF($L245=0,0,$K245-$F245)</f>
        <v>0</v>
      </c>
      <c r="N245" s="537">
        <v>0</v>
      </c>
      <c r="O245" s="163">
        <v>0</v>
      </c>
      <c r="P245" s="163">
        <f>$M245-$O245</f>
        <v>0</v>
      </c>
      <c r="Q245" s="537">
        <f t="shared" si="32"/>
        <v>1</v>
      </c>
      <c r="R245" s="163">
        <f t="shared" si="33"/>
        <v>569475.83080517768</v>
      </c>
    </row>
    <row r="246" spans="1:18" s="130" customFormat="1" ht="21.95" customHeight="1" x14ac:dyDescent="0.2">
      <c r="A246" s="393" t="s">
        <v>140</v>
      </c>
      <c r="B246" s="967" t="s">
        <v>2117</v>
      </c>
      <c r="C246" s="967" t="s">
        <v>2119</v>
      </c>
      <c r="D246" s="366">
        <f>VLOOKUP($B246,'Análise Física Detalhada'!$E$13:$V$380,18,0)</f>
        <v>0</v>
      </c>
      <c r="E246" s="367">
        <f>VLOOKUP($B246,'Análise Física Detalhada'!$E$13:$P$380,12,0)</f>
        <v>0</v>
      </c>
      <c r="F246" s="368">
        <f t="shared" si="35"/>
        <v>0</v>
      </c>
      <c r="G246" s="696">
        <f>SUMIF('[2]Despesas Diretas'!$B$5:$B$9944,$B246,'[2]Despesas Diretas'!$H$5:$H$9944)</f>
        <v>0</v>
      </c>
      <c r="H246" s="696">
        <f>SUMIF('[3]Despesas Diretas'!$B$5:$B$9999,$B246,'[3]Despesas Diretas'!$H$5:$H$9999)</f>
        <v>0</v>
      </c>
      <c r="I246" s="696">
        <f>SUMIF([4]Comprometimento!$B$6:$B$147,$B246,[4]Comprometimento!$E$6:$E$147)</f>
        <v>0</v>
      </c>
      <c r="J246" s="696">
        <f>SUMIF([4]Estoque!$B$6:$B$880,$B246,[4]Estoque!$H$6:$H$880)</f>
        <v>0</v>
      </c>
      <c r="K246" s="697">
        <f t="shared" si="36"/>
        <v>0</v>
      </c>
      <c r="L246" s="698">
        <f t="shared" si="34"/>
        <v>0</v>
      </c>
      <c r="M246" s="699">
        <f t="shared" si="37"/>
        <v>0</v>
      </c>
      <c r="N246" s="698">
        <v>0</v>
      </c>
      <c r="O246" s="699">
        <v>0</v>
      </c>
      <c r="P246" s="699">
        <f t="shared" si="38"/>
        <v>0</v>
      </c>
      <c r="Q246" s="698">
        <f t="shared" si="32"/>
        <v>0</v>
      </c>
      <c r="R246" s="700">
        <f t="shared" si="33"/>
        <v>0</v>
      </c>
    </row>
    <row r="247" spans="1:18" s="130" customFormat="1" ht="21.95" customHeight="1" x14ac:dyDescent="0.2">
      <c r="A247" s="393" t="s">
        <v>140</v>
      </c>
      <c r="B247" s="959" t="s">
        <v>2118</v>
      </c>
      <c r="C247" s="959" t="s">
        <v>2289</v>
      </c>
      <c r="D247" s="366">
        <f>VLOOKUP($B247,'Análise Física Detalhada'!$E$13:$V$380,18,0)</f>
        <v>403520.27657654166</v>
      </c>
      <c r="E247" s="367">
        <f>VLOOKUP($B247,'Análise Física Detalhada'!$E$13:$P$380,12,0)</f>
        <v>0</v>
      </c>
      <c r="F247" s="368">
        <f t="shared" si="35"/>
        <v>0</v>
      </c>
      <c r="G247" s="696">
        <f>SUMIF('[2]Despesas Diretas'!$B$5:$B$9944,$B247,'[2]Despesas Diretas'!$H$5:$H$9944)</f>
        <v>0</v>
      </c>
      <c r="H247" s="696">
        <f>SUMIF('[3]Despesas Diretas'!$B$5:$B$9999,$B247,'[3]Despesas Diretas'!$H$5:$H$9999)</f>
        <v>0</v>
      </c>
      <c r="I247" s="696">
        <f>SUMIF([4]Comprometimento!$B$6:$B$147,$B247,[4]Comprometimento!$E$6:$E$147)</f>
        <v>0</v>
      </c>
      <c r="J247" s="696">
        <f>SUMIF([4]Estoque!$B$6:$B$880,$B247,[4]Estoque!$H$6:$H$880)</f>
        <v>0</v>
      </c>
      <c r="K247" s="697">
        <f t="shared" si="36"/>
        <v>0</v>
      </c>
      <c r="L247" s="698">
        <f t="shared" si="34"/>
        <v>0</v>
      </c>
      <c r="M247" s="699">
        <f t="shared" si="37"/>
        <v>0</v>
      </c>
      <c r="N247" s="698">
        <v>0</v>
      </c>
      <c r="O247" s="699">
        <v>0</v>
      </c>
      <c r="P247" s="699">
        <f t="shared" si="38"/>
        <v>0</v>
      </c>
      <c r="Q247" s="698">
        <f t="shared" si="32"/>
        <v>1</v>
      </c>
      <c r="R247" s="700">
        <f t="shared" si="33"/>
        <v>403520.27657654166</v>
      </c>
    </row>
    <row r="248" spans="1:18" s="130" customFormat="1" ht="21.95" customHeight="1" x14ac:dyDescent="0.2">
      <c r="A248" s="393" t="s">
        <v>140</v>
      </c>
      <c r="B248" s="959" t="s">
        <v>2290</v>
      </c>
      <c r="C248" s="959" t="s">
        <v>2291</v>
      </c>
      <c r="D248" s="366">
        <f>VLOOKUP($B248,'Análise Física Detalhada'!$E$13:$V$380,18,0)</f>
        <v>165955.55422863606</v>
      </c>
      <c r="E248" s="367">
        <f>VLOOKUP($B248,'Análise Física Detalhada'!$E$13:$P$380,12,0)</f>
        <v>0</v>
      </c>
      <c r="F248" s="368">
        <f t="shared" si="35"/>
        <v>0</v>
      </c>
      <c r="G248" s="696">
        <f>SUMIF('[2]Despesas Diretas'!$B$5:$B$9944,$B248,'[2]Despesas Diretas'!$H$5:$H$9944)</f>
        <v>0</v>
      </c>
      <c r="H248" s="696">
        <f>SUMIF('[3]Despesas Diretas'!$B$5:$B$9999,$B248,'[3]Despesas Diretas'!$H$5:$H$9999)</f>
        <v>0</v>
      </c>
      <c r="I248" s="696">
        <f>SUMIF([4]Comprometimento!$B$6:$B$147,$B248,[4]Comprometimento!$E$6:$E$147)</f>
        <v>0</v>
      </c>
      <c r="J248" s="696">
        <f>SUMIF([4]Estoque!$B$6:$B$880,$B248,[4]Estoque!$H$6:$H$880)</f>
        <v>0</v>
      </c>
      <c r="K248" s="697">
        <f t="shared" si="36"/>
        <v>0</v>
      </c>
      <c r="L248" s="698">
        <f t="shared" si="34"/>
        <v>0</v>
      </c>
      <c r="M248" s="699">
        <f t="shared" si="37"/>
        <v>0</v>
      </c>
      <c r="N248" s="698">
        <v>0</v>
      </c>
      <c r="O248" s="699">
        <v>0</v>
      </c>
      <c r="P248" s="699">
        <f t="shared" si="38"/>
        <v>0</v>
      </c>
      <c r="Q248" s="698">
        <f t="shared" si="32"/>
        <v>1</v>
      </c>
      <c r="R248" s="700">
        <f t="shared" si="33"/>
        <v>165955.55422863606</v>
      </c>
    </row>
    <row r="249" spans="1:18" s="130" customFormat="1" ht="21.95" customHeight="1" x14ac:dyDescent="0.2">
      <c r="A249" s="393" t="s">
        <v>141</v>
      </c>
      <c r="B249" s="161" t="s">
        <v>141</v>
      </c>
      <c r="C249" s="161" t="s">
        <v>665</v>
      </c>
      <c r="D249" s="163">
        <f>VLOOKUP($B249,'Análise Física Detalhada'!$E$13:$V$380,18,0)</f>
        <v>59268.460330886417</v>
      </c>
      <c r="E249" s="530">
        <f>F249/D249</f>
        <v>0</v>
      </c>
      <c r="F249" s="1001">
        <f>SUM(F250:F258)</f>
        <v>0</v>
      </c>
      <c r="G249" s="1000">
        <f>SUM(G250:G258)</f>
        <v>0</v>
      </c>
      <c r="H249" s="1000">
        <f t="shared" ref="H249:K249" si="42">SUM(H250:H258)</f>
        <v>0</v>
      </c>
      <c r="I249" s="1000">
        <f t="shared" si="42"/>
        <v>0</v>
      </c>
      <c r="J249" s="1000">
        <f t="shared" si="42"/>
        <v>0</v>
      </c>
      <c r="K249" s="1000">
        <f t="shared" si="42"/>
        <v>0</v>
      </c>
      <c r="L249" s="537">
        <f>IF($F249=0,0,$K249/$F249)</f>
        <v>0</v>
      </c>
      <c r="M249" s="163">
        <f>IF($L249=0,0,$K249-$F249)</f>
        <v>0</v>
      </c>
      <c r="N249" s="537">
        <v>0</v>
      </c>
      <c r="O249" s="163">
        <v>0</v>
      </c>
      <c r="P249" s="163">
        <f>$M249-$O249</f>
        <v>0</v>
      </c>
      <c r="Q249" s="537">
        <f t="shared" si="32"/>
        <v>1</v>
      </c>
      <c r="R249" s="163">
        <f t="shared" si="33"/>
        <v>59268.460330886417</v>
      </c>
    </row>
    <row r="250" spans="1:18" s="130" customFormat="1" ht="21.95" customHeight="1" x14ac:dyDescent="0.2">
      <c r="A250" s="393" t="s">
        <v>141</v>
      </c>
      <c r="B250" s="959" t="s">
        <v>142</v>
      </c>
      <c r="C250" s="959" t="s">
        <v>237</v>
      </c>
      <c r="D250" s="366">
        <f>VLOOKUP($B250,'Análise Física Detalhada'!$E$13:$V$380,18,0)</f>
        <v>9194.1604222356018</v>
      </c>
      <c r="E250" s="367">
        <f>VLOOKUP($B250,'Análise Física Detalhada'!$E$13:$P$380,12,0)</f>
        <v>0</v>
      </c>
      <c r="F250" s="368">
        <f t="shared" si="35"/>
        <v>0</v>
      </c>
      <c r="G250" s="696">
        <f>SUMIF('[2]Despesas Diretas'!$B$5:$B$9944,$B250,'[2]Despesas Diretas'!$H$5:$H$9944)</f>
        <v>0</v>
      </c>
      <c r="H250" s="696">
        <f>SUMIF('[3]Despesas Diretas'!$B$5:$B$9999,$B250,'[3]Despesas Diretas'!$H$5:$H$9999)</f>
        <v>0</v>
      </c>
      <c r="I250" s="696">
        <f>SUMIF([4]Comprometimento!$B$6:$B$147,$B250,[4]Comprometimento!$E$6:$E$147)</f>
        <v>0</v>
      </c>
      <c r="J250" s="696">
        <f>SUMIF([4]Estoque!$B$6:$B$880,$B250,[4]Estoque!$H$6:$H$880)</f>
        <v>0</v>
      </c>
      <c r="K250" s="697">
        <f t="shared" si="36"/>
        <v>0</v>
      </c>
      <c r="L250" s="698">
        <f t="shared" si="34"/>
        <v>0</v>
      </c>
      <c r="M250" s="699">
        <f t="shared" si="37"/>
        <v>0</v>
      </c>
      <c r="N250" s="698">
        <v>0</v>
      </c>
      <c r="O250" s="699">
        <v>0</v>
      </c>
      <c r="P250" s="699">
        <f t="shared" si="38"/>
        <v>0</v>
      </c>
      <c r="Q250" s="698">
        <f t="shared" si="32"/>
        <v>1</v>
      </c>
      <c r="R250" s="700">
        <f t="shared" si="33"/>
        <v>9194.1604222356018</v>
      </c>
    </row>
    <row r="251" spans="1:18" s="130" customFormat="1" ht="21.95" customHeight="1" x14ac:dyDescent="0.2">
      <c r="A251" s="393" t="s">
        <v>141</v>
      </c>
      <c r="B251" s="959" t="s">
        <v>143</v>
      </c>
      <c r="C251" s="959" t="s">
        <v>495</v>
      </c>
      <c r="D251" s="366">
        <f>VLOOKUP($B251,'Análise Física Detalhada'!$E$13:$V$380,18,0)</f>
        <v>1842.2137092816001</v>
      </c>
      <c r="E251" s="367">
        <f>VLOOKUP($B251,'Análise Física Detalhada'!$E$13:$P$380,12,0)</f>
        <v>0</v>
      </c>
      <c r="F251" s="368">
        <f t="shared" si="35"/>
        <v>0</v>
      </c>
      <c r="G251" s="696">
        <f>SUMIF('[2]Despesas Diretas'!$B$5:$B$9944,$B251,'[2]Despesas Diretas'!$H$5:$H$9944)</f>
        <v>0</v>
      </c>
      <c r="H251" s="696">
        <f>SUMIF('[3]Despesas Diretas'!$B$5:$B$9999,$B251,'[3]Despesas Diretas'!$H$5:$H$9999)</f>
        <v>0</v>
      </c>
      <c r="I251" s="696">
        <f>SUMIF([4]Comprometimento!$B$6:$B$147,$B251,[4]Comprometimento!$E$6:$E$147)</f>
        <v>0</v>
      </c>
      <c r="J251" s="696">
        <f>SUMIF([4]Estoque!$B$6:$B$880,$B251,[4]Estoque!$H$6:$H$880)</f>
        <v>0</v>
      </c>
      <c r="K251" s="697">
        <f t="shared" si="36"/>
        <v>0</v>
      </c>
      <c r="L251" s="698">
        <f t="shared" si="34"/>
        <v>0</v>
      </c>
      <c r="M251" s="699">
        <f t="shared" si="37"/>
        <v>0</v>
      </c>
      <c r="N251" s="698">
        <v>0</v>
      </c>
      <c r="O251" s="699">
        <v>0</v>
      </c>
      <c r="P251" s="699">
        <f t="shared" si="38"/>
        <v>0</v>
      </c>
      <c r="Q251" s="698">
        <f t="shared" si="32"/>
        <v>1</v>
      </c>
      <c r="R251" s="700">
        <f t="shared" si="33"/>
        <v>1842.2137092816001</v>
      </c>
    </row>
    <row r="252" spans="1:18" s="130" customFormat="1" ht="21.95" customHeight="1" x14ac:dyDescent="0.2">
      <c r="A252" s="393" t="s">
        <v>141</v>
      </c>
      <c r="B252" s="959" t="s">
        <v>144</v>
      </c>
      <c r="C252" s="959" t="s">
        <v>788</v>
      </c>
      <c r="D252" s="366">
        <f>VLOOKUP($B252,'Análise Física Detalhada'!$E$13:$V$380,18,0)</f>
        <v>1062.134811828</v>
      </c>
      <c r="E252" s="367">
        <f>VLOOKUP($B252,'Análise Física Detalhada'!$E$13:$P$380,12,0)</f>
        <v>0</v>
      </c>
      <c r="F252" s="368">
        <f t="shared" si="35"/>
        <v>0</v>
      </c>
      <c r="G252" s="696">
        <f>SUMIF('[2]Despesas Diretas'!$B$5:$B$9944,$B252,'[2]Despesas Diretas'!$H$5:$H$9944)</f>
        <v>0</v>
      </c>
      <c r="H252" s="696">
        <f>SUMIF('[3]Despesas Diretas'!$B$5:$B$9999,$B252,'[3]Despesas Diretas'!$H$5:$H$9999)</f>
        <v>0</v>
      </c>
      <c r="I252" s="696">
        <f>SUMIF([4]Comprometimento!$B$6:$B$147,$B252,[4]Comprometimento!$E$6:$E$147)</f>
        <v>0</v>
      </c>
      <c r="J252" s="696">
        <f>SUMIF([4]Estoque!$B$6:$B$880,$B252,[4]Estoque!$H$6:$H$880)</f>
        <v>0</v>
      </c>
      <c r="K252" s="697">
        <f t="shared" si="36"/>
        <v>0</v>
      </c>
      <c r="L252" s="698">
        <f t="shared" si="34"/>
        <v>0</v>
      </c>
      <c r="M252" s="699">
        <f t="shared" si="37"/>
        <v>0</v>
      </c>
      <c r="N252" s="698">
        <v>0</v>
      </c>
      <c r="O252" s="699">
        <v>0</v>
      </c>
      <c r="P252" s="699">
        <f t="shared" si="38"/>
        <v>0</v>
      </c>
      <c r="Q252" s="698">
        <f t="shared" si="32"/>
        <v>1</v>
      </c>
      <c r="R252" s="700">
        <f t="shared" si="33"/>
        <v>1062.134811828</v>
      </c>
    </row>
    <row r="253" spans="1:18" s="130" customFormat="1" ht="21.95" customHeight="1" x14ac:dyDescent="0.2">
      <c r="A253" s="393" t="s">
        <v>141</v>
      </c>
      <c r="B253" s="959" t="s">
        <v>666</v>
      </c>
      <c r="C253" s="959" t="s">
        <v>1492</v>
      </c>
      <c r="D253" s="366">
        <f>VLOOKUP($B253,'Análise Física Detalhada'!$E$13:$V$380,18,0)</f>
        <v>11423.017548000002</v>
      </c>
      <c r="E253" s="367">
        <f>VLOOKUP($B253,'Análise Física Detalhada'!$E$13:$P$380,12,0)</f>
        <v>0</v>
      </c>
      <c r="F253" s="368">
        <f t="shared" si="35"/>
        <v>0</v>
      </c>
      <c r="G253" s="696">
        <f>SUMIF('[2]Despesas Diretas'!$B$5:$B$9944,$B253,'[2]Despesas Diretas'!$H$5:$H$9944)</f>
        <v>0</v>
      </c>
      <c r="H253" s="696">
        <f>SUMIF('[3]Despesas Diretas'!$B$5:$B$9999,$B253,'[3]Despesas Diretas'!$H$5:$H$9999)</f>
        <v>0</v>
      </c>
      <c r="I253" s="696">
        <f>SUMIF([4]Comprometimento!$B$6:$B$147,$B253,[4]Comprometimento!$E$6:$E$147)</f>
        <v>0</v>
      </c>
      <c r="J253" s="696">
        <f>SUMIF([4]Estoque!$B$6:$B$880,$B253,[4]Estoque!$H$6:$H$880)</f>
        <v>0</v>
      </c>
      <c r="K253" s="697">
        <f t="shared" si="36"/>
        <v>0</v>
      </c>
      <c r="L253" s="698">
        <f t="shared" si="34"/>
        <v>0</v>
      </c>
      <c r="M253" s="699">
        <f t="shared" si="37"/>
        <v>0</v>
      </c>
      <c r="N253" s="698">
        <v>0</v>
      </c>
      <c r="O253" s="699">
        <v>0</v>
      </c>
      <c r="P253" s="699">
        <f t="shared" si="38"/>
        <v>0</v>
      </c>
      <c r="Q253" s="698">
        <f t="shared" si="32"/>
        <v>1</v>
      </c>
      <c r="R253" s="700">
        <f t="shared" si="33"/>
        <v>11423.017548000002</v>
      </c>
    </row>
    <row r="254" spans="1:18" s="130" customFormat="1" ht="21.95" customHeight="1" x14ac:dyDescent="0.2">
      <c r="A254" s="393" t="s">
        <v>141</v>
      </c>
      <c r="B254" s="959" t="s">
        <v>667</v>
      </c>
      <c r="C254" s="959" t="s">
        <v>2292</v>
      </c>
      <c r="D254" s="366">
        <f>VLOOKUP($B254,'Análise Física Detalhada'!$E$13:$V$380,18,0)</f>
        <v>12744.228456018003</v>
      </c>
      <c r="E254" s="367">
        <f>VLOOKUP($B254,'Análise Física Detalhada'!$E$13:$P$380,12,0)</f>
        <v>0</v>
      </c>
      <c r="F254" s="368">
        <f t="shared" si="35"/>
        <v>0</v>
      </c>
      <c r="G254" s="696">
        <f>SUMIF('[2]Despesas Diretas'!$B$5:$B$9944,$B254,'[2]Despesas Diretas'!$H$5:$H$9944)</f>
        <v>0</v>
      </c>
      <c r="H254" s="696">
        <f>SUMIF('[3]Despesas Diretas'!$B$5:$B$9999,$B254,'[3]Despesas Diretas'!$H$5:$H$9999)</f>
        <v>0</v>
      </c>
      <c r="I254" s="696">
        <f>SUMIF([4]Comprometimento!$B$6:$B$147,$B254,[4]Comprometimento!$E$6:$E$147)</f>
        <v>0</v>
      </c>
      <c r="J254" s="696">
        <f>SUMIF([4]Estoque!$B$6:$B$880,$B254,[4]Estoque!$H$6:$H$880)</f>
        <v>0</v>
      </c>
      <c r="K254" s="697">
        <f t="shared" si="36"/>
        <v>0</v>
      </c>
      <c r="L254" s="698">
        <f t="shared" si="34"/>
        <v>0</v>
      </c>
      <c r="M254" s="699">
        <f t="shared" si="37"/>
        <v>0</v>
      </c>
      <c r="N254" s="698">
        <v>0</v>
      </c>
      <c r="O254" s="699">
        <v>0</v>
      </c>
      <c r="P254" s="699">
        <f t="shared" si="38"/>
        <v>0</v>
      </c>
      <c r="Q254" s="698">
        <f t="shared" si="32"/>
        <v>1</v>
      </c>
      <c r="R254" s="700">
        <f t="shared" si="33"/>
        <v>12744.228456018003</v>
      </c>
    </row>
    <row r="255" spans="1:18" s="130" customFormat="1" ht="21.95" customHeight="1" x14ac:dyDescent="0.2">
      <c r="A255" s="393" t="s">
        <v>141</v>
      </c>
      <c r="B255" s="959" t="s">
        <v>668</v>
      </c>
      <c r="C255" s="959" t="s">
        <v>2293</v>
      </c>
      <c r="D255" s="366">
        <f>VLOOKUP($B255,'Análise Física Detalhada'!$E$13:$V$380,18,0)</f>
        <v>3389.8576399200006</v>
      </c>
      <c r="E255" s="367">
        <f>VLOOKUP($B255,'Análise Física Detalhada'!$E$13:$P$380,12,0)</f>
        <v>0</v>
      </c>
      <c r="F255" s="368">
        <f t="shared" si="35"/>
        <v>0</v>
      </c>
      <c r="G255" s="696">
        <f>SUMIF('[2]Despesas Diretas'!$B$5:$B$9944,$B255,'[2]Despesas Diretas'!$H$5:$H$9944)</f>
        <v>0</v>
      </c>
      <c r="H255" s="696">
        <f>SUMIF('[3]Despesas Diretas'!$B$5:$B$9999,$B255,'[3]Despesas Diretas'!$H$5:$H$9999)</f>
        <v>0</v>
      </c>
      <c r="I255" s="696">
        <f>SUMIF([4]Comprometimento!$B$6:$B$147,$B255,[4]Comprometimento!$E$6:$E$147)</f>
        <v>0</v>
      </c>
      <c r="J255" s="696">
        <f>SUMIF([4]Estoque!$B$6:$B$880,$B255,[4]Estoque!$H$6:$H$880)</f>
        <v>0</v>
      </c>
      <c r="K255" s="697">
        <f t="shared" si="36"/>
        <v>0</v>
      </c>
      <c r="L255" s="698">
        <f t="shared" si="34"/>
        <v>0</v>
      </c>
      <c r="M255" s="699">
        <f t="shared" si="37"/>
        <v>0</v>
      </c>
      <c r="N255" s="698">
        <v>0</v>
      </c>
      <c r="O255" s="699">
        <v>0</v>
      </c>
      <c r="P255" s="699">
        <f t="shared" si="38"/>
        <v>0</v>
      </c>
      <c r="Q255" s="698">
        <f t="shared" si="32"/>
        <v>1</v>
      </c>
      <c r="R255" s="700">
        <f t="shared" si="33"/>
        <v>3389.8576399200006</v>
      </c>
    </row>
    <row r="256" spans="1:18" s="130" customFormat="1" ht="21.95" customHeight="1" x14ac:dyDescent="0.2">
      <c r="A256" s="393" t="s">
        <v>141</v>
      </c>
      <c r="B256" s="959" t="s">
        <v>669</v>
      </c>
      <c r="C256" s="959" t="s">
        <v>2294</v>
      </c>
      <c r="D256" s="366">
        <f>VLOOKUP($B256,'Análise Física Detalhada'!$E$13:$V$380,18,0)</f>
        <v>1029.10068</v>
      </c>
      <c r="E256" s="367">
        <f>VLOOKUP($B256,'Análise Física Detalhada'!$E$13:$P$380,12,0)</f>
        <v>0</v>
      </c>
      <c r="F256" s="368">
        <f t="shared" si="35"/>
        <v>0</v>
      </c>
      <c r="G256" s="696">
        <f>SUMIF('[2]Despesas Diretas'!$B$5:$B$9944,$B256,'[2]Despesas Diretas'!$H$5:$H$9944)</f>
        <v>0</v>
      </c>
      <c r="H256" s="696">
        <f>SUMIF('[3]Despesas Diretas'!$B$5:$B$9999,$B256,'[3]Despesas Diretas'!$H$5:$H$9999)</f>
        <v>0</v>
      </c>
      <c r="I256" s="696">
        <f>SUMIF([4]Comprometimento!$B$6:$B$147,$B256,[4]Comprometimento!$E$6:$E$147)</f>
        <v>0</v>
      </c>
      <c r="J256" s="696">
        <f>SUMIF([4]Estoque!$B$6:$B$880,$B256,[4]Estoque!$H$6:$H$880)</f>
        <v>0</v>
      </c>
      <c r="K256" s="697">
        <f t="shared" si="36"/>
        <v>0</v>
      </c>
      <c r="L256" s="698">
        <f t="shared" si="34"/>
        <v>0</v>
      </c>
      <c r="M256" s="699">
        <f t="shared" si="37"/>
        <v>0</v>
      </c>
      <c r="N256" s="698">
        <v>0</v>
      </c>
      <c r="O256" s="699">
        <v>0</v>
      </c>
      <c r="P256" s="699">
        <f t="shared" si="38"/>
        <v>0</v>
      </c>
      <c r="Q256" s="698">
        <f t="shared" si="32"/>
        <v>1</v>
      </c>
      <c r="R256" s="700">
        <f t="shared" si="33"/>
        <v>1029.10068</v>
      </c>
    </row>
    <row r="257" spans="1:18" s="130" customFormat="1" ht="21.95" customHeight="1" x14ac:dyDescent="0.2">
      <c r="A257" s="393" t="s">
        <v>141</v>
      </c>
      <c r="B257" s="959" t="s">
        <v>2120</v>
      </c>
      <c r="C257" s="959" t="s">
        <v>2121</v>
      </c>
      <c r="D257" s="366">
        <f>VLOOKUP($B257,'Análise Física Detalhada'!$E$13:$V$380,18,0)</f>
        <v>8232.8054400000001</v>
      </c>
      <c r="E257" s="367">
        <f>VLOOKUP($B257,'Análise Física Detalhada'!$E$13:$P$380,12,0)</f>
        <v>0</v>
      </c>
      <c r="F257" s="368">
        <f t="shared" si="35"/>
        <v>0</v>
      </c>
      <c r="G257" s="696">
        <f>SUMIF('[2]Despesas Diretas'!$B$5:$B$9944,$B257,'[2]Despesas Diretas'!$H$5:$H$9944)</f>
        <v>0</v>
      </c>
      <c r="H257" s="696">
        <f>SUMIF('[3]Despesas Diretas'!$B$5:$B$9999,$B257,'[3]Despesas Diretas'!$H$5:$H$9999)</f>
        <v>0</v>
      </c>
      <c r="I257" s="696">
        <f>SUMIF([4]Comprometimento!$B$6:$B$147,$B257,[4]Comprometimento!$E$6:$E$147)</f>
        <v>0</v>
      </c>
      <c r="J257" s="696">
        <f>SUMIF([4]Estoque!$B$6:$B$880,$B257,[4]Estoque!$H$6:$H$880)</f>
        <v>0</v>
      </c>
      <c r="K257" s="697">
        <f t="shared" si="36"/>
        <v>0</v>
      </c>
      <c r="L257" s="698">
        <f t="shared" si="34"/>
        <v>0</v>
      </c>
      <c r="M257" s="699">
        <f t="shared" si="37"/>
        <v>0</v>
      </c>
      <c r="N257" s="698">
        <v>0</v>
      </c>
      <c r="O257" s="699">
        <v>0</v>
      </c>
      <c r="P257" s="699">
        <f t="shared" si="38"/>
        <v>0</v>
      </c>
      <c r="Q257" s="698">
        <f t="shared" si="32"/>
        <v>1</v>
      </c>
      <c r="R257" s="700">
        <f t="shared" si="33"/>
        <v>8232.8054400000001</v>
      </c>
    </row>
    <row r="258" spans="1:18" s="130" customFormat="1" ht="21.95" customHeight="1" x14ac:dyDescent="0.2">
      <c r="A258" s="393" t="s">
        <v>141</v>
      </c>
      <c r="B258" s="959" t="s">
        <v>2295</v>
      </c>
      <c r="C258" s="959" t="s">
        <v>2296</v>
      </c>
      <c r="D258" s="366">
        <f>VLOOKUP($B258,'Análise Física Detalhada'!$E$13:$V$380,18,0)</f>
        <v>10350.941623603201</v>
      </c>
      <c r="E258" s="367">
        <f>VLOOKUP($B258,'Análise Física Detalhada'!$E$13:$P$380,12,0)</f>
        <v>0</v>
      </c>
      <c r="F258" s="368">
        <f t="shared" si="35"/>
        <v>0</v>
      </c>
      <c r="G258" s="696">
        <f>SUMIF('[2]Despesas Diretas'!$B$5:$B$9944,$B258,'[2]Despesas Diretas'!$H$5:$H$9944)</f>
        <v>0</v>
      </c>
      <c r="H258" s="696">
        <f>SUMIF('[3]Despesas Diretas'!$B$5:$B$9999,$B258,'[3]Despesas Diretas'!$H$5:$H$9999)</f>
        <v>0</v>
      </c>
      <c r="I258" s="696">
        <f>SUMIF([4]Comprometimento!$B$6:$B$147,$B258,[4]Comprometimento!$E$6:$E$147)</f>
        <v>0</v>
      </c>
      <c r="J258" s="696">
        <f>SUMIF([4]Estoque!$B$6:$B$880,$B258,[4]Estoque!$H$6:$H$880)</f>
        <v>0</v>
      </c>
      <c r="K258" s="697">
        <f t="shared" si="36"/>
        <v>0</v>
      </c>
      <c r="L258" s="698">
        <f t="shared" si="34"/>
        <v>0</v>
      </c>
      <c r="M258" s="699">
        <f t="shared" si="37"/>
        <v>0</v>
      </c>
      <c r="N258" s="698">
        <v>0</v>
      </c>
      <c r="O258" s="699">
        <v>0</v>
      </c>
      <c r="P258" s="699">
        <f t="shared" si="38"/>
        <v>0</v>
      </c>
      <c r="Q258" s="698">
        <f t="shared" si="32"/>
        <v>1</v>
      </c>
      <c r="R258" s="700">
        <f t="shared" si="33"/>
        <v>10350.941623603201</v>
      </c>
    </row>
    <row r="259" spans="1:18" s="130" customFormat="1" ht="21.95" customHeight="1" x14ac:dyDescent="0.2">
      <c r="A259" s="393" t="s">
        <v>145</v>
      </c>
      <c r="B259" s="161" t="s">
        <v>145</v>
      </c>
      <c r="C259" s="161" t="s">
        <v>670</v>
      </c>
      <c r="D259" s="163">
        <f>VLOOKUP($B259,'Análise Física Detalhada'!$E$13:$V$380,18,0)</f>
        <v>73036.458725382006</v>
      </c>
      <c r="E259" s="530">
        <f>F259/D259</f>
        <v>0</v>
      </c>
      <c r="F259" s="1001">
        <f>SUM(F260:F273)</f>
        <v>0</v>
      </c>
      <c r="G259" s="1000">
        <f>SUM(G260:G273)</f>
        <v>0</v>
      </c>
      <c r="H259" s="1000">
        <f t="shared" ref="H259:K259" si="43">SUM(H260:H273)</f>
        <v>0</v>
      </c>
      <c r="I259" s="1000">
        <f t="shared" si="43"/>
        <v>0</v>
      </c>
      <c r="J259" s="1000">
        <f t="shared" si="43"/>
        <v>0</v>
      </c>
      <c r="K259" s="1000">
        <f t="shared" si="43"/>
        <v>0</v>
      </c>
      <c r="L259" s="537">
        <f>IF($F259=0,0,$K259/$F259)</f>
        <v>0</v>
      </c>
      <c r="M259" s="163">
        <f>IF($L259=0,0,$K259-$F259)</f>
        <v>0</v>
      </c>
      <c r="N259" s="537">
        <v>0</v>
      </c>
      <c r="O259" s="163">
        <v>0</v>
      </c>
      <c r="P259" s="163">
        <f>$M259-$O259</f>
        <v>0</v>
      </c>
      <c r="Q259" s="537">
        <f t="shared" si="32"/>
        <v>1</v>
      </c>
      <c r="R259" s="163">
        <f t="shared" si="33"/>
        <v>73036.458725382006</v>
      </c>
    </row>
    <row r="260" spans="1:18" s="130" customFormat="1" ht="21.95" customHeight="1" x14ac:dyDescent="0.2">
      <c r="A260" s="393" t="s">
        <v>145</v>
      </c>
      <c r="B260" s="967" t="s">
        <v>244</v>
      </c>
      <c r="C260" s="967" t="s">
        <v>236</v>
      </c>
      <c r="D260" s="366">
        <f>VLOOKUP($B260,'Análise Física Detalhada'!$E$13:$V$380,18,0)</f>
        <v>0</v>
      </c>
      <c r="E260" s="367">
        <f>VLOOKUP($B260,'Análise Física Detalhada'!$E$13:$P$380,12,0)</f>
        <v>0</v>
      </c>
      <c r="F260" s="368">
        <f t="shared" si="35"/>
        <v>0</v>
      </c>
      <c r="G260" s="696">
        <f>SUMIF('[2]Despesas Diretas'!$B$5:$B$9944,$B260,'[2]Despesas Diretas'!$H$5:$H$9944)</f>
        <v>0</v>
      </c>
      <c r="H260" s="696">
        <f>SUMIF('[3]Despesas Diretas'!$B$5:$B$9999,$B260,'[3]Despesas Diretas'!$H$5:$H$9999)</f>
        <v>0</v>
      </c>
      <c r="I260" s="696">
        <f>SUMIF([4]Comprometimento!$B$6:$B$147,$B260,[4]Comprometimento!$E$6:$E$147)</f>
        <v>0</v>
      </c>
      <c r="J260" s="696">
        <f>SUMIF([4]Estoque!$B$6:$B$880,$B260,[4]Estoque!$H$6:$H$880)</f>
        <v>0</v>
      </c>
      <c r="K260" s="697">
        <f t="shared" si="36"/>
        <v>0</v>
      </c>
      <c r="L260" s="698">
        <f t="shared" si="34"/>
        <v>0</v>
      </c>
      <c r="M260" s="699">
        <f t="shared" si="37"/>
        <v>0</v>
      </c>
      <c r="N260" s="698">
        <v>0</v>
      </c>
      <c r="O260" s="699">
        <v>0</v>
      </c>
      <c r="P260" s="699">
        <f t="shared" si="38"/>
        <v>0</v>
      </c>
      <c r="Q260" s="698">
        <f t="shared" si="32"/>
        <v>0</v>
      </c>
      <c r="R260" s="700">
        <f t="shared" si="33"/>
        <v>0</v>
      </c>
    </row>
    <row r="261" spans="1:18" s="130" customFormat="1" ht="21.95" customHeight="1" x14ac:dyDescent="0.2">
      <c r="A261" s="393" t="s">
        <v>145</v>
      </c>
      <c r="B261" s="959" t="s">
        <v>245</v>
      </c>
      <c r="C261" s="959" t="s">
        <v>1496</v>
      </c>
      <c r="D261" s="366">
        <f>VLOOKUP($B261,'Análise Física Detalhada'!$E$13:$V$380,18,0)</f>
        <v>10831.408149081602</v>
      </c>
      <c r="E261" s="367">
        <f>VLOOKUP($B261,'Análise Física Detalhada'!$E$13:$P$380,12,0)</f>
        <v>0</v>
      </c>
      <c r="F261" s="368">
        <f t="shared" si="35"/>
        <v>0</v>
      </c>
      <c r="G261" s="696">
        <f>SUMIF('[2]Despesas Diretas'!$B$5:$B$9944,$B261,'[2]Despesas Diretas'!$H$5:$H$9944)</f>
        <v>0</v>
      </c>
      <c r="H261" s="696">
        <f>SUMIF('[3]Despesas Diretas'!$B$5:$B$9999,$B261,'[3]Despesas Diretas'!$H$5:$H$9999)</f>
        <v>0</v>
      </c>
      <c r="I261" s="696">
        <f>SUMIF([4]Comprometimento!$B$6:$B$147,$B261,[4]Comprometimento!$E$6:$E$147)</f>
        <v>0</v>
      </c>
      <c r="J261" s="696">
        <f>SUMIF([4]Estoque!$B$6:$B$880,$B261,[4]Estoque!$H$6:$H$880)</f>
        <v>0</v>
      </c>
      <c r="K261" s="697">
        <f t="shared" si="36"/>
        <v>0</v>
      </c>
      <c r="L261" s="698">
        <f t="shared" si="34"/>
        <v>0</v>
      </c>
      <c r="M261" s="699">
        <f t="shared" si="37"/>
        <v>0</v>
      </c>
      <c r="N261" s="698">
        <v>0</v>
      </c>
      <c r="O261" s="699">
        <v>0</v>
      </c>
      <c r="P261" s="699">
        <f t="shared" si="38"/>
        <v>0</v>
      </c>
      <c r="Q261" s="698">
        <f t="shared" si="32"/>
        <v>1</v>
      </c>
      <c r="R261" s="700">
        <f t="shared" si="33"/>
        <v>10831.408149081602</v>
      </c>
    </row>
    <row r="262" spans="1:18" s="130" customFormat="1" ht="21.95" customHeight="1" x14ac:dyDescent="0.2">
      <c r="A262" s="393" t="s">
        <v>145</v>
      </c>
      <c r="B262" s="959" t="s">
        <v>246</v>
      </c>
      <c r="C262" s="959" t="s">
        <v>1497</v>
      </c>
      <c r="D262" s="366">
        <f>VLOOKUP($B262,'Análise Física Detalhada'!$E$13:$V$380,18,0)</f>
        <v>30626.725734255604</v>
      </c>
      <c r="E262" s="367">
        <f>VLOOKUP($B262,'Análise Física Detalhada'!$E$13:$P$380,12,0)</f>
        <v>0</v>
      </c>
      <c r="F262" s="368">
        <f t="shared" si="35"/>
        <v>0</v>
      </c>
      <c r="G262" s="696">
        <f>SUMIF('[2]Despesas Diretas'!$B$5:$B$9944,$B262,'[2]Despesas Diretas'!$H$5:$H$9944)</f>
        <v>0</v>
      </c>
      <c r="H262" s="696">
        <f>SUMIF('[3]Despesas Diretas'!$B$5:$B$9999,$B262,'[3]Despesas Diretas'!$H$5:$H$9999)</f>
        <v>0</v>
      </c>
      <c r="I262" s="696">
        <f>SUMIF([4]Comprometimento!$B$6:$B$147,$B262,[4]Comprometimento!$E$6:$E$147)</f>
        <v>0</v>
      </c>
      <c r="J262" s="696">
        <f>SUMIF([4]Estoque!$B$6:$B$880,$B262,[4]Estoque!$H$6:$H$880)</f>
        <v>0</v>
      </c>
      <c r="K262" s="697">
        <f t="shared" si="36"/>
        <v>0</v>
      </c>
      <c r="L262" s="698">
        <f t="shared" si="34"/>
        <v>0</v>
      </c>
      <c r="M262" s="699">
        <f t="shared" si="37"/>
        <v>0</v>
      </c>
      <c r="N262" s="698">
        <v>0</v>
      </c>
      <c r="O262" s="699">
        <v>0</v>
      </c>
      <c r="P262" s="699">
        <f t="shared" si="38"/>
        <v>0</v>
      </c>
      <c r="Q262" s="698">
        <f t="shared" si="32"/>
        <v>1</v>
      </c>
      <c r="R262" s="700">
        <f t="shared" si="33"/>
        <v>30626.725734255604</v>
      </c>
    </row>
    <row r="263" spans="1:18" s="130" customFormat="1" ht="21.95" customHeight="1" x14ac:dyDescent="0.2">
      <c r="A263" s="393" t="s">
        <v>145</v>
      </c>
      <c r="B263" s="959" t="s">
        <v>671</v>
      </c>
      <c r="C263" s="959" t="s">
        <v>1498</v>
      </c>
      <c r="D263" s="366">
        <f>VLOOKUP($B263,'Análise Física Detalhada'!$E$13:$V$380,18,0)</f>
        <v>7332.3217629864002</v>
      </c>
      <c r="E263" s="367">
        <f>VLOOKUP($B263,'Análise Física Detalhada'!$E$13:$P$380,12,0)</f>
        <v>0</v>
      </c>
      <c r="F263" s="368">
        <f t="shared" si="35"/>
        <v>0</v>
      </c>
      <c r="G263" s="696">
        <f>SUMIF('[2]Despesas Diretas'!$B$5:$B$9944,$B263,'[2]Despesas Diretas'!$H$5:$H$9944)</f>
        <v>0</v>
      </c>
      <c r="H263" s="696">
        <f>SUMIF('[3]Despesas Diretas'!$B$5:$B$9999,$B263,'[3]Despesas Diretas'!$H$5:$H$9999)</f>
        <v>0</v>
      </c>
      <c r="I263" s="696">
        <f>SUMIF([4]Comprometimento!$B$6:$B$147,$B263,[4]Comprometimento!$E$6:$E$147)</f>
        <v>0</v>
      </c>
      <c r="J263" s="696">
        <f>SUMIF([4]Estoque!$B$6:$B$880,$B263,[4]Estoque!$H$6:$H$880)</f>
        <v>0</v>
      </c>
      <c r="K263" s="697">
        <f t="shared" si="36"/>
        <v>0</v>
      </c>
      <c r="L263" s="698">
        <f t="shared" si="34"/>
        <v>0</v>
      </c>
      <c r="M263" s="699">
        <f t="shared" si="37"/>
        <v>0</v>
      </c>
      <c r="N263" s="698">
        <v>0</v>
      </c>
      <c r="O263" s="699">
        <v>0</v>
      </c>
      <c r="P263" s="699">
        <f t="shared" si="38"/>
        <v>0</v>
      </c>
      <c r="Q263" s="698">
        <f t="shared" si="32"/>
        <v>1</v>
      </c>
      <c r="R263" s="700">
        <f t="shared" si="33"/>
        <v>7332.3217629864002</v>
      </c>
    </row>
    <row r="264" spans="1:18" s="130" customFormat="1" ht="21.95" customHeight="1" x14ac:dyDescent="0.2">
      <c r="A264" s="393" t="s">
        <v>145</v>
      </c>
      <c r="B264" s="959" t="s">
        <v>672</v>
      </c>
      <c r="C264" s="959" t="s">
        <v>2297</v>
      </c>
      <c r="D264" s="366">
        <f>VLOOKUP($B264,'Análise Física Detalhada'!$E$13:$V$380,18,0)</f>
        <v>564.02950069440021</v>
      </c>
      <c r="E264" s="367">
        <f>VLOOKUP($B264,'Análise Física Detalhada'!$E$13:$P$380,12,0)</f>
        <v>0</v>
      </c>
      <c r="F264" s="368">
        <f t="shared" si="35"/>
        <v>0</v>
      </c>
      <c r="G264" s="696">
        <f>SUMIF('[2]Despesas Diretas'!$B$5:$B$9944,$B264,'[2]Despesas Diretas'!$H$5:$H$9944)</f>
        <v>0</v>
      </c>
      <c r="H264" s="696">
        <f>SUMIF('[3]Despesas Diretas'!$B$5:$B$9999,$B264,'[3]Despesas Diretas'!$H$5:$H$9999)</f>
        <v>0</v>
      </c>
      <c r="I264" s="696">
        <f>SUMIF([4]Comprometimento!$B$6:$B$147,$B264,[4]Comprometimento!$E$6:$E$147)</f>
        <v>0</v>
      </c>
      <c r="J264" s="696">
        <f>SUMIF([4]Estoque!$B$6:$B$880,$B264,[4]Estoque!$H$6:$H$880)</f>
        <v>0</v>
      </c>
      <c r="K264" s="697">
        <f t="shared" si="36"/>
        <v>0</v>
      </c>
      <c r="L264" s="698">
        <f t="shared" si="34"/>
        <v>0</v>
      </c>
      <c r="M264" s="699">
        <f t="shared" si="37"/>
        <v>0</v>
      </c>
      <c r="N264" s="698">
        <v>0</v>
      </c>
      <c r="O264" s="699">
        <v>0</v>
      </c>
      <c r="P264" s="699">
        <f t="shared" si="38"/>
        <v>0</v>
      </c>
      <c r="Q264" s="698">
        <f t="shared" ref="Q264:Q327" si="44">IF($D264=0,0,IF(($F264/$D264)&lt;20%,1,IF($D264=0,0,IF(($F264/$D264)=1,$L264,IF(($F264/$D264)=0,1,IF($L264&lt;1,(+$L264*($F264/$D264))+(1-((1-$L264)/2))*(1-($F264/$D264)),(+$L264*($F264/$D264))+(1+(($L264-1)/2))*(1-($F264/$D264))))))))</f>
        <v>1</v>
      </c>
      <c r="R264" s="700">
        <f t="shared" ref="R264:R327" si="45">IF($Q264="","",$Q264*$D264)</f>
        <v>564.02950069440021</v>
      </c>
    </row>
    <row r="265" spans="1:18" s="130" customFormat="1" ht="21.95" customHeight="1" x14ac:dyDescent="0.2">
      <c r="A265" s="393" t="s">
        <v>145</v>
      </c>
      <c r="B265" s="959" t="s">
        <v>673</v>
      </c>
      <c r="C265" s="959" t="s">
        <v>2298</v>
      </c>
      <c r="D265" s="366">
        <f>VLOOKUP($B265,'Análise Física Detalhada'!$E$13:$V$380,18,0)</f>
        <v>13079.910806827202</v>
      </c>
      <c r="E265" s="367">
        <f>VLOOKUP($B265,'Análise Física Detalhada'!$E$13:$P$380,12,0)</f>
        <v>0</v>
      </c>
      <c r="F265" s="368">
        <f t="shared" si="35"/>
        <v>0</v>
      </c>
      <c r="G265" s="696">
        <f>SUMIF('[2]Despesas Diretas'!$B$5:$B$9944,$B265,'[2]Despesas Diretas'!$H$5:$H$9944)</f>
        <v>0</v>
      </c>
      <c r="H265" s="696">
        <f>SUMIF('[3]Despesas Diretas'!$B$5:$B$9999,$B265,'[3]Despesas Diretas'!$H$5:$H$9999)</f>
        <v>0</v>
      </c>
      <c r="I265" s="696">
        <f>SUMIF([4]Comprometimento!$B$6:$B$147,$B265,[4]Comprometimento!$E$6:$E$147)</f>
        <v>0</v>
      </c>
      <c r="J265" s="696">
        <f>SUMIF([4]Estoque!$B$6:$B$880,$B265,[4]Estoque!$H$6:$H$880)</f>
        <v>0</v>
      </c>
      <c r="K265" s="697">
        <f t="shared" si="36"/>
        <v>0</v>
      </c>
      <c r="L265" s="698">
        <f t="shared" ref="L265:L328" si="46">IF($F265=0,0,$K265/$F265)</f>
        <v>0</v>
      </c>
      <c r="M265" s="699">
        <f t="shared" si="37"/>
        <v>0</v>
      </c>
      <c r="N265" s="698">
        <v>0</v>
      </c>
      <c r="O265" s="699">
        <v>0</v>
      </c>
      <c r="P265" s="699">
        <f t="shared" si="38"/>
        <v>0</v>
      </c>
      <c r="Q265" s="698">
        <f t="shared" si="44"/>
        <v>1</v>
      </c>
      <c r="R265" s="700">
        <f t="shared" si="45"/>
        <v>13079.910806827202</v>
      </c>
    </row>
    <row r="266" spans="1:18" s="130" customFormat="1" ht="21.95" customHeight="1" x14ac:dyDescent="0.2">
      <c r="A266" s="393" t="s">
        <v>145</v>
      </c>
      <c r="B266" s="967" t="s">
        <v>247</v>
      </c>
      <c r="C266" s="967" t="s">
        <v>242</v>
      </c>
      <c r="D266" s="366">
        <f>VLOOKUP($B266,'Análise Física Detalhada'!$E$13:$V$380,18,0)</f>
        <v>0</v>
      </c>
      <c r="E266" s="367">
        <f>VLOOKUP($B266,'Análise Física Detalhada'!$E$13:$P$380,12,0)</f>
        <v>0</v>
      </c>
      <c r="F266" s="368">
        <f t="shared" ref="F266:F329" si="47">E266*D266</f>
        <v>0</v>
      </c>
      <c r="G266" s="696">
        <f>SUMIF('[2]Despesas Diretas'!$B$5:$B$9944,$B266,'[2]Despesas Diretas'!$H$5:$H$9944)</f>
        <v>0</v>
      </c>
      <c r="H266" s="696">
        <f>SUMIF('[3]Despesas Diretas'!$B$5:$B$9999,$B266,'[3]Despesas Diretas'!$H$5:$H$9999)</f>
        <v>0</v>
      </c>
      <c r="I266" s="696">
        <f>SUMIF([4]Comprometimento!$B$6:$B$147,$B266,[4]Comprometimento!$E$6:$E$147)</f>
        <v>0</v>
      </c>
      <c r="J266" s="696">
        <f>SUMIF([4]Estoque!$B$6:$B$880,$B266,[4]Estoque!$H$6:$H$880)</f>
        <v>0</v>
      </c>
      <c r="K266" s="697">
        <f t="shared" ref="K266:K329" si="48">SUM($G266:$I266)-$J266</f>
        <v>0</v>
      </c>
      <c r="L266" s="698">
        <f t="shared" si="46"/>
        <v>0</v>
      </c>
      <c r="M266" s="699">
        <f t="shared" ref="M266:M329" si="49">$K266-$F266</f>
        <v>0</v>
      </c>
      <c r="N266" s="698">
        <v>0</v>
      </c>
      <c r="O266" s="699">
        <v>0</v>
      </c>
      <c r="P266" s="699">
        <f t="shared" ref="P266:P329" si="50">$M266-$O266</f>
        <v>0</v>
      </c>
      <c r="Q266" s="698">
        <f t="shared" si="44"/>
        <v>0</v>
      </c>
      <c r="R266" s="700">
        <f t="shared" si="45"/>
        <v>0</v>
      </c>
    </row>
    <row r="267" spans="1:18" s="130" customFormat="1" ht="21.95" customHeight="1" x14ac:dyDescent="0.2">
      <c r="A267" s="393" t="s">
        <v>145</v>
      </c>
      <c r="B267" s="959" t="s">
        <v>248</v>
      </c>
      <c r="C267" s="959" t="s">
        <v>2299</v>
      </c>
      <c r="D267" s="366">
        <f>VLOOKUP($B267,'Análise Física Detalhada'!$E$13:$V$380,18,0)</f>
        <v>899.57806841520016</v>
      </c>
      <c r="E267" s="367">
        <f>VLOOKUP($B267,'Análise Física Detalhada'!$E$13:$P$380,12,0)</f>
        <v>0</v>
      </c>
      <c r="F267" s="368">
        <f t="shared" si="47"/>
        <v>0</v>
      </c>
      <c r="G267" s="696">
        <f>SUMIF('[2]Despesas Diretas'!$B$5:$B$9944,$B267,'[2]Despesas Diretas'!$H$5:$H$9944)</f>
        <v>0</v>
      </c>
      <c r="H267" s="696">
        <f>SUMIF('[3]Despesas Diretas'!$B$5:$B$9999,$B267,'[3]Despesas Diretas'!$H$5:$H$9999)</f>
        <v>0</v>
      </c>
      <c r="I267" s="696">
        <f>SUMIF([4]Comprometimento!$B$6:$B$147,$B267,[4]Comprometimento!$E$6:$E$147)</f>
        <v>0</v>
      </c>
      <c r="J267" s="696">
        <f>SUMIF([4]Estoque!$B$6:$B$880,$B267,[4]Estoque!$H$6:$H$880)</f>
        <v>0</v>
      </c>
      <c r="K267" s="697">
        <f t="shared" si="48"/>
        <v>0</v>
      </c>
      <c r="L267" s="698">
        <f t="shared" si="46"/>
        <v>0</v>
      </c>
      <c r="M267" s="699">
        <f t="shared" si="49"/>
        <v>0</v>
      </c>
      <c r="N267" s="698">
        <v>0</v>
      </c>
      <c r="O267" s="699">
        <v>0</v>
      </c>
      <c r="P267" s="699">
        <f t="shared" si="50"/>
        <v>0</v>
      </c>
      <c r="Q267" s="698">
        <f t="shared" si="44"/>
        <v>1</v>
      </c>
      <c r="R267" s="700">
        <f t="shared" si="45"/>
        <v>899.57806841520016</v>
      </c>
    </row>
    <row r="268" spans="1:18" s="130" customFormat="1" ht="21.95" customHeight="1" x14ac:dyDescent="0.2">
      <c r="A268" s="393" t="s">
        <v>145</v>
      </c>
      <c r="B268" s="959" t="s">
        <v>249</v>
      </c>
      <c r="C268" s="959" t="s">
        <v>2300</v>
      </c>
      <c r="D268" s="366">
        <f>VLOOKUP($B268,'Análise Física Detalhada'!$E$13:$V$380,18,0)</f>
        <v>42.656223186000005</v>
      </c>
      <c r="E268" s="367">
        <f>VLOOKUP($B268,'Análise Física Detalhada'!$E$13:$P$380,12,0)</f>
        <v>0</v>
      </c>
      <c r="F268" s="368">
        <f t="shared" si="47"/>
        <v>0</v>
      </c>
      <c r="G268" s="696">
        <f>SUMIF('[2]Despesas Diretas'!$B$5:$B$9944,$B268,'[2]Despesas Diretas'!$H$5:$H$9944)</f>
        <v>0</v>
      </c>
      <c r="H268" s="696">
        <f>SUMIF('[3]Despesas Diretas'!$B$5:$B$9999,$B268,'[3]Despesas Diretas'!$H$5:$H$9999)</f>
        <v>0</v>
      </c>
      <c r="I268" s="696">
        <f>SUMIF([4]Comprometimento!$B$6:$B$147,$B268,[4]Comprometimento!$E$6:$E$147)</f>
        <v>0</v>
      </c>
      <c r="J268" s="696">
        <f>SUMIF([4]Estoque!$B$6:$B$880,$B268,[4]Estoque!$H$6:$H$880)</f>
        <v>0</v>
      </c>
      <c r="K268" s="697">
        <f t="shared" si="48"/>
        <v>0</v>
      </c>
      <c r="L268" s="698">
        <f t="shared" si="46"/>
        <v>0</v>
      </c>
      <c r="M268" s="699">
        <f t="shared" si="49"/>
        <v>0</v>
      </c>
      <c r="N268" s="698">
        <v>0</v>
      </c>
      <c r="O268" s="699">
        <v>0</v>
      </c>
      <c r="P268" s="699">
        <f t="shared" si="50"/>
        <v>0</v>
      </c>
      <c r="Q268" s="698">
        <f t="shared" si="44"/>
        <v>1</v>
      </c>
      <c r="R268" s="700">
        <f t="shared" si="45"/>
        <v>42.656223186000005</v>
      </c>
    </row>
    <row r="269" spans="1:18" s="130" customFormat="1" ht="21.95" customHeight="1" x14ac:dyDescent="0.2">
      <c r="A269" s="393" t="s">
        <v>145</v>
      </c>
      <c r="B269" s="959" t="s">
        <v>674</v>
      </c>
      <c r="C269" s="959" t="s">
        <v>497</v>
      </c>
      <c r="D269" s="366">
        <f>VLOOKUP($B269,'Análise Física Detalhada'!$E$13:$V$380,18,0)</f>
        <v>2399.1321242772005</v>
      </c>
      <c r="E269" s="367">
        <f>VLOOKUP($B269,'Análise Física Detalhada'!$E$13:$P$380,12,0)</f>
        <v>0</v>
      </c>
      <c r="F269" s="368">
        <f t="shared" si="47"/>
        <v>0</v>
      </c>
      <c r="G269" s="696">
        <f>SUMIF('[2]Despesas Diretas'!$B$5:$B$9944,$B269,'[2]Despesas Diretas'!$H$5:$H$9944)</f>
        <v>0</v>
      </c>
      <c r="H269" s="696">
        <f>SUMIF('[3]Despesas Diretas'!$B$5:$B$9999,$B269,'[3]Despesas Diretas'!$H$5:$H$9999)</f>
        <v>0</v>
      </c>
      <c r="I269" s="696">
        <f>SUMIF([4]Comprometimento!$B$6:$B$147,$B269,[4]Comprometimento!$E$6:$E$147)</f>
        <v>0</v>
      </c>
      <c r="J269" s="696">
        <f>SUMIF([4]Estoque!$B$6:$B$880,$B269,[4]Estoque!$H$6:$H$880)</f>
        <v>0</v>
      </c>
      <c r="K269" s="697">
        <f t="shared" si="48"/>
        <v>0</v>
      </c>
      <c r="L269" s="698">
        <f t="shared" si="46"/>
        <v>0</v>
      </c>
      <c r="M269" s="699">
        <f t="shared" si="49"/>
        <v>0</v>
      </c>
      <c r="N269" s="698">
        <v>0</v>
      </c>
      <c r="O269" s="699">
        <v>0</v>
      </c>
      <c r="P269" s="699">
        <f t="shared" si="50"/>
        <v>0</v>
      </c>
      <c r="Q269" s="698">
        <f t="shared" si="44"/>
        <v>1</v>
      </c>
      <c r="R269" s="700">
        <f t="shared" si="45"/>
        <v>2399.1321242772005</v>
      </c>
    </row>
    <row r="270" spans="1:18" s="130" customFormat="1" ht="21.95" customHeight="1" x14ac:dyDescent="0.2">
      <c r="A270" s="393" t="s">
        <v>145</v>
      </c>
      <c r="B270" s="959" t="s">
        <v>675</v>
      </c>
      <c r="C270" s="959" t="s">
        <v>499</v>
      </c>
      <c r="D270" s="366">
        <f>VLOOKUP($B270,'Análise Física Detalhada'!$E$13:$V$380,18,0)</f>
        <v>2175.5702925540004</v>
      </c>
      <c r="E270" s="367">
        <f>VLOOKUP($B270,'Análise Física Detalhada'!$E$13:$P$380,12,0)</f>
        <v>0</v>
      </c>
      <c r="F270" s="368">
        <f t="shared" si="47"/>
        <v>0</v>
      </c>
      <c r="G270" s="696">
        <f>SUMIF('[2]Despesas Diretas'!$B$5:$B$9944,$B270,'[2]Despesas Diretas'!$H$5:$H$9944)</f>
        <v>0</v>
      </c>
      <c r="H270" s="696">
        <f>SUMIF('[3]Despesas Diretas'!$B$5:$B$9999,$B270,'[3]Despesas Diretas'!$H$5:$H$9999)</f>
        <v>0</v>
      </c>
      <c r="I270" s="696">
        <f>SUMIF([4]Comprometimento!$B$6:$B$147,$B270,[4]Comprometimento!$E$6:$E$147)</f>
        <v>0</v>
      </c>
      <c r="J270" s="696">
        <f>SUMIF([4]Estoque!$B$6:$B$880,$B270,[4]Estoque!$H$6:$H$880)</f>
        <v>0</v>
      </c>
      <c r="K270" s="697">
        <f t="shared" si="48"/>
        <v>0</v>
      </c>
      <c r="L270" s="698">
        <f t="shared" si="46"/>
        <v>0</v>
      </c>
      <c r="M270" s="699">
        <f t="shared" si="49"/>
        <v>0</v>
      </c>
      <c r="N270" s="698">
        <v>0</v>
      </c>
      <c r="O270" s="699">
        <v>0</v>
      </c>
      <c r="P270" s="699">
        <f t="shared" si="50"/>
        <v>0</v>
      </c>
      <c r="Q270" s="698">
        <f t="shared" si="44"/>
        <v>1</v>
      </c>
      <c r="R270" s="700">
        <f t="shared" si="45"/>
        <v>2175.5702925540004</v>
      </c>
    </row>
    <row r="271" spans="1:18" s="130" customFormat="1" ht="21.95" customHeight="1" x14ac:dyDescent="0.2">
      <c r="A271" s="393" t="s">
        <v>145</v>
      </c>
      <c r="B271" s="959" t="s">
        <v>676</v>
      </c>
      <c r="C271" s="959" t="s">
        <v>1501</v>
      </c>
      <c r="D271" s="366">
        <f>VLOOKUP($B271,'Análise Física Detalhada'!$E$13:$V$380,18,0)</f>
        <v>1108.9588927680002</v>
      </c>
      <c r="E271" s="367">
        <f>VLOOKUP($B271,'Análise Física Detalhada'!$E$13:$P$380,12,0)</f>
        <v>0</v>
      </c>
      <c r="F271" s="368">
        <f t="shared" si="47"/>
        <v>0</v>
      </c>
      <c r="G271" s="696">
        <f>SUMIF('[2]Despesas Diretas'!$B$5:$B$9944,$B271,'[2]Despesas Diretas'!$H$5:$H$9944)</f>
        <v>0</v>
      </c>
      <c r="H271" s="696">
        <f>SUMIF('[3]Despesas Diretas'!$B$5:$B$9999,$B271,'[3]Despesas Diretas'!$H$5:$H$9999)</f>
        <v>0</v>
      </c>
      <c r="I271" s="696">
        <f>SUMIF([4]Comprometimento!$B$6:$B$147,$B271,[4]Comprometimento!$E$6:$E$147)</f>
        <v>0</v>
      </c>
      <c r="J271" s="696">
        <f>SUMIF([4]Estoque!$B$6:$B$880,$B271,[4]Estoque!$H$6:$H$880)</f>
        <v>0</v>
      </c>
      <c r="K271" s="697">
        <f t="shared" si="48"/>
        <v>0</v>
      </c>
      <c r="L271" s="698">
        <f t="shared" si="46"/>
        <v>0</v>
      </c>
      <c r="M271" s="699">
        <f t="shared" si="49"/>
        <v>0</v>
      </c>
      <c r="N271" s="698">
        <v>0</v>
      </c>
      <c r="O271" s="699">
        <v>0</v>
      </c>
      <c r="P271" s="699">
        <f t="shared" si="50"/>
        <v>0</v>
      </c>
      <c r="Q271" s="698">
        <f t="shared" si="44"/>
        <v>1</v>
      </c>
      <c r="R271" s="700">
        <f t="shared" si="45"/>
        <v>1108.9588927680002</v>
      </c>
    </row>
    <row r="272" spans="1:18" s="130" customFormat="1" ht="21.95" customHeight="1" x14ac:dyDescent="0.2">
      <c r="A272" s="393" t="s">
        <v>145</v>
      </c>
      <c r="B272" s="959" t="s">
        <v>2301</v>
      </c>
      <c r="C272" s="959" t="s">
        <v>2302</v>
      </c>
      <c r="D272" s="366">
        <f>VLOOKUP($B272,'Análise Física Detalhada'!$E$13:$V$380,18,0)</f>
        <v>1993.8825675000003</v>
      </c>
      <c r="E272" s="367">
        <f>VLOOKUP($B272,'Análise Física Detalhada'!$E$13:$P$380,12,0)</f>
        <v>0</v>
      </c>
      <c r="F272" s="368">
        <f t="shared" si="47"/>
        <v>0</v>
      </c>
      <c r="G272" s="696">
        <f>SUMIF('[2]Despesas Diretas'!$B$5:$B$9944,$B272,'[2]Despesas Diretas'!$H$5:$H$9944)</f>
        <v>0</v>
      </c>
      <c r="H272" s="696">
        <f>SUMIF('[3]Despesas Diretas'!$B$5:$B$9999,$B272,'[3]Despesas Diretas'!$H$5:$H$9999)</f>
        <v>0</v>
      </c>
      <c r="I272" s="696">
        <f>SUMIF([4]Comprometimento!$B$6:$B$147,$B272,[4]Comprometimento!$E$6:$E$147)</f>
        <v>0</v>
      </c>
      <c r="J272" s="696">
        <f>SUMIF([4]Estoque!$B$6:$B$880,$B272,[4]Estoque!$H$6:$H$880)</f>
        <v>0</v>
      </c>
      <c r="K272" s="697">
        <f t="shared" si="48"/>
        <v>0</v>
      </c>
      <c r="L272" s="698">
        <f t="shared" si="46"/>
        <v>0</v>
      </c>
      <c r="M272" s="699">
        <f t="shared" si="49"/>
        <v>0</v>
      </c>
      <c r="N272" s="698">
        <v>0</v>
      </c>
      <c r="O272" s="699">
        <v>0</v>
      </c>
      <c r="P272" s="699">
        <f t="shared" si="50"/>
        <v>0</v>
      </c>
      <c r="Q272" s="698">
        <f t="shared" si="44"/>
        <v>1</v>
      </c>
      <c r="R272" s="700">
        <f t="shared" si="45"/>
        <v>1993.8825675000003</v>
      </c>
    </row>
    <row r="273" spans="1:18" s="130" customFormat="1" ht="21.95" customHeight="1" x14ac:dyDescent="0.2">
      <c r="A273" s="393" t="s">
        <v>145</v>
      </c>
      <c r="B273" s="959" t="s">
        <v>2303</v>
      </c>
      <c r="C273" s="959" t="s">
        <v>418</v>
      </c>
      <c r="D273" s="366">
        <f>VLOOKUP($B273,'Análise Física Detalhada'!$E$13:$V$380,18,0)</f>
        <v>1982.2846028364002</v>
      </c>
      <c r="E273" s="367">
        <f>VLOOKUP($B273,'Análise Física Detalhada'!$E$13:$P$380,12,0)</f>
        <v>0</v>
      </c>
      <c r="F273" s="368">
        <f t="shared" si="47"/>
        <v>0</v>
      </c>
      <c r="G273" s="696">
        <f>SUMIF('[2]Despesas Diretas'!$B$5:$B$9944,$B273,'[2]Despesas Diretas'!$H$5:$H$9944)</f>
        <v>0</v>
      </c>
      <c r="H273" s="696">
        <f>SUMIF('[3]Despesas Diretas'!$B$5:$B$9999,$B273,'[3]Despesas Diretas'!$H$5:$H$9999)</f>
        <v>0</v>
      </c>
      <c r="I273" s="696">
        <f>SUMIF([4]Comprometimento!$B$6:$B$147,$B273,[4]Comprometimento!$E$6:$E$147)</f>
        <v>0</v>
      </c>
      <c r="J273" s="696">
        <f>SUMIF([4]Estoque!$B$6:$B$880,$B273,[4]Estoque!$H$6:$H$880)</f>
        <v>0</v>
      </c>
      <c r="K273" s="697">
        <f t="shared" si="48"/>
        <v>0</v>
      </c>
      <c r="L273" s="698">
        <f t="shared" si="46"/>
        <v>0</v>
      </c>
      <c r="M273" s="699">
        <f t="shared" si="49"/>
        <v>0</v>
      </c>
      <c r="N273" s="698">
        <v>0</v>
      </c>
      <c r="O273" s="699">
        <v>0</v>
      </c>
      <c r="P273" s="699">
        <f t="shared" si="50"/>
        <v>0</v>
      </c>
      <c r="Q273" s="698">
        <f t="shared" si="44"/>
        <v>1</v>
      </c>
      <c r="R273" s="700">
        <f t="shared" si="45"/>
        <v>1982.2846028364002</v>
      </c>
    </row>
    <row r="274" spans="1:18" s="130" customFormat="1" ht="21.95" customHeight="1" x14ac:dyDescent="0.2">
      <c r="A274" s="393" t="s">
        <v>146</v>
      </c>
      <c r="B274" s="161" t="s">
        <v>146</v>
      </c>
      <c r="C274" s="161" t="s">
        <v>691</v>
      </c>
      <c r="D274" s="163">
        <f>VLOOKUP($B274,'Análise Física Detalhada'!$E$13:$V$380,18,0)</f>
        <v>963491.04535304895</v>
      </c>
      <c r="E274" s="530">
        <f>F274/D274</f>
        <v>3.48955968295366E-2</v>
      </c>
      <c r="F274" s="1001">
        <f>SUM(F275:F292)</f>
        <v>33621.595067508759</v>
      </c>
      <c r="G274" s="1000">
        <f>SUM(G275:G292)</f>
        <v>37083.46</v>
      </c>
      <c r="H274" s="1000">
        <f t="shared" ref="H274:K274" si="51">SUM(H275:H292)</f>
        <v>18794.240000000002</v>
      </c>
      <c r="I274" s="1000">
        <f t="shared" si="51"/>
        <v>-18794.240000000002</v>
      </c>
      <c r="J274" s="1000">
        <f t="shared" si="51"/>
        <v>0</v>
      </c>
      <c r="K274" s="1000">
        <f t="shared" si="51"/>
        <v>37083.459999999992</v>
      </c>
      <c r="L274" s="537">
        <f>IF($F274=0,0,$K274/$F274)</f>
        <v>1.1029655174164152</v>
      </c>
      <c r="M274" s="163">
        <f>IF($L274=0,0,$K274-$F274)</f>
        <v>3461.864932491233</v>
      </c>
      <c r="N274" s="537">
        <v>1.1262250699200134</v>
      </c>
      <c r="O274" s="163">
        <v>2086.3053445535043</v>
      </c>
      <c r="P274" s="163">
        <f>$M274-$O274</f>
        <v>1375.5595879377288</v>
      </c>
      <c r="Q274" s="537">
        <f t="shared" si="44"/>
        <v>1</v>
      </c>
      <c r="R274" s="163">
        <f t="shared" si="45"/>
        <v>963491.04535304895</v>
      </c>
    </row>
    <row r="275" spans="1:18" s="130" customFormat="1" ht="21.95" customHeight="1" x14ac:dyDescent="0.2">
      <c r="A275" s="393" t="s">
        <v>146</v>
      </c>
      <c r="B275" s="959" t="s">
        <v>677</v>
      </c>
      <c r="C275" s="959" t="s">
        <v>2122</v>
      </c>
      <c r="D275" s="366">
        <f>VLOOKUP($B275,'Análise Física Detalhada'!$E$13:$V$380,18,0)</f>
        <v>163283.28849288003</v>
      </c>
      <c r="E275" s="367">
        <f>VLOOKUP($B275,'Análise Física Detalhada'!$E$13:$P$380,12,0)</f>
        <v>0</v>
      </c>
      <c r="F275" s="368">
        <f t="shared" si="47"/>
        <v>0</v>
      </c>
      <c r="G275" s="696">
        <f>SUMIF('[2]Despesas Diretas'!$B$5:$B$9944,$B275,'[2]Despesas Diretas'!$H$5:$H$9944)</f>
        <v>0</v>
      </c>
      <c r="H275" s="696">
        <f>SUMIF('[3]Despesas Diretas'!$B$5:$B$9999,$B275,'[3]Despesas Diretas'!$H$5:$H$9999)</f>
        <v>0</v>
      </c>
      <c r="I275" s="696">
        <f>SUMIF([4]Comprometimento!$B$6:$B$147,$B275,[4]Comprometimento!$E$6:$E$147)</f>
        <v>0</v>
      </c>
      <c r="J275" s="696">
        <f>SUMIF([4]Estoque!$B$6:$B$880,$B275,[4]Estoque!$H$6:$H$880)</f>
        <v>0</v>
      </c>
      <c r="K275" s="697">
        <f t="shared" si="48"/>
        <v>0</v>
      </c>
      <c r="L275" s="698">
        <f t="shared" si="46"/>
        <v>0</v>
      </c>
      <c r="M275" s="699">
        <f t="shared" si="49"/>
        <v>0</v>
      </c>
      <c r="N275" s="698">
        <v>0</v>
      </c>
      <c r="O275" s="699">
        <v>42.159999999999854</v>
      </c>
      <c r="P275" s="699">
        <f t="shared" si="50"/>
        <v>-42.159999999999854</v>
      </c>
      <c r="Q275" s="698">
        <f t="shared" si="44"/>
        <v>1</v>
      </c>
      <c r="R275" s="700">
        <f t="shared" si="45"/>
        <v>163283.28849288003</v>
      </c>
    </row>
    <row r="276" spans="1:18" s="130" customFormat="1" ht="21.95" customHeight="1" x14ac:dyDescent="0.2">
      <c r="A276" s="393" t="s">
        <v>146</v>
      </c>
      <c r="B276" s="959" t="s">
        <v>678</v>
      </c>
      <c r="C276" s="959" t="s">
        <v>2123</v>
      </c>
      <c r="D276" s="366">
        <f>VLOOKUP($B276,'Análise Física Detalhada'!$E$13:$V$380,18,0)</f>
        <v>150640.00452256322</v>
      </c>
      <c r="E276" s="367">
        <f>VLOOKUP($B276,'Análise Física Detalhada'!$E$13:$P$380,12,0)</f>
        <v>0</v>
      </c>
      <c r="F276" s="368">
        <f t="shared" si="47"/>
        <v>0</v>
      </c>
      <c r="G276" s="696">
        <f>SUMIF('[2]Despesas Diretas'!$B$5:$B$9944,$B276,'[2]Despesas Diretas'!$H$5:$H$9944)</f>
        <v>0</v>
      </c>
      <c r="H276" s="696">
        <f>SUMIF('[3]Despesas Diretas'!$B$5:$B$9999,$B276,'[3]Despesas Diretas'!$H$5:$H$9999)</f>
        <v>0</v>
      </c>
      <c r="I276" s="696">
        <f>SUMIF([4]Comprometimento!$B$6:$B$147,$B276,[4]Comprometimento!$E$6:$E$147)</f>
        <v>0</v>
      </c>
      <c r="J276" s="696">
        <f>SUMIF([4]Estoque!$B$6:$B$880,$B276,[4]Estoque!$H$6:$H$880)</f>
        <v>0</v>
      </c>
      <c r="K276" s="697">
        <f t="shared" si="48"/>
        <v>0</v>
      </c>
      <c r="L276" s="698">
        <f t="shared" si="46"/>
        <v>0</v>
      </c>
      <c r="M276" s="699">
        <f t="shared" si="49"/>
        <v>0</v>
      </c>
      <c r="N276" s="698">
        <v>0</v>
      </c>
      <c r="O276" s="699">
        <v>0</v>
      </c>
      <c r="P276" s="699">
        <f t="shared" si="50"/>
        <v>0</v>
      </c>
      <c r="Q276" s="698">
        <f t="shared" si="44"/>
        <v>1</v>
      </c>
      <c r="R276" s="700">
        <f t="shared" si="45"/>
        <v>150640.00452256322</v>
      </c>
    </row>
    <row r="277" spans="1:18" s="130" customFormat="1" ht="21.95" customHeight="1" x14ac:dyDescent="0.2">
      <c r="A277" s="393" t="s">
        <v>146</v>
      </c>
      <c r="B277" s="959" t="s">
        <v>679</v>
      </c>
      <c r="C277" s="959" t="s">
        <v>2124</v>
      </c>
      <c r="D277" s="366">
        <f>VLOOKUP($B277,'Análise Física Detalhada'!$E$13:$V$380,18,0)</f>
        <v>126698.96513901601</v>
      </c>
      <c r="E277" s="367">
        <f>VLOOKUP($B277,'Análise Física Detalhada'!$E$13:$P$380,12,0)</f>
        <v>0</v>
      </c>
      <c r="F277" s="368">
        <f t="shared" si="47"/>
        <v>0</v>
      </c>
      <c r="G277" s="696">
        <f>SUMIF('[2]Despesas Diretas'!$B$5:$B$9944,$B277,'[2]Despesas Diretas'!$H$5:$H$9944)</f>
        <v>0</v>
      </c>
      <c r="H277" s="696">
        <f>SUMIF('[3]Despesas Diretas'!$B$5:$B$9999,$B277,'[3]Despesas Diretas'!$H$5:$H$9999)</f>
        <v>0</v>
      </c>
      <c r="I277" s="696">
        <f>SUMIF([4]Comprometimento!$B$6:$B$147,$B277,[4]Comprometimento!$E$6:$E$147)</f>
        <v>0</v>
      </c>
      <c r="J277" s="696">
        <f>SUMIF([4]Estoque!$B$6:$B$880,$B277,[4]Estoque!$H$6:$H$880)</f>
        <v>0</v>
      </c>
      <c r="K277" s="697">
        <f t="shared" si="48"/>
        <v>0</v>
      </c>
      <c r="L277" s="698">
        <f t="shared" si="46"/>
        <v>0</v>
      </c>
      <c r="M277" s="699">
        <f t="shared" si="49"/>
        <v>0</v>
      </c>
      <c r="N277" s="698">
        <v>0</v>
      </c>
      <c r="O277" s="699">
        <v>26.9</v>
      </c>
      <c r="P277" s="699">
        <f t="shared" si="50"/>
        <v>-26.9</v>
      </c>
      <c r="Q277" s="698">
        <f t="shared" si="44"/>
        <v>1</v>
      </c>
      <c r="R277" s="700">
        <f t="shared" si="45"/>
        <v>126698.96513901601</v>
      </c>
    </row>
    <row r="278" spans="1:18" s="130" customFormat="1" ht="21.95" customHeight="1" x14ac:dyDescent="0.2">
      <c r="A278" s="393" t="s">
        <v>146</v>
      </c>
      <c r="B278" s="959" t="s">
        <v>680</v>
      </c>
      <c r="C278" s="959" t="s">
        <v>1969</v>
      </c>
      <c r="D278" s="366">
        <f>VLOOKUP($B278,'Análise Física Detalhada'!$E$13:$V$380,18,0)</f>
        <v>133349.12693425082</v>
      </c>
      <c r="E278" s="367">
        <f>VLOOKUP($B278,'Análise Física Detalhada'!$E$13:$P$380,12,0)</f>
        <v>0</v>
      </c>
      <c r="F278" s="368">
        <f t="shared" si="47"/>
        <v>0</v>
      </c>
      <c r="G278" s="696">
        <f>SUMIF('[2]Despesas Diretas'!$B$5:$B$9944,$B278,'[2]Despesas Diretas'!$H$5:$H$9944)</f>
        <v>0</v>
      </c>
      <c r="H278" s="696">
        <f>SUMIF('[3]Despesas Diretas'!$B$5:$B$9999,$B278,'[3]Despesas Diretas'!$H$5:$H$9999)</f>
        <v>0</v>
      </c>
      <c r="I278" s="696">
        <f>SUMIF([4]Comprometimento!$B$6:$B$147,$B278,[4]Comprometimento!$E$6:$E$147)</f>
        <v>0</v>
      </c>
      <c r="J278" s="696">
        <f>SUMIF([4]Estoque!$B$6:$B$880,$B278,[4]Estoque!$H$6:$H$880)</f>
        <v>0</v>
      </c>
      <c r="K278" s="697">
        <f t="shared" si="48"/>
        <v>0</v>
      </c>
      <c r="L278" s="698">
        <f t="shared" si="46"/>
        <v>0</v>
      </c>
      <c r="M278" s="699">
        <f t="shared" si="49"/>
        <v>0</v>
      </c>
      <c r="N278" s="698">
        <v>0</v>
      </c>
      <c r="O278" s="699">
        <v>0</v>
      </c>
      <c r="P278" s="699">
        <f t="shared" si="50"/>
        <v>0</v>
      </c>
      <c r="Q278" s="698">
        <f t="shared" si="44"/>
        <v>1</v>
      </c>
      <c r="R278" s="700">
        <f t="shared" si="45"/>
        <v>133349.12693425082</v>
      </c>
    </row>
    <row r="279" spans="1:18" s="130" customFormat="1" ht="21.95" customHeight="1" x14ac:dyDescent="0.2">
      <c r="A279" s="393" t="s">
        <v>146</v>
      </c>
      <c r="B279" s="959" t="s">
        <v>681</v>
      </c>
      <c r="C279" s="959" t="s">
        <v>472</v>
      </c>
      <c r="D279" s="366">
        <f>VLOOKUP($B279,'Análise Física Detalhada'!$E$13:$V$380,18,0)</f>
        <v>19356.262071058802</v>
      </c>
      <c r="E279" s="367">
        <f>VLOOKUP($B279,'Análise Física Detalhada'!$E$13:$P$380,12,0)</f>
        <v>0</v>
      </c>
      <c r="F279" s="368">
        <f t="shared" si="47"/>
        <v>0</v>
      </c>
      <c r="G279" s="696">
        <f>SUMIF('[2]Despesas Diretas'!$B$5:$B$9944,$B279,'[2]Despesas Diretas'!$H$5:$H$9944)</f>
        <v>0</v>
      </c>
      <c r="H279" s="696">
        <f>SUMIF('[3]Despesas Diretas'!$B$5:$B$9999,$B279,'[3]Despesas Diretas'!$H$5:$H$9999)</f>
        <v>0</v>
      </c>
      <c r="I279" s="696">
        <f>SUMIF([4]Comprometimento!$B$6:$B$147,$B279,[4]Comprometimento!$E$6:$E$147)</f>
        <v>0</v>
      </c>
      <c r="J279" s="696">
        <f>SUMIF([4]Estoque!$B$6:$B$880,$B279,[4]Estoque!$H$6:$H$880)</f>
        <v>0</v>
      </c>
      <c r="K279" s="697">
        <f t="shared" si="48"/>
        <v>0</v>
      </c>
      <c r="L279" s="698">
        <f t="shared" si="46"/>
        <v>0</v>
      </c>
      <c r="M279" s="699">
        <f t="shared" si="49"/>
        <v>0</v>
      </c>
      <c r="N279" s="698">
        <v>0</v>
      </c>
      <c r="O279" s="699">
        <v>0</v>
      </c>
      <c r="P279" s="699">
        <f t="shared" si="50"/>
        <v>0</v>
      </c>
      <c r="Q279" s="698">
        <f t="shared" si="44"/>
        <v>1</v>
      </c>
      <c r="R279" s="700">
        <f t="shared" si="45"/>
        <v>19356.262071058802</v>
      </c>
    </row>
    <row r="280" spans="1:18" s="130" customFormat="1" ht="21.95" customHeight="1" x14ac:dyDescent="0.2">
      <c r="A280" s="393" t="s">
        <v>146</v>
      </c>
      <c r="B280" s="959" t="s">
        <v>682</v>
      </c>
      <c r="C280" s="959" t="s">
        <v>2125</v>
      </c>
      <c r="D280" s="366">
        <f>VLOOKUP($B280,'Análise Física Detalhada'!$E$13:$V$380,18,0)</f>
        <v>15436.510200000001</v>
      </c>
      <c r="E280" s="367">
        <f>VLOOKUP($B280,'Análise Física Detalhada'!$E$13:$P$380,12,0)</f>
        <v>0</v>
      </c>
      <c r="F280" s="368">
        <f t="shared" si="47"/>
        <v>0</v>
      </c>
      <c r="G280" s="696">
        <f>SUMIF('[2]Despesas Diretas'!$B$5:$B$9944,$B280,'[2]Despesas Diretas'!$H$5:$H$9944)</f>
        <v>0</v>
      </c>
      <c r="H280" s="696">
        <f>SUMIF('[3]Despesas Diretas'!$B$5:$B$9999,$B280,'[3]Despesas Diretas'!$H$5:$H$9999)</f>
        <v>0</v>
      </c>
      <c r="I280" s="696">
        <f>SUMIF([4]Comprometimento!$B$6:$B$147,$B280,[4]Comprometimento!$E$6:$E$147)</f>
        <v>0</v>
      </c>
      <c r="J280" s="696">
        <f>SUMIF([4]Estoque!$B$6:$B$880,$B280,[4]Estoque!$H$6:$H$880)</f>
        <v>0</v>
      </c>
      <c r="K280" s="697">
        <f t="shared" si="48"/>
        <v>0</v>
      </c>
      <c r="L280" s="698">
        <f t="shared" si="46"/>
        <v>0</v>
      </c>
      <c r="M280" s="699">
        <f t="shared" si="49"/>
        <v>0</v>
      </c>
      <c r="N280" s="698">
        <v>0</v>
      </c>
      <c r="O280" s="699">
        <v>0</v>
      </c>
      <c r="P280" s="699">
        <f t="shared" si="50"/>
        <v>0</v>
      </c>
      <c r="Q280" s="698">
        <f t="shared" si="44"/>
        <v>1</v>
      </c>
      <c r="R280" s="700">
        <f t="shared" si="45"/>
        <v>15436.510200000001</v>
      </c>
    </row>
    <row r="281" spans="1:18" s="130" customFormat="1" ht="21.95" customHeight="1" x14ac:dyDescent="0.2">
      <c r="A281" s="393" t="s">
        <v>146</v>
      </c>
      <c r="B281" s="959" t="s">
        <v>683</v>
      </c>
      <c r="C281" s="959" t="s">
        <v>789</v>
      </c>
      <c r="D281" s="366">
        <f>VLOOKUP($B281,'Análise Física Detalhada'!$E$13:$V$380,18,0)</f>
        <v>22969.527177600001</v>
      </c>
      <c r="E281" s="367">
        <f>VLOOKUP($B281,'Análise Física Detalhada'!$E$13:$P$380,12,0)</f>
        <v>0</v>
      </c>
      <c r="F281" s="368">
        <f t="shared" si="47"/>
        <v>0</v>
      </c>
      <c r="G281" s="696">
        <f>SUMIF('[2]Despesas Diretas'!$B$5:$B$9944,$B281,'[2]Despesas Diretas'!$H$5:$H$9944)</f>
        <v>0</v>
      </c>
      <c r="H281" s="696">
        <f>SUMIF('[3]Despesas Diretas'!$B$5:$B$9999,$B281,'[3]Despesas Diretas'!$H$5:$H$9999)</f>
        <v>0</v>
      </c>
      <c r="I281" s="696">
        <f>SUMIF([4]Comprometimento!$B$6:$B$147,$B281,[4]Comprometimento!$E$6:$E$147)</f>
        <v>0</v>
      </c>
      <c r="J281" s="696">
        <f>SUMIF([4]Estoque!$B$6:$B$880,$B281,[4]Estoque!$H$6:$H$880)</f>
        <v>0</v>
      </c>
      <c r="K281" s="697">
        <f t="shared" si="48"/>
        <v>0</v>
      </c>
      <c r="L281" s="698">
        <f t="shared" si="46"/>
        <v>0</v>
      </c>
      <c r="M281" s="699">
        <f t="shared" si="49"/>
        <v>0</v>
      </c>
      <c r="N281" s="698">
        <v>0</v>
      </c>
      <c r="O281" s="699">
        <v>0</v>
      </c>
      <c r="P281" s="699">
        <f t="shared" si="50"/>
        <v>0</v>
      </c>
      <c r="Q281" s="698">
        <f t="shared" si="44"/>
        <v>1</v>
      </c>
      <c r="R281" s="700">
        <f t="shared" si="45"/>
        <v>22969.527177600001</v>
      </c>
    </row>
    <row r="282" spans="1:18" s="130" customFormat="1" ht="21.95" customHeight="1" x14ac:dyDescent="0.2">
      <c r="A282" s="393" t="s">
        <v>146</v>
      </c>
      <c r="B282" s="959" t="s">
        <v>684</v>
      </c>
      <c r="C282" s="959" t="s">
        <v>468</v>
      </c>
      <c r="D282" s="366">
        <f>VLOOKUP($B282,'Análise Física Detalhada'!$E$13:$V$380,18,0)</f>
        <v>31674.741284754004</v>
      </c>
      <c r="E282" s="367">
        <f>VLOOKUP($B282,'Análise Física Detalhada'!$E$13:$P$380,12,0)</f>
        <v>0</v>
      </c>
      <c r="F282" s="368">
        <f t="shared" si="47"/>
        <v>0</v>
      </c>
      <c r="G282" s="696">
        <f>SUMIF('[2]Despesas Diretas'!$B$5:$B$9944,$B282,'[2]Despesas Diretas'!$H$5:$H$9944)</f>
        <v>0</v>
      </c>
      <c r="H282" s="696">
        <f>SUMIF('[3]Despesas Diretas'!$B$5:$B$9999,$B282,'[3]Despesas Diretas'!$H$5:$H$9999)</f>
        <v>0</v>
      </c>
      <c r="I282" s="696">
        <f>SUMIF([4]Comprometimento!$B$6:$B$147,$B282,[4]Comprometimento!$E$6:$E$147)</f>
        <v>0</v>
      </c>
      <c r="J282" s="696">
        <f>SUMIF([4]Estoque!$B$6:$B$880,$B282,[4]Estoque!$H$6:$H$880)</f>
        <v>0</v>
      </c>
      <c r="K282" s="697">
        <f t="shared" si="48"/>
        <v>0</v>
      </c>
      <c r="L282" s="698">
        <f t="shared" si="46"/>
        <v>0</v>
      </c>
      <c r="M282" s="699">
        <f t="shared" si="49"/>
        <v>0</v>
      </c>
      <c r="N282" s="698">
        <v>0</v>
      </c>
      <c r="O282" s="699">
        <v>0</v>
      </c>
      <c r="P282" s="699">
        <f t="shared" si="50"/>
        <v>0</v>
      </c>
      <c r="Q282" s="698">
        <f t="shared" si="44"/>
        <v>1</v>
      </c>
      <c r="R282" s="700">
        <f t="shared" si="45"/>
        <v>31674.741284754004</v>
      </c>
    </row>
    <row r="283" spans="1:18" s="130" customFormat="1" ht="21.95" customHeight="1" x14ac:dyDescent="0.2">
      <c r="A283" s="393" t="s">
        <v>146</v>
      </c>
      <c r="B283" s="959" t="s">
        <v>685</v>
      </c>
      <c r="C283" s="959" t="s">
        <v>409</v>
      </c>
      <c r="D283" s="366">
        <f>VLOOKUP($B283,'Análise Física Detalhada'!$E$13:$V$380,18,0)</f>
        <v>5234.5206088200011</v>
      </c>
      <c r="E283" s="367">
        <f>VLOOKUP($B283,'Análise Física Detalhada'!$E$13:$P$380,12,0)</f>
        <v>0</v>
      </c>
      <c r="F283" s="368">
        <f t="shared" si="47"/>
        <v>0</v>
      </c>
      <c r="G283" s="696">
        <f>SUMIF('[2]Despesas Diretas'!$B$5:$B$9944,$B283,'[2]Despesas Diretas'!$H$5:$H$9944)</f>
        <v>0</v>
      </c>
      <c r="H283" s="696">
        <f>SUMIF('[3]Despesas Diretas'!$B$5:$B$9999,$B283,'[3]Despesas Diretas'!$H$5:$H$9999)</f>
        <v>0</v>
      </c>
      <c r="I283" s="696">
        <f>SUMIF([4]Comprometimento!$B$6:$B$147,$B283,[4]Comprometimento!$E$6:$E$147)</f>
        <v>0</v>
      </c>
      <c r="J283" s="696">
        <f>SUMIF([4]Estoque!$B$6:$B$880,$B283,[4]Estoque!$H$6:$H$880)</f>
        <v>0</v>
      </c>
      <c r="K283" s="697">
        <f t="shared" si="48"/>
        <v>0</v>
      </c>
      <c r="L283" s="698">
        <f t="shared" si="46"/>
        <v>0</v>
      </c>
      <c r="M283" s="699">
        <f t="shared" si="49"/>
        <v>0</v>
      </c>
      <c r="N283" s="698">
        <v>0</v>
      </c>
      <c r="O283" s="699">
        <v>0</v>
      </c>
      <c r="P283" s="699">
        <f t="shared" si="50"/>
        <v>0</v>
      </c>
      <c r="Q283" s="698">
        <f t="shared" si="44"/>
        <v>1</v>
      </c>
      <c r="R283" s="700">
        <f t="shared" si="45"/>
        <v>5234.5206088200011</v>
      </c>
    </row>
    <row r="284" spans="1:18" s="130" customFormat="1" ht="21.95" customHeight="1" x14ac:dyDescent="0.2">
      <c r="A284" s="393" t="s">
        <v>146</v>
      </c>
      <c r="B284" s="959" t="s">
        <v>686</v>
      </c>
      <c r="C284" s="959" t="s">
        <v>790</v>
      </c>
      <c r="D284" s="366">
        <f>VLOOKUP($B284,'Análise Física Detalhada'!$E$13:$V$380,18,0)</f>
        <v>18502.715676060001</v>
      </c>
      <c r="E284" s="367">
        <f>VLOOKUP($B284,'Análise Física Detalhada'!$E$13:$P$380,12,0)</f>
        <v>0</v>
      </c>
      <c r="F284" s="368">
        <f t="shared" si="47"/>
        <v>0</v>
      </c>
      <c r="G284" s="696">
        <f>SUMIF('[2]Despesas Diretas'!$B$5:$B$9944,$B284,'[2]Despesas Diretas'!$H$5:$H$9944)</f>
        <v>0</v>
      </c>
      <c r="H284" s="696">
        <f>SUMIF('[3]Despesas Diretas'!$B$5:$B$9999,$B284,'[3]Despesas Diretas'!$H$5:$H$9999)</f>
        <v>0</v>
      </c>
      <c r="I284" s="696">
        <f>SUMIF([4]Comprometimento!$B$6:$B$147,$B284,[4]Comprometimento!$E$6:$E$147)</f>
        <v>0</v>
      </c>
      <c r="J284" s="696">
        <f>SUMIF([4]Estoque!$B$6:$B$880,$B284,[4]Estoque!$H$6:$H$880)</f>
        <v>0</v>
      </c>
      <c r="K284" s="697">
        <f t="shared" si="48"/>
        <v>0</v>
      </c>
      <c r="L284" s="698">
        <f t="shared" si="46"/>
        <v>0</v>
      </c>
      <c r="M284" s="699">
        <f t="shared" si="49"/>
        <v>0</v>
      </c>
      <c r="N284" s="698">
        <v>0</v>
      </c>
      <c r="O284" s="699">
        <v>0</v>
      </c>
      <c r="P284" s="699">
        <f t="shared" si="50"/>
        <v>0</v>
      </c>
      <c r="Q284" s="698">
        <f t="shared" si="44"/>
        <v>1</v>
      </c>
      <c r="R284" s="700">
        <f t="shared" si="45"/>
        <v>18502.715676060001</v>
      </c>
    </row>
    <row r="285" spans="1:18" s="130" customFormat="1" ht="21.95" customHeight="1" x14ac:dyDescent="0.2">
      <c r="A285" s="393" t="s">
        <v>146</v>
      </c>
      <c r="B285" s="959" t="s">
        <v>687</v>
      </c>
      <c r="C285" s="959" t="s">
        <v>2304</v>
      </c>
      <c r="D285" s="366">
        <f>VLOOKUP($B285,'Análise Física Detalhada'!$E$13:$V$380,18,0)</f>
        <v>203088.85134024607</v>
      </c>
      <c r="E285" s="999">
        <f>(37083.46/224000)</f>
        <v>0.16555116071428572</v>
      </c>
      <c r="F285" s="368">
        <f>E285*D285</f>
        <v>33621.595067508759</v>
      </c>
      <c r="G285" s="696">
        <f>SUMIF('[2]Despesas Diretas'!$B$5:$B$9944,$B285,'[2]Despesas Diretas'!$H$5:$H$9944)</f>
        <v>37083.46</v>
      </c>
      <c r="H285" s="696">
        <f>SUMIF('[3]Despesas Diretas'!$B$5:$B$9999,$B285,'[3]Despesas Diretas'!$H$5:$H$9999)</f>
        <v>18794.240000000002</v>
      </c>
      <c r="I285" s="696">
        <f>SUMIF([4]Comprometimento!$B$6:$B$147,$B285,[4]Comprometimento!$E$6:$E$147)</f>
        <v>-18794.240000000002</v>
      </c>
      <c r="J285" s="696">
        <f>SUMIF([4]Estoque!$B$6:$B$880,$B285,[4]Estoque!$H$6:$H$880)</f>
        <v>0</v>
      </c>
      <c r="K285" s="697">
        <f t="shared" si="48"/>
        <v>37083.459999999992</v>
      </c>
      <c r="L285" s="698">
        <f t="shared" si="46"/>
        <v>1.1029655174164152</v>
      </c>
      <c r="M285" s="699">
        <f t="shared" si="49"/>
        <v>3461.864932491233</v>
      </c>
      <c r="N285" s="698">
        <v>1.1220468208677195</v>
      </c>
      <c r="O285" s="699">
        <v>2017.2453445535029</v>
      </c>
      <c r="P285" s="699">
        <f t="shared" si="50"/>
        <v>1444.6195879377301</v>
      </c>
      <c r="Q285" s="698">
        <f t="shared" si="44"/>
        <v>1</v>
      </c>
      <c r="R285" s="700">
        <f t="shared" si="45"/>
        <v>203088.85134024607</v>
      </c>
    </row>
    <row r="286" spans="1:18" s="130" customFormat="1" ht="21.95" customHeight="1" x14ac:dyDescent="0.2">
      <c r="A286" s="393" t="s">
        <v>146</v>
      </c>
      <c r="B286" s="959" t="s">
        <v>688</v>
      </c>
      <c r="C286" s="959" t="s">
        <v>413</v>
      </c>
      <c r="D286" s="366">
        <f>VLOOKUP($B286,'Análise Física Detalhada'!$E$13:$V$380,18,0)</f>
        <v>3087.3020400000005</v>
      </c>
      <c r="E286" s="367">
        <f>VLOOKUP($B286,'Análise Física Detalhada'!$E$13:$P$380,12,0)</f>
        <v>0</v>
      </c>
      <c r="F286" s="368">
        <f t="shared" si="47"/>
        <v>0</v>
      </c>
      <c r="G286" s="696">
        <f>SUMIF('[2]Despesas Diretas'!$B$5:$B$9944,$B286,'[2]Despesas Diretas'!$H$5:$H$9944)</f>
        <v>0</v>
      </c>
      <c r="H286" s="696">
        <f>SUMIF('[3]Despesas Diretas'!$B$5:$B$9999,$B286,'[3]Despesas Diretas'!$H$5:$H$9999)</f>
        <v>0</v>
      </c>
      <c r="I286" s="696">
        <f>SUMIF([4]Comprometimento!$B$6:$B$147,$B286,[4]Comprometimento!$E$6:$E$147)</f>
        <v>0</v>
      </c>
      <c r="J286" s="696">
        <f>SUMIF([4]Estoque!$B$6:$B$880,$B286,[4]Estoque!$H$6:$H$880)</f>
        <v>0</v>
      </c>
      <c r="K286" s="697">
        <f t="shared" si="48"/>
        <v>0</v>
      </c>
      <c r="L286" s="698">
        <f t="shared" si="46"/>
        <v>0</v>
      </c>
      <c r="M286" s="699">
        <f t="shared" si="49"/>
        <v>0</v>
      </c>
      <c r="N286" s="698">
        <v>0</v>
      </c>
      <c r="O286" s="699">
        <v>0</v>
      </c>
      <c r="P286" s="699">
        <f t="shared" si="50"/>
        <v>0</v>
      </c>
      <c r="Q286" s="698">
        <f t="shared" si="44"/>
        <v>1</v>
      </c>
      <c r="R286" s="700">
        <f t="shared" si="45"/>
        <v>3087.3020400000005</v>
      </c>
    </row>
    <row r="287" spans="1:18" s="130" customFormat="1" ht="21.95" customHeight="1" x14ac:dyDescent="0.2">
      <c r="A287" s="393" t="s">
        <v>146</v>
      </c>
      <c r="B287" s="959" t="s">
        <v>689</v>
      </c>
      <c r="C287" s="959" t="s">
        <v>791</v>
      </c>
      <c r="D287" s="366">
        <f>VLOOKUP($B287,'Análise Física Detalhada'!$E$13:$V$380,18,0)</f>
        <v>15436.510200000001</v>
      </c>
      <c r="E287" s="367">
        <f>VLOOKUP($B287,'Análise Física Detalhada'!$E$13:$P$380,12,0)</f>
        <v>0</v>
      </c>
      <c r="F287" s="368">
        <f t="shared" si="47"/>
        <v>0</v>
      </c>
      <c r="G287" s="696">
        <f>SUMIF('[2]Despesas Diretas'!$B$5:$B$9944,$B287,'[2]Despesas Diretas'!$H$5:$H$9944)</f>
        <v>0</v>
      </c>
      <c r="H287" s="696">
        <f>SUMIF('[3]Despesas Diretas'!$B$5:$B$9999,$B287,'[3]Despesas Diretas'!$H$5:$H$9999)</f>
        <v>0</v>
      </c>
      <c r="I287" s="696">
        <f>SUMIF([4]Comprometimento!$B$6:$B$147,$B287,[4]Comprometimento!$E$6:$E$147)</f>
        <v>0</v>
      </c>
      <c r="J287" s="696">
        <f>SUMIF([4]Estoque!$B$6:$B$880,$B287,[4]Estoque!$H$6:$H$880)</f>
        <v>0</v>
      </c>
      <c r="K287" s="697">
        <f t="shared" si="48"/>
        <v>0</v>
      </c>
      <c r="L287" s="698">
        <f t="shared" si="46"/>
        <v>0</v>
      </c>
      <c r="M287" s="699">
        <f t="shared" si="49"/>
        <v>0</v>
      </c>
      <c r="N287" s="698">
        <v>0</v>
      </c>
      <c r="O287" s="699">
        <v>0</v>
      </c>
      <c r="P287" s="699">
        <f t="shared" si="50"/>
        <v>0</v>
      </c>
      <c r="Q287" s="698">
        <f t="shared" si="44"/>
        <v>1</v>
      </c>
      <c r="R287" s="700">
        <f t="shared" si="45"/>
        <v>15436.510200000001</v>
      </c>
    </row>
    <row r="288" spans="1:18" s="130" customFormat="1" ht="21.95" customHeight="1" x14ac:dyDescent="0.2">
      <c r="A288" s="393" t="s">
        <v>146</v>
      </c>
      <c r="B288" s="959" t="s">
        <v>690</v>
      </c>
      <c r="C288" s="959" t="s">
        <v>2305</v>
      </c>
      <c r="D288" s="366">
        <f>VLOOKUP($B288,'Análise Física Detalhada'!$E$13:$V$380,18,0)</f>
        <v>10291.006800000001</v>
      </c>
      <c r="E288" s="367">
        <f>VLOOKUP($B288,'Análise Física Detalhada'!$E$13:$P$380,12,0)</f>
        <v>0</v>
      </c>
      <c r="F288" s="368">
        <f t="shared" si="47"/>
        <v>0</v>
      </c>
      <c r="G288" s="696">
        <f>SUMIF('[2]Despesas Diretas'!$B$5:$B$9944,$B288,'[2]Despesas Diretas'!$H$5:$H$9944)</f>
        <v>0</v>
      </c>
      <c r="H288" s="696">
        <f>SUMIF('[3]Despesas Diretas'!$B$5:$B$9999,$B288,'[3]Despesas Diretas'!$H$5:$H$9999)</f>
        <v>0</v>
      </c>
      <c r="I288" s="696">
        <f>SUMIF([4]Comprometimento!$B$6:$B$147,$B288,[4]Comprometimento!$E$6:$E$147)</f>
        <v>0</v>
      </c>
      <c r="J288" s="696">
        <f>SUMIF([4]Estoque!$B$6:$B$880,$B288,[4]Estoque!$H$6:$H$880)</f>
        <v>0</v>
      </c>
      <c r="K288" s="697">
        <f t="shared" si="48"/>
        <v>0</v>
      </c>
      <c r="L288" s="698">
        <f t="shared" si="46"/>
        <v>0</v>
      </c>
      <c r="M288" s="699">
        <f t="shared" si="49"/>
        <v>0</v>
      </c>
      <c r="N288" s="698">
        <v>0</v>
      </c>
      <c r="O288" s="699">
        <v>0</v>
      </c>
      <c r="P288" s="699">
        <f t="shared" si="50"/>
        <v>0</v>
      </c>
      <c r="Q288" s="698">
        <f t="shared" si="44"/>
        <v>1</v>
      </c>
      <c r="R288" s="700">
        <f t="shared" si="45"/>
        <v>10291.006800000001</v>
      </c>
    </row>
    <row r="289" spans="1:18" s="130" customFormat="1" ht="21.95" customHeight="1" x14ac:dyDescent="0.2">
      <c r="A289" s="393" t="s">
        <v>146</v>
      </c>
      <c r="B289" s="959" t="s">
        <v>1370</v>
      </c>
      <c r="C289" s="959" t="s">
        <v>2127</v>
      </c>
      <c r="D289" s="366">
        <f>VLOOKUP($B289,'Análise Física Detalhada'!$E$13:$V$380,18,0)</f>
        <v>12760.848432000001</v>
      </c>
      <c r="E289" s="367">
        <f>VLOOKUP($B289,'Análise Física Detalhada'!$E$13:$P$380,12,0)</f>
        <v>0</v>
      </c>
      <c r="F289" s="368">
        <f t="shared" si="47"/>
        <v>0</v>
      </c>
      <c r="G289" s="696">
        <f>SUMIF('[2]Despesas Diretas'!$B$5:$B$9944,$B289,'[2]Despesas Diretas'!$H$5:$H$9944)</f>
        <v>0</v>
      </c>
      <c r="H289" s="696">
        <f>SUMIF('[3]Despesas Diretas'!$B$5:$B$9999,$B289,'[3]Despesas Diretas'!$H$5:$H$9999)</f>
        <v>0</v>
      </c>
      <c r="I289" s="696">
        <f>SUMIF([4]Comprometimento!$B$6:$B$147,$B289,[4]Comprometimento!$E$6:$E$147)</f>
        <v>0</v>
      </c>
      <c r="J289" s="696">
        <f>SUMIF([4]Estoque!$B$6:$B$880,$B289,[4]Estoque!$H$6:$H$880)</f>
        <v>0</v>
      </c>
      <c r="K289" s="697">
        <f t="shared" si="48"/>
        <v>0</v>
      </c>
      <c r="L289" s="698">
        <f t="shared" si="46"/>
        <v>0</v>
      </c>
      <c r="M289" s="699">
        <f t="shared" si="49"/>
        <v>0</v>
      </c>
      <c r="N289" s="698">
        <v>0</v>
      </c>
      <c r="O289" s="699">
        <v>0</v>
      </c>
      <c r="P289" s="699">
        <f t="shared" si="50"/>
        <v>0</v>
      </c>
      <c r="Q289" s="698">
        <f t="shared" si="44"/>
        <v>1</v>
      </c>
      <c r="R289" s="700">
        <f t="shared" si="45"/>
        <v>12760.848432000001</v>
      </c>
    </row>
    <row r="290" spans="1:18" s="130" customFormat="1" ht="21.95" customHeight="1" x14ac:dyDescent="0.2">
      <c r="A290" s="393" t="s">
        <v>146</v>
      </c>
      <c r="B290" s="959" t="s">
        <v>1970</v>
      </c>
      <c r="C290" s="959" t="s">
        <v>2306</v>
      </c>
      <c r="D290" s="366">
        <f>VLOOKUP($B290,'Análise Física Detalhada'!$E$13:$V$380,18,0)</f>
        <v>4924.246753800001</v>
      </c>
      <c r="E290" s="367">
        <f>VLOOKUP($B290,'Análise Física Detalhada'!$E$13:$P$380,12,0)</f>
        <v>0</v>
      </c>
      <c r="F290" s="368">
        <f t="shared" si="47"/>
        <v>0</v>
      </c>
      <c r="G290" s="696">
        <f>SUMIF('[2]Despesas Diretas'!$B$5:$B$9944,$B290,'[2]Despesas Diretas'!$H$5:$H$9944)</f>
        <v>0</v>
      </c>
      <c r="H290" s="696">
        <f>SUMIF('[3]Despesas Diretas'!$B$5:$B$9999,$B290,'[3]Despesas Diretas'!$H$5:$H$9999)</f>
        <v>0</v>
      </c>
      <c r="I290" s="696">
        <f>SUMIF([4]Comprometimento!$B$6:$B$147,$B290,[4]Comprometimento!$E$6:$E$147)</f>
        <v>0</v>
      </c>
      <c r="J290" s="696">
        <f>SUMIF([4]Estoque!$B$6:$B$880,$B290,[4]Estoque!$H$6:$H$880)</f>
        <v>0</v>
      </c>
      <c r="K290" s="697">
        <f t="shared" si="48"/>
        <v>0</v>
      </c>
      <c r="L290" s="698">
        <f t="shared" si="46"/>
        <v>0</v>
      </c>
      <c r="M290" s="699">
        <f t="shared" si="49"/>
        <v>0</v>
      </c>
      <c r="N290" s="698">
        <v>0</v>
      </c>
      <c r="O290" s="699">
        <v>0</v>
      </c>
      <c r="P290" s="699">
        <f t="shared" si="50"/>
        <v>0</v>
      </c>
      <c r="Q290" s="698">
        <f t="shared" si="44"/>
        <v>1</v>
      </c>
      <c r="R290" s="700">
        <f t="shared" si="45"/>
        <v>4924.246753800001</v>
      </c>
    </row>
    <row r="291" spans="1:18" s="130" customFormat="1" ht="21.95" customHeight="1" x14ac:dyDescent="0.2">
      <c r="A291" s="393" t="s">
        <v>146</v>
      </c>
      <c r="B291" s="959" t="s">
        <v>1971</v>
      </c>
      <c r="C291" s="959" t="s">
        <v>2307</v>
      </c>
      <c r="D291" s="366">
        <f>VLOOKUP($B291,'Análise Física Detalhada'!$E$13:$V$380,18,0)</f>
        <v>1029.10068</v>
      </c>
      <c r="E291" s="367">
        <f>VLOOKUP($B291,'Análise Física Detalhada'!$E$13:$P$380,12,0)</f>
        <v>0</v>
      </c>
      <c r="F291" s="368">
        <f t="shared" si="47"/>
        <v>0</v>
      </c>
      <c r="G291" s="696">
        <f>SUMIF('[2]Despesas Diretas'!$B$5:$B$9944,$B291,'[2]Despesas Diretas'!$H$5:$H$9944)</f>
        <v>0</v>
      </c>
      <c r="H291" s="696">
        <f>SUMIF('[3]Despesas Diretas'!$B$5:$B$9999,$B291,'[3]Despesas Diretas'!$H$5:$H$9999)</f>
        <v>0</v>
      </c>
      <c r="I291" s="696">
        <f>SUMIF([4]Comprometimento!$B$6:$B$147,$B291,[4]Comprometimento!$E$6:$E$147)</f>
        <v>0</v>
      </c>
      <c r="J291" s="696">
        <f>SUMIF([4]Estoque!$B$6:$B$880,$B291,[4]Estoque!$H$6:$H$880)</f>
        <v>0</v>
      </c>
      <c r="K291" s="697">
        <f t="shared" si="48"/>
        <v>0</v>
      </c>
      <c r="L291" s="698">
        <f t="shared" si="46"/>
        <v>0</v>
      </c>
      <c r="M291" s="699">
        <f t="shared" si="49"/>
        <v>0</v>
      </c>
      <c r="N291" s="698">
        <v>0</v>
      </c>
      <c r="O291" s="699">
        <v>0</v>
      </c>
      <c r="P291" s="699">
        <f t="shared" si="50"/>
        <v>0</v>
      </c>
      <c r="Q291" s="698">
        <f t="shared" si="44"/>
        <v>1</v>
      </c>
      <c r="R291" s="700">
        <f t="shared" si="45"/>
        <v>1029.10068</v>
      </c>
    </row>
    <row r="292" spans="1:18" s="130" customFormat="1" ht="21.95" customHeight="1" x14ac:dyDescent="0.2">
      <c r="A292" s="393" t="s">
        <v>146</v>
      </c>
      <c r="B292" s="959" t="s">
        <v>2126</v>
      </c>
      <c r="C292" s="959" t="s">
        <v>2308</v>
      </c>
      <c r="D292" s="366">
        <f>VLOOKUP($B292,'Análise Física Detalhada'!$E$13:$V$380,18,0)</f>
        <v>25727.517000000003</v>
      </c>
      <c r="E292" s="367">
        <f>VLOOKUP($B292,'Análise Física Detalhada'!$E$13:$P$380,12,0)</f>
        <v>0</v>
      </c>
      <c r="F292" s="368">
        <f t="shared" si="47"/>
        <v>0</v>
      </c>
      <c r="G292" s="696">
        <f>SUMIF('[2]Despesas Diretas'!$B$5:$B$9944,$B292,'[2]Despesas Diretas'!$H$5:$H$9944)</f>
        <v>0</v>
      </c>
      <c r="H292" s="696">
        <f>SUMIF('[3]Despesas Diretas'!$B$5:$B$9999,$B292,'[3]Despesas Diretas'!$H$5:$H$9999)</f>
        <v>0</v>
      </c>
      <c r="I292" s="696">
        <f>SUMIF([4]Comprometimento!$B$6:$B$147,$B292,[4]Comprometimento!$E$6:$E$147)</f>
        <v>0</v>
      </c>
      <c r="J292" s="696">
        <f>SUMIF([4]Estoque!$B$6:$B$880,$B292,[4]Estoque!$H$6:$H$880)</f>
        <v>0</v>
      </c>
      <c r="K292" s="697">
        <f t="shared" si="48"/>
        <v>0</v>
      </c>
      <c r="L292" s="698">
        <f t="shared" si="46"/>
        <v>0</v>
      </c>
      <c r="M292" s="699">
        <f t="shared" si="49"/>
        <v>0</v>
      </c>
      <c r="N292" s="698">
        <v>0</v>
      </c>
      <c r="O292" s="699">
        <v>0</v>
      </c>
      <c r="P292" s="699">
        <f t="shared" si="50"/>
        <v>0</v>
      </c>
      <c r="Q292" s="698">
        <f t="shared" si="44"/>
        <v>1</v>
      </c>
      <c r="R292" s="700">
        <f t="shared" si="45"/>
        <v>25727.517000000003</v>
      </c>
    </row>
    <row r="293" spans="1:18" s="130" customFormat="1" ht="21.95" customHeight="1" x14ac:dyDescent="0.2">
      <c r="A293" s="393" t="s">
        <v>147</v>
      </c>
      <c r="B293" s="161" t="s">
        <v>147</v>
      </c>
      <c r="C293" s="161" t="s">
        <v>693</v>
      </c>
      <c r="D293" s="163">
        <f>VLOOKUP($B293,'Análise Física Detalhada'!$E$13:$V$380,18,0)</f>
        <v>85590.622576810798</v>
      </c>
      <c r="E293" s="530">
        <f>F293/D293</f>
        <v>0</v>
      </c>
      <c r="F293" s="1001">
        <f>SUM(F294:F297)</f>
        <v>0</v>
      </c>
      <c r="G293" s="1000">
        <f>SUM(G294:G297)</f>
        <v>0</v>
      </c>
      <c r="H293" s="1000">
        <f t="shared" ref="H293:K293" si="52">SUM(H294:H297)</f>
        <v>0</v>
      </c>
      <c r="I293" s="1000">
        <f t="shared" si="52"/>
        <v>0</v>
      </c>
      <c r="J293" s="1000">
        <f t="shared" si="52"/>
        <v>0</v>
      </c>
      <c r="K293" s="1000">
        <f t="shared" si="52"/>
        <v>0</v>
      </c>
      <c r="L293" s="537">
        <f>IF($F293=0,0,$K293/$F293)</f>
        <v>0</v>
      </c>
      <c r="M293" s="163">
        <f>IF($L293=0,0,$K293-$F293)</f>
        <v>0</v>
      </c>
      <c r="N293" s="537">
        <v>0</v>
      </c>
      <c r="O293" s="163">
        <v>0</v>
      </c>
      <c r="P293" s="163">
        <f>$M293-$O293</f>
        <v>0</v>
      </c>
      <c r="Q293" s="537">
        <f t="shared" si="44"/>
        <v>1</v>
      </c>
      <c r="R293" s="163">
        <f t="shared" si="45"/>
        <v>85590.622576810798</v>
      </c>
    </row>
    <row r="294" spans="1:18" s="130" customFormat="1" ht="21.95" customHeight="1" x14ac:dyDescent="0.2">
      <c r="A294" s="393" t="s">
        <v>147</v>
      </c>
      <c r="B294" s="959" t="s">
        <v>254</v>
      </c>
      <c r="C294" s="959" t="s">
        <v>491</v>
      </c>
      <c r="D294" s="366">
        <f>VLOOKUP($B294,'Análise Física Detalhada'!$E$13:$V$380,18,0)</f>
        <v>44011.425289478408</v>
      </c>
      <c r="E294" s="367">
        <f>VLOOKUP($B294,'Análise Física Detalhada'!$E$13:$P$380,12,0)</f>
        <v>0</v>
      </c>
      <c r="F294" s="368">
        <f t="shared" si="47"/>
        <v>0</v>
      </c>
      <c r="G294" s="696">
        <f>SUMIF('[2]Despesas Diretas'!$B$5:$B$9944,$B294,'[2]Despesas Diretas'!$H$5:$H$9944)</f>
        <v>0</v>
      </c>
      <c r="H294" s="696">
        <f>SUMIF('[3]Despesas Diretas'!$B$5:$B$9999,$B294,'[3]Despesas Diretas'!$H$5:$H$9999)</f>
        <v>0</v>
      </c>
      <c r="I294" s="696">
        <f>SUMIF([4]Comprometimento!$B$6:$B$147,$B294,[4]Comprometimento!$E$6:$E$147)</f>
        <v>0</v>
      </c>
      <c r="J294" s="696">
        <f>SUMIF([4]Estoque!$B$6:$B$880,$B294,[4]Estoque!$H$6:$H$880)</f>
        <v>0</v>
      </c>
      <c r="K294" s="697">
        <f t="shared" si="48"/>
        <v>0</v>
      </c>
      <c r="L294" s="698">
        <f t="shared" si="46"/>
        <v>0</v>
      </c>
      <c r="M294" s="699">
        <f t="shared" si="49"/>
        <v>0</v>
      </c>
      <c r="N294" s="698">
        <v>0</v>
      </c>
      <c r="O294" s="699">
        <v>0</v>
      </c>
      <c r="P294" s="699">
        <f t="shared" si="50"/>
        <v>0</v>
      </c>
      <c r="Q294" s="698">
        <f t="shared" si="44"/>
        <v>1</v>
      </c>
      <c r="R294" s="700">
        <f t="shared" si="45"/>
        <v>44011.425289478408</v>
      </c>
    </row>
    <row r="295" spans="1:18" s="130" customFormat="1" ht="21.95" customHeight="1" x14ac:dyDescent="0.2">
      <c r="A295" s="393" t="s">
        <v>147</v>
      </c>
      <c r="B295" s="959" t="s">
        <v>255</v>
      </c>
      <c r="C295" s="959" t="s">
        <v>2309</v>
      </c>
      <c r="D295" s="366">
        <f>VLOOKUP($B295,'Análise Física Detalhada'!$E$13:$V$380,18,0)</f>
        <v>2510.7998390640005</v>
      </c>
      <c r="E295" s="367">
        <f>VLOOKUP($B295,'Análise Física Detalhada'!$E$13:$P$380,12,0)</f>
        <v>0</v>
      </c>
      <c r="F295" s="368">
        <f t="shared" si="47"/>
        <v>0</v>
      </c>
      <c r="G295" s="696">
        <f>SUMIF('[2]Despesas Diretas'!$B$5:$B$9944,$B295,'[2]Despesas Diretas'!$H$5:$H$9944)</f>
        <v>0</v>
      </c>
      <c r="H295" s="696">
        <f>SUMIF('[3]Despesas Diretas'!$B$5:$B$9999,$B295,'[3]Despesas Diretas'!$H$5:$H$9999)</f>
        <v>0</v>
      </c>
      <c r="I295" s="696">
        <f>SUMIF([4]Comprometimento!$B$6:$B$147,$B295,[4]Comprometimento!$E$6:$E$147)</f>
        <v>0</v>
      </c>
      <c r="J295" s="696">
        <f>SUMIF([4]Estoque!$B$6:$B$880,$B295,[4]Estoque!$H$6:$H$880)</f>
        <v>0</v>
      </c>
      <c r="K295" s="697">
        <f t="shared" si="48"/>
        <v>0</v>
      </c>
      <c r="L295" s="698">
        <f t="shared" si="46"/>
        <v>0</v>
      </c>
      <c r="M295" s="699">
        <f t="shared" si="49"/>
        <v>0</v>
      </c>
      <c r="N295" s="698">
        <v>0</v>
      </c>
      <c r="O295" s="699">
        <v>0</v>
      </c>
      <c r="P295" s="699">
        <f t="shared" si="50"/>
        <v>0</v>
      </c>
      <c r="Q295" s="698">
        <f t="shared" si="44"/>
        <v>1</v>
      </c>
      <c r="R295" s="700">
        <f t="shared" si="45"/>
        <v>2510.7998390640005</v>
      </c>
    </row>
    <row r="296" spans="1:18" s="130" customFormat="1" ht="21.95" customHeight="1" x14ac:dyDescent="0.2">
      <c r="A296" s="393" t="s">
        <v>147</v>
      </c>
      <c r="B296" s="959" t="s">
        <v>256</v>
      </c>
      <c r="C296" s="959" t="s">
        <v>2310</v>
      </c>
      <c r="D296" s="366">
        <f>VLOOKUP($B296,'Análise Física Detalhada'!$E$13:$V$380,18,0)</f>
        <v>28201.094267468405</v>
      </c>
      <c r="E296" s="367">
        <f>VLOOKUP($B296,'Análise Física Detalhada'!$E$13:$P$380,12,0)</f>
        <v>0</v>
      </c>
      <c r="F296" s="368">
        <f t="shared" si="47"/>
        <v>0</v>
      </c>
      <c r="G296" s="696">
        <f>SUMIF('[2]Despesas Diretas'!$B$5:$B$9944,$B296,'[2]Despesas Diretas'!$H$5:$H$9944)</f>
        <v>0</v>
      </c>
      <c r="H296" s="696">
        <f>SUMIF('[3]Despesas Diretas'!$B$5:$B$9999,$B296,'[3]Despesas Diretas'!$H$5:$H$9999)</f>
        <v>0</v>
      </c>
      <c r="I296" s="696">
        <f>SUMIF([4]Comprometimento!$B$6:$B$147,$B296,[4]Comprometimento!$E$6:$E$147)</f>
        <v>0</v>
      </c>
      <c r="J296" s="696">
        <f>SUMIF([4]Estoque!$B$6:$B$880,$B296,[4]Estoque!$H$6:$H$880)</f>
        <v>0</v>
      </c>
      <c r="K296" s="697">
        <f t="shared" si="48"/>
        <v>0</v>
      </c>
      <c r="L296" s="698">
        <f t="shared" si="46"/>
        <v>0</v>
      </c>
      <c r="M296" s="699">
        <f t="shared" si="49"/>
        <v>0</v>
      </c>
      <c r="N296" s="698">
        <v>0</v>
      </c>
      <c r="O296" s="699">
        <v>0</v>
      </c>
      <c r="P296" s="699">
        <f t="shared" si="50"/>
        <v>0</v>
      </c>
      <c r="Q296" s="698">
        <f t="shared" si="44"/>
        <v>1</v>
      </c>
      <c r="R296" s="700">
        <f t="shared" si="45"/>
        <v>28201.094267468405</v>
      </c>
    </row>
    <row r="297" spans="1:18" s="130" customFormat="1" ht="21.95" customHeight="1" x14ac:dyDescent="0.2">
      <c r="A297" s="393" t="s">
        <v>147</v>
      </c>
      <c r="B297" s="959" t="s">
        <v>692</v>
      </c>
      <c r="C297" s="959" t="s">
        <v>417</v>
      </c>
      <c r="D297" s="366">
        <f>VLOOKUP($B297,'Análise Física Detalhada'!$E$13:$V$380,18,0)</f>
        <v>10867.303180800001</v>
      </c>
      <c r="E297" s="367">
        <f>VLOOKUP($B297,'Análise Física Detalhada'!$E$13:$P$380,12,0)</f>
        <v>0</v>
      </c>
      <c r="F297" s="368">
        <f t="shared" si="47"/>
        <v>0</v>
      </c>
      <c r="G297" s="696">
        <f>SUMIF('[2]Despesas Diretas'!$B$5:$B$9944,$B297,'[2]Despesas Diretas'!$H$5:$H$9944)</f>
        <v>0</v>
      </c>
      <c r="H297" s="696">
        <f>SUMIF('[3]Despesas Diretas'!$B$5:$B$9999,$B297,'[3]Despesas Diretas'!$H$5:$H$9999)</f>
        <v>0</v>
      </c>
      <c r="I297" s="696">
        <f>SUMIF([4]Comprometimento!$B$6:$B$147,$B297,[4]Comprometimento!$E$6:$E$147)</f>
        <v>0</v>
      </c>
      <c r="J297" s="696">
        <f>SUMIF([4]Estoque!$B$6:$B$880,$B297,[4]Estoque!$H$6:$H$880)</f>
        <v>0</v>
      </c>
      <c r="K297" s="697">
        <f t="shared" si="48"/>
        <v>0</v>
      </c>
      <c r="L297" s="698">
        <f t="shared" si="46"/>
        <v>0</v>
      </c>
      <c r="M297" s="699">
        <f t="shared" si="49"/>
        <v>0</v>
      </c>
      <c r="N297" s="698">
        <v>0</v>
      </c>
      <c r="O297" s="699">
        <v>0</v>
      </c>
      <c r="P297" s="699">
        <f t="shared" si="50"/>
        <v>0</v>
      </c>
      <c r="Q297" s="698">
        <f t="shared" si="44"/>
        <v>1</v>
      </c>
      <c r="R297" s="700">
        <f t="shared" si="45"/>
        <v>10867.303180800001</v>
      </c>
    </row>
    <row r="298" spans="1:18" s="130" customFormat="1" ht="21.95" customHeight="1" x14ac:dyDescent="0.2">
      <c r="A298" s="393" t="s">
        <v>148</v>
      </c>
      <c r="B298" s="161" t="s">
        <v>148</v>
      </c>
      <c r="C298" s="161" t="s">
        <v>694</v>
      </c>
      <c r="D298" s="163">
        <f>VLOOKUP($B298,'Análise Física Detalhada'!$E$13:$V$380,18,0)</f>
        <v>114825.3764402916</v>
      </c>
      <c r="E298" s="530">
        <f>F298/D298</f>
        <v>0</v>
      </c>
      <c r="F298" s="1001">
        <f>SUM(F299:F323)</f>
        <v>0</v>
      </c>
      <c r="G298" s="1000">
        <f>SUM(G299:G323)</f>
        <v>0</v>
      </c>
      <c r="H298" s="1000">
        <f t="shared" ref="H298:K298" si="53">SUM(H299:H323)</f>
        <v>0</v>
      </c>
      <c r="I298" s="1000">
        <f t="shared" si="53"/>
        <v>0</v>
      </c>
      <c r="J298" s="1000">
        <f t="shared" si="53"/>
        <v>0</v>
      </c>
      <c r="K298" s="1000">
        <f t="shared" si="53"/>
        <v>0</v>
      </c>
      <c r="L298" s="537">
        <f>IF($F298=0,0,$K298/$F298)</f>
        <v>0</v>
      </c>
      <c r="M298" s="163">
        <f>IF($L298=0,0,$K298-$F298)</f>
        <v>0</v>
      </c>
      <c r="N298" s="537">
        <v>0</v>
      </c>
      <c r="O298" s="163">
        <v>0</v>
      </c>
      <c r="P298" s="163">
        <f>$M298-$O298</f>
        <v>0</v>
      </c>
      <c r="Q298" s="537">
        <f t="shared" si="44"/>
        <v>1</v>
      </c>
      <c r="R298" s="163">
        <f t="shared" si="45"/>
        <v>114825.3764402916</v>
      </c>
    </row>
    <row r="299" spans="1:18" s="130" customFormat="1" ht="21.95" customHeight="1" x14ac:dyDescent="0.2">
      <c r="A299" s="393" t="s">
        <v>148</v>
      </c>
      <c r="B299" s="967" t="s">
        <v>792</v>
      </c>
      <c r="C299" s="967" t="s">
        <v>695</v>
      </c>
      <c r="D299" s="366">
        <f>VLOOKUP($B299,'Análise Física Detalhada'!$E$13:$V$380,18,0)</f>
        <v>0</v>
      </c>
      <c r="E299" s="367">
        <f>VLOOKUP($B299,'Análise Física Detalhada'!$E$13:$P$380,12,0)</f>
        <v>0</v>
      </c>
      <c r="F299" s="368">
        <f t="shared" si="47"/>
        <v>0</v>
      </c>
      <c r="G299" s="696">
        <f>SUMIF('[2]Despesas Diretas'!$B$5:$B$9944,$B299,'[2]Despesas Diretas'!$H$5:$H$9944)</f>
        <v>0</v>
      </c>
      <c r="H299" s="696">
        <f>SUMIF('[3]Despesas Diretas'!$B$5:$B$9999,$B299,'[3]Despesas Diretas'!$H$5:$H$9999)</f>
        <v>0</v>
      </c>
      <c r="I299" s="696">
        <f>SUMIF([4]Comprometimento!$B$6:$B$147,$B299,[4]Comprometimento!$E$6:$E$147)</f>
        <v>0</v>
      </c>
      <c r="J299" s="696">
        <f>SUMIF([4]Estoque!$B$6:$B$880,$B299,[4]Estoque!$H$6:$H$880)</f>
        <v>0</v>
      </c>
      <c r="K299" s="697">
        <f t="shared" si="48"/>
        <v>0</v>
      </c>
      <c r="L299" s="698">
        <f t="shared" si="46"/>
        <v>0</v>
      </c>
      <c r="M299" s="699">
        <f t="shared" si="49"/>
        <v>0</v>
      </c>
      <c r="N299" s="698">
        <v>0</v>
      </c>
      <c r="O299" s="699">
        <v>0</v>
      </c>
      <c r="P299" s="699">
        <f t="shared" si="50"/>
        <v>0</v>
      </c>
      <c r="Q299" s="698">
        <f t="shared" si="44"/>
        <v>0</v>
      </c>
      <c r="R299" s="700">
        <f t="shared" si="45"/>
        <v>0</v>
      </c>
    </row>
    <row r="300" spans="1:18" s="130" customFormat="1" ht="21.95" customHeight="1" x14ac:dyDescent="0.2">
      <c r="A300" s="393" t="s">
        <v>148</v>
      </c>
      <c r="B300" s="959" t="s">
        <v>793</v>
      </c>
      <c r="C300" s="959" t="s">
        <v>1508</v>
      </c>
      <c r="D300" s="366">
        <f>VLOOKUP($B300,'Análise Física Detalhada'!$E$13:$V$380,18,0)</f>
        <v>18751.078834171203</v>
      </c>
      <c r="E300" s="367">
        <f>VLOOKUP($B300,'Análise Física Detalhada'!$E$13:$P$380,12,0)</f>
        <v>0</v>
      </c>
      <c r="F300" s="368">
        <f t="shared" si="47"/>
        <v>0</v>
      </c>
      <c r="G300" s="696">
        <f>SUMIF('[2]Despesas Diretas'!$B$5:$B$9944,$B300,'[2]Despesas Diretas'!$H$5:$H$9944)</f>
        <v>0</v>
      </c>
      <c r="H300" s="696">
        <f>SUMIF('[3]Despesas Diretas'!$B$5:$B$9999,$B300,'[3]Despesas Diretas'!$H$5:$H$9999)</f>
        <v>0</v>
      </c>
      <c r="I300" s="696">
        <f>SUMIF([4]Comprometimento!$B$6:$B$147,$B300,[4]Comprometimento!$E$6:$E$147)</f>
        <v>0</v>
      </c>
      <c r="J300" s="696">
        <f>SUMIF([4]Estoque!$B$6:$B$880,$B300,[4]Estoque!$H$6:$H$880)</f>
        <v>0</v>
      </c>
      <c r="K300" s="697">
        <f t="shared" si="48"/>
        <v>0</v>
      </c>
      <c r="L300" s="698">
        <f t="shared" si="46"/>
        <v>0</v>
      </c>
      <c r="M300" s="699">
        <f t="shared" si="49"/>
        <v>0</v>
      </c>
      <c r="N300" s="698">
        <v>0</v>
      </c>
      <c r="O300" s="699">
        <v>0</v>
      </c>
      <c r="P300" s="699">
        <f t="shared" si="50"/>
        <v>0</v>
      </c>
      <c r="Q300" s="698">
        <f t="shared" si="44"/>
        <v>1</v>
      </c>
      <c r="R300" s="700">
        <f t="shared" si="45"/>
        <v>18751.078834171203</v>
      </c>
    </row>
    <row r="301" spans="1:18" s="130" customFormat="1" ht="21.95" customHeight="1" x14ac:dyDescent="0.2">
      <c r="A301" s="393" t="s">
        <v>148</v>
      </c>
      <c r="B301" s="959" t="s">
        <v>794</v>
      </c>
      <c r="C301" s="959" t="s">
        <v>1972</v>
      </c>
      <c r="D301" s="366">
        <f>VLOOKUP($B301,'Análise Física Detalhada'!$E$13:$V$380,18,0)</f>
        <v>2607.7205411064006</v>
      </c>
      <c r="E301" s="367">
        <f>VLOOKUP($B301,'Análise Física Detalhada'!$E$13:$P$380,12,0)</f>
        <v>0</v>
      </c>
      <c r="F301" s="368">
        <f t="shared" si="47"/>
        <v>0</v>
      </c>
      <c r="G301" s="696">
        <f>SUMIF('[2]Despesas Diretas'!$B$5:$B$9944,$B301,'[2]Despesas Diretas'!$H$5:$H$9944)</f>
        <v>0</v>
      </c>
      <c r="H301" s="696">
        <f>SUMIF('[3]Despesas Diretas'!$B$5:$B$9999,$B301,'[3]Despesas Diretas'!$H$5:$H$9999)</f>
        <v>0</v>
      </c>
      <c r="I301" s="696">
        <f>SUMIF([4]Comprometimento!$B$6:$B$147,$B301,[4]Comprometimento!$E$6:$E$147)</f>
        <v>0</v>
      </c>
      <c r="J301" s="696">
        <f>SUMIF([4]Estoque!$B$6:$B$880,$B301,[4]Estoque!$H$6:$H$880)</f>
        <v>0</v>
      </c>
      <c r="K301" s="697">
        <f t="shared" si="48"/>
        <v>0</v>
      </c>
      <c r="L301" s="698">
        <f t="shared" si="46"/>
        <v>0</v>
      </c>
      <c r="M301" s="699">
        <f t="shared" si="49"/>
        <v>0</v>
      </c>
      <c r="N301" s="698">
        <v>0</v>
      </c>
      <c r="O301" s="699">
        <v>0</v>
      </c>
      <c r="P301" s="699">
        <f t="shared" si="50"/>
        <v>0</v>
      </c>
      <c r="Q301" s="698">
        <f t="shared" si="44"/>
        <v>1</v>
      </c>
      <c r="R301" s="700">
        <f t="shared" si="45"/>
        <v>2607.7205411064006</v>
      </c>
    </row>
    <row r="302" spans="1:18" s="130" customFormat="1" ht="21.95" customHeight="1" x14ac:dyDescent="0.2">
      <c r="A302" s="393" t="s">
        <v>148</v>
      </c>
      <c r="B302" s="959" t="s">
        <v>795</v>
      </c>
      <c r="C302" s="959" t="s">
        <v>796</v>
      </c>
      <c r="D302" s="366">
        <f>VLOOKUP($B302,'Análise Física Detalhada'!$E$13:$V$380,18,0)</f>
        <v>718.64158685760026</v>
      </c>
      <c r="E302" s="367">
        <f>VLOOKUP($B302,'Análise Física Detalhada'!$E$13:$P$380,12,0)</f>
        <v>0</v>
      </c>
      <c r="F302" s="368">
        <f t="shared" si="47"/>
        <v>0</v>
      </c>
      <c r="G302" s="696">
        <f>SUMIF('[2]Despesas Diretas'!$B$5:$B$9944,$B302,'[2]Despesas Diretas'!$H$5:$H$9944)</f>
        <v>0</v>
      </c>
      <c r="H302" s="696">
        <f>SUMIF('[3]Despesas Diretas'!$B$5:$B$9999,$B302,'[3]Despesas Diretas'!$H$5:$H$9999)</f>
        <v>0</v>
      </c>
      <c r="I302" s="696">
        <f>SUMIF([4]Comprometimento!$B$6:$B$147,$B302,[4]Comprometimento!$E$6:$E$147)</f>
        <v>0</v>
      </c>
      <c r="J302" s="696">
        <f>SUMIF([4]Estoque!$B$6:$B$880,$B302,[4]Estoque!$H$6:$H$880)</f>
        <v>0</v>
      </c>
      <c r="K302" s="697">
        <f t="shared" si="48"/>
        <v>0</v>
      </c>
      <c r="L302" s="698">
        <f t="shared" si="46"/>
        <v>0</v>
      </c>
      <c r="M302" s="699">
        <f t="shared" si="49"/>
        <v>0</v>
      </c>
      <c r="N302" s="698">
        <v>0</v>
      </c>
      <c r="O302" s="699">
        <v>0</v>
      </c>
      <c r="P302" s="699">
        <f t="shared" si="50"/>
        <v>0</v>
      </c>
      <c r="Q302" s="698">
        <f t="shared" si="44"/>
        <v>1</v>
      </c>
      <c r="R302" s="700">
        <f t="shared" si="45"/>
        <v>718.64158685760026</v>
      </c>
    </row>
    <row r="303" spans="1:18" s="130" customFormat="1" ht="21.95" customHeight="1" x14ac:dyDescent="0.2">
      <c r="A303" s="393" t="s">
        <v>148</v>
      </c>
      <c r="B303" s="967" t="s">
        <v>797</v>
      </c>
      <c r="C303" s="967" t="s">
        <v>696</v>
      </c>
      <c r="D303" s="366">
        <f>VLOOKUP($B303,'Análise Física Detalhada'!$E$13:$V$380,18,0)</f>
        <v>0</v>
      </c>
      <c r="E303" s="367">
        <f>VLOOKUP($B303,'Análise Física Detalhada'!$E$13:$P$380,12,0)</f>
        <v>0</v>
      </c>
      <c r="F303" s="368">
        <f t="shared" si="47"/>
        <v>0</v>
      </c>
      <c r="G303" s="696">
        <f>SUMIF('[2]Despesas Diretas'!$B$5:$B$9944,$B303,'[2]Despesas Diretas'!$H$5:$H$9944)</f>
        <v>0</v>
      </c>
      <c r="H303" s="696">
        <f>SUMIF('[3]Despesas Diretas'!$B$5:$B$9999,$B303,'[3]Despesas Diretas'!$H$5:$H$9999)</f>
        <v>0</v>
      </c>
      <c r="I303" s="696">
        <f>SUMIF([4]Comprometimento!$B$6:$B$147,$B303,[4]Comprometimento!$E$6:$E$147)</f>
        <v>0</v>
      </c>
      <c r="J303" s="696">
        <f>SUMIF([4]Estoque!$B$6:$B$880,$B303,[4]Estoque!$H$6:$H$880)</f>
        <v>0</v>
      </c>
      <c r="K303" s="697">
        <f t="shared" si="48"/>
        <v>0</v>
      </c>
      <c r="L303" s="698">
        <f t="shared" si="46"/>
        <v>0</v>
      </c>
      <c r="M303" s="699">
        <f t="shared" si="49"/>
        <v>0</v>
      </c>
      <c r="N303" s="698">
        <v>0</v>
      </c>
      <c r="O303" s="699">
        <v>0</v>
      </c>
      <c r="P303" s="699">
        <f t="shared" si="50"/>
        <v>0</v>
      </c>
      <c r="Q303" s="698">
        <f t="shared" si="44"/>
        <v>0</v>
      </c>
      <c r="R303" s="700">
        <f t="shared" si="45"/>
        <v>0</v>
      </c>
    </row>
    <row r="304" spans="1:18" s="130" customFormat="1" ht="21.95" customHeight="1" x14ac:dyDescent="0.2">
      <c r="A304" s="393" t="s">
        <v>148</v>
      </c>
      <c r="B304" s="959" t="s">
        <v>798</v>
      </c>
      <c r="C304" s="959" t="s">
        <v>2128</v>
      </c>
      <c r="D304" s="366">
        <f>VLOOKUP($B304,'Análise Física Detalhada'!$E$13:$V$380,18,0)</f>
        <v>4061.9632940280003</v>
      </c>
      <c r="E304" s="367">
        <f>VLOOKUP($B304,'Análise Física Detalhada'!$E$13:$P$380,12,0)</f>
        <v>0</v>
      </c>
      <c r="F304" s="368">
        <f t="shared" si="47"/>
        <v>0</v>
      </c>
      <c r="G304" s="696">
        <f>SUMIF('[2]Despesas Diretas'!$B$5:$B$9944,$B304,'[2]Despesas Diretas'!$H$5:$H$9944)</f>
        <v>0</v>
      </c>
      <c r="H304" s="696">
        <f>SUMIF('[3]Despesas Diretas'!$B$5:$B$9999,$B304,'[3]Despesas Diretas'!$H$5:$H$9999)</f>
        <v>0</v>
      </c>
      <c r="I304" s="696">
        <f>SUMIF([4]Comprometimento!$B$6:$B$147,$B304,[4]Comprometimento!$E$6:$E$147)</f>
        <v>0</v>
      </c>
      <c r="J304" s="696">
        <f>SUMIF([4]Estoque!$B$6:$B$880,$B304,[4]Estoque!$H$6:$H$880)</f>
        <v>0</v>
      </c>
      <c r="K304" s="697">
        <f t="shared" si="48"/>
        <v>0</v>
      </c>
      <c r="L304" s="698">
        <f t="shared" si="46"/>
        <v>0</v>
      </c>
      <c r="M304" s="699">
        <f t="shared" si="49"/>
        <v>0</v>
      </c>
      <c r="N304" s="698">
        <v>0</v>
      </c>
      <c r="O304" s="699">
        <v>0</v>
      </c>
      <c r="P304" s="699">
        <f t="shared" si="50"/>
        <v>0</v>
      </c>
      <c r="Q304" s="698">
        <f t="shared" si="44"/>
        <v>1</v>
      </c>
      <c r="R304" s="700">
        <f t="shared" si="45"/>
        <v>4061.9632940280003</v>
      </c>
    </row>
    <row r="305" spans="1:18" s="130" customFormat="1" ht="21.95" customHeight="1" x14ac:dyDescent="0.2">
      <c r="A305" s="393" t="s">
        <v>148</v>
      </c>
      <c r="B305" s="959" t="s">
        <v>799</v>
      </c>
      <c r="C305" s="959" t="s">
        <v>2129</v>
      </c>
      <c r="D305" s="366">
        <f>VLOOKUP($B305,'Análise Física Detalhada'!$E$13:$V$380,18,0)</f>
        <v>2575.1495045844003</v>
      </c>
      <c r="E305" s="367">
        <f>VLOOKUP($B305,'Análise Física Detalhada'!$E$13:$P$380,12,0)</f>
        <v>0</v>
      </c>
      <c r="F305" s="368">
        <f t="shared" si="47"/>
        <v>0</v>
      </c>
      <c r="G305" s="696">
        <f>SUMIF('[2]Despesas Diretas'!$B$5:$B$9944,$B305,'[2]Despesas Diretas'!$H$5:$H$9944)</f>
        <v>0</v>
      </c>
      <c r="H305" s="696">
        <f>SUMIF('[3]Despesas Diretas'!$B$5:$B$9999,$B305,'[3]Despesas Diretas'!$H$5:$H$9999)</f>
        <v>0</v>
      </c>
      <c r="I305" s="696">
        <f>SUMIF([4]Comprometimento!$B$6:$B$147,$B305,[4]Comprometimento!$E$6:$E$147)</f>
        <v>0</v>
      </c>
      <c r="J305" s="696">
        <f>SUMIF([4]Estoque!$B$6:$B$880,$B305,[4]Estoque!$H$6:$H$880)</f>
        <v>0</v>
      </c>
      <c r="K305" s="697">
        <f t="shared" si="48"/>
        <v>0</v>
      </c>
      <c r="L305" s="698">
        <f t="shared" si="46"/>
        <v>0</v>
      </c>
      <c r="M305" s="699">
        <f t="shared" si="49"/>
        <v>0</v>
      </c>
      <c r="N305" s="698">
        <v>0</v>
      </c>
      <c r="O305" s="699">
        <v>0</v>
      </c>
      <c r="P305" s="699">
        <f t="shared" si="50"/>
        <v>0</v>
      </c>
      <c r="Q305" s="698">
        <f t="shared" si="44"/>
        <v>1</v>
      </c>
      <c r="R305" s="700">
        <f t="shared" si="45"/>
        <v>2575.1495045844003</v>
      </c>
    </row>
    <row r="306" spans="1:18" s="130" customFormat="1" ht="21.95" customHeight="1" x14ac:dyDescent="0.2">
      <c r="A306" s="393" t="s">
        <v>148</v>
      </c>
      <c r="B306" s="959" t="s">
        <v>800</v>
      </c>
      <c r="C306" s="959" t="s">
        <v>2311</v>
      </c>
      <c r="D306" s="366">
        <f>VLOOKUP($B306,'Análise Física Detalhada'!$E$13:$V$380,18,0)</f>
        <v>15593.211360543602</v>
      </c>
      <c r="E306" s="367">
        <f>VLOOKUP($B306,'Análise Física Detalhada'!$E$13:$P$380,12,0)</f>
        <v>0</v>
      </c>
      <c r="F306" s="368">
        <f t="shared" si="47"/>
        <v>0</v>
      </c>
      <c r="G306" s="696">
        <f>SUMIF('[2]Despesas Diretas'!$B$5:$B$9944,$B306,'[2]Despesas Diretas'!$H$5:$H$9944)</f>
        <v>0</v>
      </c>
      <c r="H306" s="696">
        <f>SUMIF('[3]Despesas Diretas'!$B$5:$B$9999,$B306,'[3]Despesas Diretas'!$H$5:$H$9999)</f>
        <v>0</v>
      </c>
      <c r="I306" s="696">
        <f>SUMIF([4]Comprometimento!$B$6:$B$147,$B306,[4]Comprometimento!$E$6:$E$147)</f>
        <v>0</v>
      </c>
      <c r="J306" s="696">
        <f>SUMIF([4]Estoque!$B$6:$B$880,$B306,[4]Estoque!$H$6:$H$880)</f>
        <v>0</v>
      </c>
      <c r="K306" s="697">
        <f t="shared" si="48"/>
        <v>0</v>
      </c>
      <c r="L306" s="698">
        <f t="shared" si="46"/>
        <v>0</v>
      </c>
      <c r="M306" s="699">
        <f t="shared" si="49"/>
        <v>0</v>
      </c>
      <c r="N306" s="698">
        <v>0</v>
      </c>
      <c r="O306" s="699">
        <v>0</v>
      </c>
      <c r="P306" s="699">
        <f t="shared" si="50"/>
        <v>0</v>
      </c>
      <c r="Q306" s="698">
        <f t="shared" si="44"/>
        <v>1</v>
      </c>
      <c r="R306" s="700">
        <f t="shared" si="45"/>
        <v>15593.211360543602</v>
      </c>
    </row>
    <row r="307" spans="1:18" s="130" customFormat="1" ht="21.95" customHeight="1" x14ac:dyDescent="0.2">
      <c r="A307" s="393" t="s">
        <v>148</v>
      </c>
      <c r="B307" s="967" t="s">
        <v>801</v>
      </c>
      <c r="C307" s="967" t="s">
        <v>698</v>
      </c>
      <c r="D307" s="366">
        <f>VLOOKUP($B307,'Análise Física Detalhada'!$E$13:$V$380,18,0)</f>
        <v>0</v>
      </c>
      <c r="E307" s="367">
        <f>VLOOKUP($B307,'Análise Física Detalhada'!$E$13:$P$380,12,0)</f>
        <v>0</v>
      </c>
      <c r="F307" s="368">
        <f t="shared" si="47"/>
        <v>0</v>
      </c>
      <c r="G307" s="696">
        <f>SUMIF('[2]Despesas Diretas'!$B$5:$B$9944,$B307,'[2]Despesas Diretas'!$H$5:$H$9944)</f>
        <v>0</v>
      </c>
      <c r="H307" s="696">
        <f>SUMIF('[3]Despesas Diretas'!$B$5:$B$9999,$B307,'[3]Despesas Diretas'!$H$5:$H$9999)</f>
        <v>0</v>
      </c>
      <c r="I307" s="696">
        <f>SUMIF([4]Comprometimento!$B$6:$B$147,$B307,[4]Comprometimento!$E$6:$E$147)</f>
        <v>0</v>
      </c>
      <c r="J307" s="696">
        <f>SUMIF([4]Estoque!$B$6:$B$880,$B307,[4]Estoque!$H$6:$H$880)</f>
        <v>0</v>
      </c>
      <c r="K307" s="697">
        <f t="shared" si="48"/>
        <v>0</v>
      </c>
      <c r="L307" s="698">
        <f t="shared" si="46"/>
        <v>0</v>
      </c>
      <c r="M307" s="699">
        <f t="shared" si="49"/>
        <v>0</v>
      </c>
      <c r="N307" s="698">
        <v>0</v>
      </c>
      <c r="O307" s="699">
        <v>0</v>
      </c>
      <c r="P307" s="699">
        <f t="shared" si="50"/>
        <v>0</v>
      </c>
      <c r="Q307" s="698">
        <f t="shared" si="44"/>
        <v>0</v>
      </c>
      <c r="R307" s="700">
        <f t="shared" si="45"/>
        <v>0</v>
      </c>
    </row>
    <row r="308" spans="1:18" s="130" customFormat="1" ht="21.95" customHeight="1" x14ac:dyDescent="0.2">
      <c r="A308" s="393" t="s">
        <v>148</v>
      </c>
      <c r="B308" s="959" t="s">
        <v>802</v>
      </c>
      <c r="C308" s="959" t="s">
        <v>2312</v>
      </c>
      <c r="D308" s="366">
        <f>VLOOKUP($B308,'Análise Física Detalhada'!$E$13:$V$380,18,0)</f>
        <v>2565.6920693351999</v>
      </c>
      <c r="E308" s="367">
        <f>VLOOKUP($B308,'Análise Física Detalhada'!$E$13:$P$380,12,0)</f>
        <v>0</v>
      </c>
      <c r="F308" s="368">
        <f t="shared" si="47"/>
        <v>0</v>
      </c>
      <c r="G308" s="696">
        <f>SUMIF('[2]Despesas Diretas'!$B$5:$B$9944,$B308,'[2]Despesas Diretas'!$H$5:$H$9944)</f>
        <v>0</v>
      </c>
      <c r="H308" s="696">
        <f>SUMIF('[3]Despesas Diretas'!$B$5:$B$9999,$B308,'[3]Despesas Diretas'!$H$5:$H$9999)</f>
        <v>0</v>
      </c>
      <c r="I308" s="696">
        <f>SUMIF([4]Comprometimento!$B$6:$B$147,$B308,[4]Comprometimento!$E$6:$E$147)</f>
        <v>0</v>
      </c>
      <c r="J308" s="696">
        <f>SUMIF([4]Estoque!$B$6:$B$880,$B308,[4]Estoque!$H$6:$H$880)</f>
        <v>0</v>
      </c>
      <c r="K308" s="697">
        <f t="shared" si="48"/>
        <v>0</v>
      </c>
      <c r="L308" s="698">
        <f t="shared" si="46"/>
        <v>0</v>
      </c>
      <c r="M308" s="699">
        <f t="shared" si="49"/>
        <v>0</v>
      </c>
      <c r="N308" s="698">
        <v>0</v>
      </c>
      <c r="O308" s="699">
        <v>0</v>
      </c>
      <c r="P308" s="699">
        <f t="shared" si="50"/>
        <v>0</v>
      </c>
      <c r="Q308" s="698">
        <f t="shared" si="44"/>
        <v>1</v>
      </c>
      <c r="R308" s="700">
        <f t="shared" si="45"/>
        <v>2565.6920693351999</v>
      </c>
    </row>
    <row r="309" spans="1:18" s="130" customFormat="1" ht="21.95" customHeight="1" x14ac:dyDescent="0.2">
      <c r="A309" s="393" t="s">
        <v>148</v>
      </c>
      <c r="B309" s="967" t="s">
        <v>803</v>
      </c>
      <c r="C309" s="967" t="s">
        <v>701</v>
      </c>
      <c r="D309" s="366">
        <f>VLOOKUP($B309,'Análise Física Detalhada'!$E$13:$V$380,18,0)</f>
        <v>0</v>
      </c>
      <c r="E309" s="367">
        <f>VLOOKUP($B309,'Análise Física Detalhada'!$E$13:$P$380,12,0)</f>
        <v>0</v>
      </c>
      <c r="F309" s="368">
        <f t="shared" si="47"/>
        <v>0</v>
      </c>
      <c r="G309" s="696">
        <f>SUMIF('[2]Despesas Diretas'!$B$5:$B$9944,$B309,'[2]Despesas Diretas'!$H$5:$H$9944)</f>
        <v>0</v>
      </c>
      <c r="H309" s="696">
        <f>SUMIF('[3]Despesas Diretas'!$B$5:$B$9999,$B309,'[3]Despesas Diretas'!$H$5:$H$9999)</f>
        <v>0</v>
      </c>
      <c r="I309" s="696">
        <f>SUMIF([4]Comprometimento!$B$6:$B$147,$B309,[4]Comprometimento!$E$6:$E$147)</f>
        <v>0</v>
      </c>
      <c r="J309" s="696">
        <f>SUMIF([4]Estoque!$B$6:$B$880,$B309,[4]Estoque!$H$6:$H$880)</f>
        <v>0</v>
      </c>
      <c r="K309" s="697">
        <f t="shared" si="48"/>
        <v>0</v>
      </c>
      <c r="L309" s="698">
        <f t="shared" si="46"/>
        <v>0</v>
      </c>
      <c r="M309" s="699">
        <f t="shared" si="49"/>
        <v>0</v>
      </c>
      <c r="N309" s="698">
        <v>0</v>
      </c>
      <c r="O309" s="699">
        <v>0</v>
      </c>
      <c r="P309" s="699">
        <f t="shared" si="50"/>
        <v>0</v>
      </c>
      <c r="Q309" s="698">
        <f t="shared" si="44"/>
        <v>0</v>
      </c>
      <c r="R309" s="700">
        <f t="shared" si="45"/>
        <v>0</v>
      </c>
    </row>
    <row r="310" spans="1:18" s="130" customFormat="1" ht="21.95" customHeight="1" x14ac:dyDescent="0.2">
      <c r="A310" s="393" t="s">
        <v>148</v>
      </c>
      <c r="B310" s="959" t="s">
        <v>804</v>
      </c>
      <c r="C310" s="959" t="s">
        <v>2130</v>
      </c>
      <c r="D310" s="366">
        <f>VLOOKUP($B310,'Análise Física Detalhada'!$E$13:$V$380,18,0)</f>
        <v>985.44622915440016</v>
      </c>
      <c r="E310" s="367">
        <f>VLOOKUP($B310,'Análise Física Detalhada'!$E$13:$P$380,12,0)</f>
        <v>0</v>
      </c>
      <c r="F310" s="368">
        <f t="shared" si="47"/>
        <v>0</v>
      </c>
      <c r="G310" s="696">
        <f>SUMIF('[2]Despesas Diretas'!$B$5:$B$9944,$B310,'[2]Despesas Diretas'!$H$5:$H$9944)</f>
        <v>0</v>
      </c>
      <c r="H310" s="696">
        <f>SUMIF('[3]Despesas Diretas'!$B$5:$B$9999,$B310,'[3]Despesas Diretas'!$H$5:$H$9999)</f>
        <v>0</v>
      </c>
      <c r="I310" s="696">
        <f>SUMIF([4]Comprometimento!$B$6:$B$147,$B310,[4]Comprometimento!$E$6:$E$147)</f>
        <v>0</v>
      </c>
      <c r="J310" s="696">
        <f>SUMIF([4]Estoque!$B$6:$B$880,$B310,[4]Estoque!$H$6:$H$880)</f>
        <v>0</v>
      </c>
      <c r="K310" s="697">
        <f t="shared" si="48"/>
        <v>0</v>
      </c>
      <c r="L310" s="698">
        <f t="shared" si="46"/>
        <v>0</v>
      </c>
      <c r="M310" s="699">
        <f t="shared" si="49"/>
        <v>0</v>
      </c>
      <c r="N310" s="698">
        <v>0</v>
      </c>
      <c r="O310" s="699">
        <v>0</v>
      </c>
      <c r="P310" s="699">
        <f t="shared" si="50"/>
        <v>0</v>
      </c>
      <c r="Q310" s="698">
        <f t="shared" si="44"/>
        <v>1</v>
      </c>
      <c r="R310" s="700">
        <f t="shared" si="45"/>
        <v>985.44622915440016</v>
      </c>
    </row>
    <row r="311" spans="1:18" s="130" customFormat="1" ht="21.95" customHeight="1" x14ac:dyDescent="0.2">
      <c r="A311" s="393" t="s">
        <v>148</v>
      </c>
      <c r="B311" s="967" t="s">
        <v>805</v>
      </c>
      <c r="C311" s="967" t="s">
        <v>705</v>
      </c>
      <c r="D311" s="366">
        <f>VLOOKUP($B311,'Análise Física Detalhada'!$E$13:$V$380,18,0)</f>
        <v>0</v>
      </c>
      <c r="E311" s="367">
        <f>VLOOKUP($B311,'Análise Física Detalhada'!$E$13:$P$380,12,0)</f>
        <v>0</v>
      </c>
      <c r="F311" s="368">
        <f t="shared" si="47"/>
        <v>0</v>
      </c>
      <c r="G311" s="696">
        <f>SUMIF('[2]Despesas Diretas'!$B$5:$B$9944,$B311,'[2]Despesas Diretas'!$H$5:$H$9944)</f>
        <v>0</v>
      </c>
      <c r="H311" s="696">
        <f>SUMIF('[3]Despesas Diretas'!$B$5:$B$9999,$B311,'[3]Despesas Diretas'!$H$5:$H$9999)</f>
        <v>0</v>
      </c>
      <c r="I311" s="696">
        <f>SUMIF([4]Comprometimento!$B$6:$B$147,$B311,[4]Comprometimento!$E$6:$E$147)</f>
        <v>0</v>
      </c>
      <c r="J311" s="696">
        <f>SUMIF([4]Estoque!$B$6:$B$880,$B311,[4]Estoque!$H$6:$H$880)</f>
        <v>0</v>
      </c>
      <c r="K311" s="697">
        <f t="shared" si="48"/>
        <v>0</v>
      </c>
      <c r="L311" s="698">
        <f t="shared" si="46"/>
        <v>0</v>
      </c>
      <c r="M311" s="699">
        <f t="shared" si="49"/>
        <v>0</v>
      </c>
      <c r="N311" s="698">
        <v>0</v>
      </c>
      <c r="O311" s="699">
        <v>0</v>
      </c>
      <c r="P311" s="699">
        <f t="shared" si="50"/>
        <v>0</v>
      </c>
      <c r="Q311" s="698">
        <f t="shared" si="44"/>
        <v>0</v>
      </c>
      <c r="R311" s="700">
        <f t="shared" si="45"/>
        <v>0</v>
      </c>
    </row>
    <row r="312" spans="1:18" s="130" customFormat="1" ht="21.95" customHeight="1" x14ac:dyDescent="0.2">
      <c r="A312" s="393" t="s">
        <v>148</v>
      </c>
      <c r="B312" s="959" t="s">
        <v>806</v>
      </c>
      <c r="C312" s="959" t="s">
        <v>2313</v>
      </c>
      <c r="D312" s="366">
        <f>VLOOKUP($B312,'Análise Física Detalhada'!$E$13:$V$380,18,0)</f>
        <v>1218.6507342492002</v>
      </c>
      <c r="E312" s="367">
        <f>VLOOKUP($B312,'Análise Física Detalhada'!$E$13:$P$380,12,0)</f>
        <v>0</v>
      </c>
      <c r="F312" s="368">
        <f t="shared" si="47"/>
        <v>0</v>
      </c>
      <c r="G312" s="696">
        <f>SUMIF('[2]Despesas Diretas'!$B$5:$B$9944,$B312,'[2]Despesas Diretas'!$H$5:$H$9944)</f>
        <v>0</v>
      </c>
      <c r="H312" s="696">
        <f>SUMIF('[3]Despesas Diretas'!$B$5:$B$9999,$B312,'[3]Despesas Diretas'!$H$5:$H$9999)</f>
        <v>0</v>
      </c>
      <c r="I312" s="696">
        <f>SUMIF([4]Comprometimento!$B$6:$B$147,$B312,[4]Comprometimento!$E$6:$E$147)</f>
        <v>0</v>
      </c>
      <c r="J312" s="696">
        <f>SUMIF([4]Estoque!$B$6:$B$880,$B312,[4]Estoque!$H$6:$H$880)</f>
        <v>0</v>
      </c>
      <c r="K312" s="697">
        <f t="shared" si="48"/>
        <v>0</v>
      </c>
      <c r="L312" s="698">
        <f t="shared" si="46"/>
        <v>0</v>
      </c>
      <c r="M312" s="699">
        <f t="shared" si="49"/>
        <v>0</v>
      </c>
      <c r="N312" s="698">
        <v>0</v>
      </c>
      <c r="O312" s="699">
        <v>0</v>
      </c>
      <c r="P312" s="699">
        <f t="shared" si="50"/>
        <v>0</v>
      </c>
      <c r="Q312" s="698">
        <f t="shared" si="44"/>
        <v>1</v>
      </c>
      <c r="R312" s="700">
        <f t="shared" si="45"/>
        <v>1218.6507342492002</v>
      </c>
    </row>
    <row r="313" spans="1:18" s="130" customFormat="1" ht="21.95" customHeight="1" x14ac:dyDescent="0.2">
      <c r="A313" s="393" t="s">
        <v>148</v>
      </c>
      <c r="B313" s="959" t="s">
        <v>807</v>
      </c>
      <c r="C313" s="959" t="s">
        <v>2314</v>
      </c>
      <c r="D313" s="366">
        <f>VLOOKUP($B313,'Análise Física Detalhada'!$E$13:$V$380,18,0)</f>
        <v>1264.2707673936002</v>
      </c>
      <c r="E313" s="367">
        <f>VLOOKUP($B313,'Análise Física Detalhada'!$E$13:$P$380,12,0)</f>
        <v>0</v>
      </c>
      <c r="F313" s="368">
        <f t="shared" si="47"/>
        <v>0</v>
      </c>
      <c r="G313" s="696">
        <f>SUMIF('[2]Despesas Diretas'!$B$5:$B$9944,$B313,'[2]Despesas Diretas'!$H$5:$H$9944)</f>
        <v>0</v>
      </c>
      <c r="H313" s="696">
        <f>SUMIF('[3]Despesas Diretas'!$B$5:$B$9999,$B313,'[3]Despesas Diretas'!$H$5:$H$9999)</f>
        <v>0</v>
      </c>
      <c r="I313" s="696">
        <f>SUMIF([4]Comprometimento!$B$6:$B$147,$B313,[4]Comprometimento!$E$6:$E$147)</f>
        <v>0</v>
      </c>
      <c r="J313" s="696">
        <f>SUMIF([4]Estoque!$B$6:$B$880,$B313,[4]Estoque!$H$6:$H$880)</f>
        <v>0</v>
      </c>
      <c r="K313" s="697">
        <f t="shared" si="48"/>
        <v>0</v>
      </c>
      <c r="L313" s="698">
        <f t="shared" si="46"/>
        <v>0</v>
      </c>
      <c r="M313" s="699">
        <f t="shared" si="49"/>
        <v>0</v>
      </c>
      <c r="N313" s="698">
        <v>0</v>
      </c>
      <c r="O313" s="699">
        <v>0</v>
      </c>
      <c r="P313" s="699">
        <f t="shared" si="50"/>
        <v>0</v>
      </c>
      <c r="Q313" s="698">
        <f t="shared" si="44"/>
        <v>1</v>
      </c>
      <c r="R313" s="700">
        <f t="shared" si="45"/>
        <v>1264.2707673936002</v>
      </c>
    </row>
    <row r="314" spans="1:18" s="130" customFormat="1" ht="21.95" customHeight="1" x14ac:dyDescent="0.2">
      <c r="A314" s="393" t="s">
        <v>148</v>
      </c>
      <c r="B314" s="959" t="s">
        <v>808</v>
      </c>
      <c r="C314" s="959" t="s">
        <v>2315</v>
      </c>
      <c r="D314" s="366">
        <f>VLOOKUP($B314,'Análise Física Detalhada'!$E$13:$V$380,18,0)</f>
        <v>3260.9936527704008</v>
      </c>
      <c r="E314" s="367">
        <f>VLOOKUP($B314,'Análise Física Detalhada'!$E$13:$P$380,12,0)</f>
        <v>0</v>
      </c>
      <c r="F314" s="368">
        <f t="shared" si="47"/>
        <v>0</v>
      </c>
      <c r="G314" s="696">
        <f>SUMIF('[2]Despesas Diretas'!$B$5:$B$9944,$B314,'[2]Despesas Diretas'!$H$5:$H$9944)</f>
        <v>0</v>
      </c>
      <c r="H314" s="696">
        <f>SUMIF('[3]Despesas Diretas'!$B$5:$B$9999,$B314,'[3]Despesas Diretas'!$H$5:$H$9999)</f>
        <v>0</v>
      </c>
      <c r="I314" s="696">
        <f>SUMIF([4]Comprometimento!$B$6:$B$147,$B314,[4]Comprometimento!$E$6:$E$147)</f>
        <v>0</v>
      </c>
      <c r="J314" s="696">
        <f>SUMIF([4]Estoque!$B$6:$B$880,$B314,[4]Estoque!$H$6:$H$880)</f>
        <v>0</v>
      </c>
      <c r="K314" s="697">
        <f t="shared" si="48"/>
        <v>0</v>
      </c>
      <c r="L314" s="698">
        <f t="shared" si="46"/>
        <v>0</v>
      </c>
      <c r="M314" s="699">
        <f t="shared" si="49"/>
        <v>0</v>
      </c>
      <c r="N314" s="698">
        <v>0</v>
      </c>
      <c r="O314" s="699">
        <v>0</v>
      </c>
      <c r="P314" s="699">
        <f t="shared" si="50"/>
        <v>0</v>
      </c>
      <c r="Q314" s="698">
        <f t="shared" si="44"/>
        <v>1</v>
      </c>
      <c r="R314" s="700">
        <f t="shared" si="45"/>
        <v>3260.9936527704008</v>
      </c>
    </row>
    <row r="315" spans="1:18" s="130" customFormat="1" ht="21.95" customHeight="1" x14ac:dyDescent="0.2">
      <c r="A315" s="393" t="s">
        <v>148</v>
      </c>
      <c r="B315" s="959" t="s">
        <v>809</v>
      </c>
      <c r="C315" s="959" t="s">
        <v>2131</v>
      </c>
      <c r="D315" s="366">
        <f>VLOOKUP($B315,'Análise Física Detalhada'!$E$13:$V$380,18,0)</f>
        <v>326.12200549200003</v>
      </c>
      <c r="E315" s="367">
        <f>VLOOKUP($B315,'Análise Física Detalhada'!$E$13:$P$380,12,0)</f>
        <v>0</v>
      </c>
      <c r="F315" s="368">
        <f t="shared" si="47"/>
        <v>0</v>
      </c>
      <c r="G315" s="696">
        <f>SUMIF('[2]Despesas Diretas'!$B$5:$B$9944,$B315,'[2]Despesas Diretas'!$H$5:$H$9944)</f>
        <v>0</v>
      </c>
      <c r="H315" s="696">
        <f>SUMIF('[3]Despesas Diretas'!$B$5:$B$9999,$B315,'[3]Despesas Diretas'!$H$5:$H$9999)</f>
        <v>0</v>
      </c>
      <c r="I315" s="696">
        <f>SUMIF([4]Comprometimento!$B$6:$B$147,$B315,[4]Comprometimento!$E$6:$E$147)</f>
        <v>0</v>
      </c>
      <c r="J315" s="696">
        <f>SUMIF([4]Estoque!$B$6:$B$880,$B315,[4]Estoque!$H$6:$H$880)</f>
        <v>0</v>
      </c>
      <c r="K315" s="697">
        <f t="shared" si="48"/>
        <v>0</v>
      </c>
      <c r="L315" s="698">
        <f t="shared" si="46"/>
        <v>0</v>
      </c>
      <c r="M315" s="699">
        <f t="shared" si="49"/>
        <v>0</v>
      </c>
      <c r="N315" s="698">
        <v>0</v>
      </c>
      <c r="O315" s="699">
        <v>0</v>
      </c>
      <c r="P315" s="699">
        <f t="shared" si="50"/>
        <v>0</v>
      </c>
      <c r="Q315" s="698">
        <f t="shared" si="44"/>
        <v>1</v>
      </c>
      <c r="R315" s="700">
        <f t="shared" si="45"/>
        <v>326.12200549200003</v>
      </c>
    </row>
    <row r="316" spans="1:18" s="130" customFormat="1" ht="21.95" customHeight="1" x14ac:dyDescent="0.2">
      <c r="A316" s="393" t="s">
        <v>148</v>
      </c>
      <c r="B316" s="959" t="s">
        <v>2316</v>
      </c>
      <c r="C316" s="959" t="s">
        <v>2317</v>
      </c>
      <c r="D316" s="366">
        <f>VLOOKUP($B316,'Análise Física Detalhada'!$E$13:$V$380,18,0)</f>
        <v>11746.309526622001</v>
      </c>
      <c r="E316" s="367">
        <f>VLOOKUP($B316,'Análise Física Detalhada'!$E$13:$P$380,12,0)</f>
        <v>0</v>
      </c>
      <c r="F316" s="368">
        <f t="shared" si="47"/>
        <v>0</v>
      </c>
      <c r="G316" s="696">
        <f>SUMIF('[2]Despesas Diretas'!$B$5:$B$9944,$B316,'[2]Despesas Diretas'!$H$5:$H$9944)</f>
        <v>0</v>
      </c>
      <c r="H316" s="696">
        <f>SUMIF('[3]Despesas Diretas'!$B$5:$B$9999,$B316,'[3]Despesas Diretas'!$H$5:$H$9999)</f>
        <v>0</v>
      </c>
      <c r="I316" s="696">
        <f>SUMIF([4]Comprometimento!$B$6:$B$147,$B316,[4]Comprometimento!$E$6:$E$147)</f>
        <v>0</v>
      </c>
      <c r="J316" s="696">
        <f>SUMIF([4]Estoque!$B$6:$B$880,$B316,[4]Estoque!$H$6:$H$880)</f>
        <v>0</v>
      </c>
      <c r="K316" s="697">
        <f t="shared" si="48"/>
        <v>0</v>
      </c>
      <c r="L316" s="698">
        <f t="shared" si="46"/>
        <v>0</v>
      </c>
      <c r="M316" s="699">
        <f t="shared" si="49"/>
        <v>0</v>
      </c>
      <c r="N316" s="698">
        <v>0</v>
      </c>
      <c r="O316" s="699">
        <v>0</v>
      </c>
      <c r="P316" s="699">
        <f t="shared" si="50"/>
        <v>0</v>
      </c>
      <c r="Q316" s="698">
        <f t="shared" si="44"/>
        <v>1</v>
      </c>
      <c r="R316" s="700">
        <f t="shared" si="45"/>
        <v>11746.309526622001</v>
      </c>
    </row>
    <row r="317" spans="1:18" s="130" customFormat="1" ht="21.95" customHeight="1" x14ac:dyDescent="0.2">
      <c r="A317" s="393" t="s">
        <v>148</v>
      </c>
      <c r="B317" s="959" t="s">
        <v>2318</v>
      </c>
      <c r="C317" s="959" t="s">
        <v>2132</v>
      </c>
      <c r="D317" s="366">
        <f>VLOOKUP($B317,'Análise Física Detalhada'!$E$13:$V$380,18,0)</f>
        <v>4469.2093061244004</v>
      </c>
      <c r="E317" s="367">
        <f>VLOOKUP($B317,'Análise Física Detalhada'!$E$13:$P$380,12,0)</f>
        <v>0</v>
      </c>
      <c r="F317" s="368">
        <f t="shared" si="47"/>
        <v>0</v>
      </c>
      <c r="G317" s="696">
        <f>SUMIF('[2]Despesas Diretas'!$B$5:$B$9944,$B317,'[2]Despesas Diretas'!$H$5:$H$9944)</f>
        <v>0</v>
      </c>
      <c r="H317" s="696">
        <f>SUMIF('[3]Despesas Diretas'!$B$5:$B$9999,$B317,'[3]Despesas Diretas'!$H$5:$H$9999)</f>
        <v>0</v>
      </c>
      <c r="I317" s="696">
        <f>SUMIF([4]Comprometimento!$B$6:$B$147,$B317,[4]Comprometimento!$E$6:$E$147)</f>
        <v>0</v>
      </c>
      <c r="J317" s="696">
        <f>SUMIF([4]Estoque!$B$6:$B$880,$B317,[4]Estoque!$H$6:$H$880)</f>
        <v>0</v>
      </c>
      <c r="K317" s="697">
        <f t="shared" si="48"/>
        <v>0</v>
      </c>
      <c r="L317" s="698">
        <f t="shared" si="46"/>
        <v>0</v>
      </c>
      <c r="M317" s="699">
        <f t="shared" si="49"/>
        <v>0</v>
      </c>
      <c r="N317" s="698">
        <v>0</v>
      </c>
      <c r="O317" s="699">
        <v>0</v>
      </c>
      <c r="P317" s="699">
        <f t="shared" si="50"/>
        <v>0</v>
      </c>
      <c r="Q317" s="698">
        <f t="shared" si="44"/>
        <v>1</v>
      </c>
      <c r="R317" s="700">
        <f t="shared" si="45"/>
        <v>4469.2093061244004</v>
      </c>
    </row>
    <row r="318" spans="1:18" s="130" customFormat="1" ht="21.95" customHeight="1" x14ac:dyDescent="0.2">
      <c r="A318" s="393" t="s">
        <v>148</v>
      </c>
      <c r="B318" s="959" t="s">
        <v>2319</v>
      </c>
      <c r="C318" s="959" t="s">
        <v>506</v>
      </c>
      <c r="D318" s="366">
        <f>VLOOKUP($B318,'Análise Física Detalhada'!$E$13:$V$380,18,0)</f>
        <v>7328.020122144002</v>
      </c>
      <c r="E318" s="367">
        <f>VLOOKUP($B318,'Análise Física Detalhada'!$E$13:$P$380,12,0)</f>
        <v>0</v>
      </c>
      <c r="F318" s="368">
        <f t="shared" si="47"/>
        <v>0</v>
      </c>
      <c r="G318" s="696">
        <f>SUMIF('[2]Despesas Diretas'!$B$5:$B$9944,$B318,'[2]Despesas Diretas'!$H$5:$H$9944)</f>
        <v>0</v>
      </c>
      <c r="H318" s="696">
        <f>SUMIF('[3]Despesas Diretas'!$B$5:$B$9999,$B318,'[3]Despesas Diretas'!$H$5:$H$9999)</f>
        <v>0</v>
      </c>
      <c r="I318" s="696">
        <f>SUMIF([4]Comprometimento!$B$6:$B$147,$B318,[4]Comprometimento!$E$6:$E$147)</f>
        <v>0</v>
      </c>
      <c r="J318" s="696">
        <f>SUMIF([4]Estoque!$B$6:$B$880,$B318,[4]Estoque!$H$6:$H$880)</f>
        <v>0</v>
      </c>
      <c r="K318" s="697">
        <f t="shared" si="48"/>
        <v>0</v>
      </c>
      <c r="L318" s="698">
        <f t="shared" si="46"/>
        <v>0</v>
      </c>
      <c r="M318" s="699">
        <f t="shared" si="49"/>
        <v>0</v>
      </c>
      <c r="N318" s="698">
        <v>0</v>
      </c>
      <c r="O318" s="699">
        <v>0</v>
      </c>
      <c r="P318" s="699">
        <f t="shared" si="50"/>
        <v>0</v>
      </c>
      <c r="Q318" s="698">
        <f t="shared" si="44"/>
        <v>1</v>
      </c>
      <c r="R318" s="700">
        <f t="shared" si="45"/>
        <v>7328.020122144002</v>
      </c>
    </row>
    <row r="319" spans="1:18" s="130" customFormat="1" ht="21.95" customHeight="1" x14ac:dyDescent="0.2">
      <c r="A319" s="393" t="s">
        <v>148</v>
      </c>
      <c r="B319" s="967" t="s">
        <v>810</v>
      </c>
      <c r="C319" s="967" t="s">
        <v>708</v>
      </c>
      <c r="D319" s="366">
        <f>VLOOKUP($B319,'Análise Física Detalhada'!$E$13:$V$380,18,0)</f>
        <v>0</v>
      </c>
      <c r="E319" s="367">
        <f>VLOOKUP($B319,'Análise Física Detalhada'!$E$13:$P$380,12,0)</f>
        <v>0</v>
      </c>
      <c r="F319" s="368">
        <f t="shared" si="47"/>
        <v>0</v>
      </c>
      <c r="G319" s="696">
        <f>SUMIF('[2]Despesas Diretas'!$B$5:$B$9944,$B319,'[2]Despesas Diretas'!$H$5:$H$9944)</f>
        <v>0</v>
      </c>
      <c r="H319" s="696">
        <f>SUMIF('[3]Despesas Diretas'!$B$5:$B$9999,$B319,'[3]Despesas Diretas'!$H$5:$H$9999)</f>
        <v>0</v>
      </c>
      <c r="I319" s="696">
        <f>SUMIF([4]Comprometimento!$B$6:$B$147,$B319,[4]Comprometimento!$E$6:$E$147)</f>
        <v>0</v>
      </c>
      <c r="J319" s="696">
        <f>SUMIF([4]Estoque!$B$6:$B$880,$B319,[4]Estoque!$H$6:$H$880)</f>
        <v>0</v>
      </c>
      <c r="K319" s="697">
        <f t="shared" si="48"/>
        <v>0</v>
      </c>
      <c r="L319" s="698">
        <f t="shared" si="46"/>
        <v>0</v>
      </c>
      <c r="M319" s="699">
        <f t="shared" si="49"/>
        <v>0</v>
      </c>
      <c r="N319" s="698">
        <v>0</v>
      </c>
      <c r="O319" s="699">
        <v>0</v>
      </c>
      <c r="P319" s="699">
        <f t="shared" si="50"/>
        <v>0</v>
      </c>
      <c r="Q319" s="698">
        <f t="shared" si="44"/>
        <v>0</v>
      </c>
      <c r="R319" s="700">
        <f t="shared" si="45"/>
        <v>0</v>
      </c>
    </row>
    <row r="320" spans="1:18" s="130" customFormat="1" ht="21.95" customHeight="1" x14ac:dyDescent="0.2">
      <c r="A320" s="393" t="s">
        <v>148</v>
      </c>
      <c r="B320" s="959" t="s">
        <v>811</v>
      </c>
      <c r="C320" s="959" t="s">
        <v>2133</v>
      </c>
      <c r="D320" s="366">
        <f>VLOOKUP($B320,'Análise Física Detalhada'!$E$13:$V$380,18,0)</f>
        <v>4786.1414425440007</v>
      </c>
      <c r="E320" s="367">
        <f>VLOOKUP($B320,'Análise Física Detalhada'!$E$13:$P$380,12,0)</f>
        <v>0</v>
      </c>
      <c r="F320" s="368">
        <f t="shared" si="47"/>
        <v>0</v>
      </c>
      <c r="G320" s="696">
        <f>SUMIF('[2]Despesas Diretas'!$B$5:$B$9944,$B320,'[2]Despesas Diretas'!$H$5:$H$9944)</f>
        <v>0</v>
      </c>
      <c r="H320" s="696">
        <f>SUMIF('[3]Despesas Diretas'!$B$5:$B$9999,$B320,'[3]Despesas Diretas'!$H$5:$H$9999)</f>
        <v>0</v>
      </c>
      <c r="I320" s="696">
        <f>SUMIF([4]Comprometimento!$B$6:$B$147,$B320,[4]Comprometimento!$E$6:$E$147)</f>
        <v>0</v>
      </c>
      <c r="J320" s="696">
        <f>SUMIF([4]Estoque!$B$6:$B$880,$B320,[4]Estoque!$H$6:$H$880)</f>
        <v>0</v>
      </c>
      <c r="K320" s="697">
        <f t="shared" si="48"/>
        <v>0</v>
      </c>
      <c r="L320" s="698">
        <f t="shared" si="46"/>
        <v>0</v>
      </c>
      <c r="M320" s="699">
        <f t="shared" si="49"/>
        <v>0</v>
      </c>
      <c r="N320" s="698">
        <v>0</v>
      </c>
      <c r="O320" s="699">
        <v>0</v>
      </c>
      <c r="P320" s="699">
        <f t="shared" si="50"/>
        <v>0</v>
      </c>
      <c r="Q320" s="698">
        <f t="shared" si="44"/>
        <v>1</v>
      </c>
      <c r="R320" s="700">
        <f t="shared" si="45"/>
        <v>4786.1414425440007</v>
      </c>
    </row>
    <row r="321" spans="1:18" s="130" customFormat="1" ht="21.95" customHeight="1" x14ac:dyDescent="0.2">
      <c r="A321" s="393" t="s">
        <v>148</v>
      </c>
      <c r="B321" s="967" t="s">
        <v>812</v>
      </c>
      <c r="C321" s="967" t="s">
        <v>710</v>
      </c>
      <c r="D321" s="366">
        <f>VLOOKUP($B321,'Análise Física Detalhada'!$E$13:$V$380,18,0)</f>
        <v>0</v>
      </c>
      <c r="E321" s="367">
        <f>VLOOKUP($B321,'Análise Física Detalhada'!$E$13:$P$380,12,0)</f>
        <v>0</v>
      </c>
      <c r="F321" s="368">
        <f t="shared" si="47"/>
        <v>0</v>
      </c>
      <c r="G321" s="696">
        <f>SUMIF('[2]Despesas Diretas'!$B$5:$B$9944,$B321,'[2]Despesas Diretas'!$H$5:$H$9944)</f>
        <v>0</v>
      </c>
      <c r="H321" s="696">
        <f>SUMIF('[3]Despesas Diretas'!$B$5:$B$9999,$B321,'[3]Despesas Diretas'!$H$5:$H$9999)</f>
        <v>0</v>
      </c>
      <c r="I321" s="696">
        <f>SUMIF([4]Comprometimento!$B$6:$B$147,$B321,[4]Comprometimento!$E$6:$E$147)</f>
        <v>0</v>
      </c>
      <c r="J321" s="696">
        <f>SUMIF([4]Estoque!$B$6:$B$880,$B321,[4]Estoque!$H$6:$H$880)</f>
        <v>0</v>
      </c>
      <c r="K321" s="697">
        <f t="shared" si="48"/>
        <v>0</v>
      </c>
      <c r="L321" s="698">
        <f t="shared" si="46"/>
        <v>0</v>
      </c>
      <c r="M321" s="699">
        <f t="shared" si="49"/>
        <v>0</v>
      </c>
      <c r="N321" s="698">
        <v>0</v>
      </c>
      <c r="O321" s="699">
        <v>0</v>
      </c>
      <c r="P321" s="699">
        <f t="shared" si="50"/>
        <v>0</v>
      </c>
      <c r="Q321" s="698">
        <f t="shared" si="44"/>
        <v>0</v>
      </c>
      <c r="R321" s="700">
        <f t="shared" si="45"/>
        <v>0</v>
      </c>
    </row>
    <row r="322" spans="1:18" s="130" customFormat="1" ht="21.95" customHeight="1" x14ac:dyDescent="0.2">
      <c r="A322" s="393" t="s">
        <v>148</v>
      </c>
      <c r="B322" s="959" t="s">
        <v>813</v>
      </c>
      <c r="C322" s="959" t="s">
        <v>507</v>
      </c>
      <c r="D322" s="366">
        <f>VLOOKUP($B322,'Análise Física Detalhada'!$E$13:$V$380,18,0)</f>
        <v>252.99411117120005</v>
      </c>
      <c r="E322" s="367">
        <f>VLOOKUP($B322,'Análise Física Detalhada'!$E$13:$P$380,12,0)</f>
        <v>0</v>
      </c>
      <c r="F322" s="368">
        <f t="shared" si="47"/>
        <v>0</v>
      </c>
      <c r="G322" s="696">
        <f>SUMIF('[2]Despesas Diretas'!$B$5:$B$9944,$B322,'[2]Despesas Diretas'!$H$5:$H$9944)</f>
        <v>0</v>
      </c>
      <c r="H322" s="696">
        <f>SUMIF('[3]Despesas Diretas'!$B$5:$B$9999,$B322,'[3]Despesas Diretas'!$H$5:$H$9999)</f>
        <v>0</v>
      </c>
      <c r="I322" s="696">
        <f>SUMIF([4]Comprometimento!$B$6:$B$147,$B322,[4]Comprometimento!$E$6:$E$147)</f>
        <v>0</v>
      </c>
      <c r="J322" s="696">
        <f>SUMIF([4]Estoque!$B$6:$B$880,$B322,[4]Estoque!$H$6:$H$880)</f>
        <v>0</v>
      </c>
      <c r="K322" s="697">
        <f t="shared" si="48"/>
        <v>0</v>
      </c>
      <c r="L322" s="698">
        <f t="shared" si="46"/>
        <v>0</v>
      </c>
      <c r="M322" s="699">
        <f t="shared" si="49"/>
        <v>0</v>
      </c>
      <c r="N322" s="698">
        <v>0</v>
      </c>
      <c r="O322" s="699">
        <v>0</v>
      </c>
      <c r="P322" s="699">
        <f t="shared" si="50"/>
        <v>0</v>
      </c>
      <c r="Q322" s="698">
        <f t="shared" si="44"/>
        <v>1</v>
      </c>
      <c r="R322" s="700">
        <f t="shared" si="45"/>
        <v>252.99411117120005</v>
      </c>
    </row>
    <row r="323" spans="1:18" s="130" customFormat="1" ht="21.95" customHeight="1" x14ac:dyDescent="0.2">
      <c r="A323" s="393" t="s">
        <v>148</v>
      </c>
      <c r="B323" s="959" t="s">
        <v>2134</v>
      </c>
      <c r="C323" s="959" t="s">
        <v>2135</v>
      </c>
      <c r="D323" s="366">
        <f>VLOOKUP($B323,'Análise Física Detalhada'!$E$13:$V$380,18,0)</f>
        <v>32313.761352000005</v>
      </c>
      <c r="E323" s="367">
        <f>VLOOKUP($B323,'Análise Física Detalhada'!$E$13:$P$380,12,0)</f>
        <v>0</v>
      </c>
      <c r="F323" s="368">
        <f t="shared" si="47"/>
        <v>0</v>
      </c>
      <c r="G323" s="696">
        <f>SUMIF('[2]Despesas Diretas'!$B$5:$B$9944,$B323,'[2]Despesas Diretas'!$H$5:$H$9944)</f>
        <v>0</v>
      </c>
      <c r="H323" s="696">
        <f>SUMIF('[3]Despesas Diretas'!$B$5:$B$9999,$B323,'[3]Despesas Diretas'!$H$5:$H$9999)</f>
        <v>0</v>
      </c>
      <c r="I323" s="696">
        <f>SUMIF([4]Comprometimento!$B$6:$B$147,$B323,[4]Comprometimento!$E$6:$E$147)</f>
        <v>0</v>
      </c>
      <c r="J323" s="696">
        <f>SUMIF([4]Estoque!$B$6:$B$880,$B323,[4]Estoque!$H$6:$H$880)</f>
        <v>0</v>
      </c>
      <c r="K323" s="697">
        <f t="shared" si="48"/>
        <v>0</v>
      </c>
      <c r="L323" s="698">
        <f t="shared" si="46"/>
        <v>0</v>
      </c>
      <c r="M323" s="699">
        <f t="shared" si="49"/>
        <v>0</v>
      </c>
      <c r="N323" s="698">
        <v>0</v>
      </c>
      <c r="O323" s="699">
        <v>0</v>
      </c>
      <c r="P323" s="699">
        <f t="shared" si="50"/>
        <v>0</v>
      </c>
      <c r="Q323" s="698">
        <f t="shared" si="44"/>
        <v>1</v>
      </c>
      <c r="R323" s="700">
        <f t="shared" si="45"/>
        <v>32313.761352000005</v>
      </c>
    </row>
    <row r="324" spans="1:18" s="130" customFormat="1" ht="21.95" customHeight="1" x14ac:dyDescent="0.2">
      <c r="A324" s="393" t="s">
        <v>149</v>
      </c>
      <c r="B324" s="161" t="s">
        <v>149</v>
      </c>
      <c r="C324" s="161" t="s">
        <v>9</v>
      </c>
      <c r="D324" s="163">
        <f>VLOOKUP($B324,'Análise Física Detalhada'!$E$13:$V$380,18,0)</f>
        <v>188320.76261391965</v>
      </c>
      <c r="E324" s="530">
        <f>F324/D324</f>
        <v>0</v>
      </c>
      <c r="F324" s="1001">
        <f>SUM(F325:F355)</f>
        <v>0</v>
      </c>
      <c r="G324" s="1000">
        <f>SUM(G325:G355)</f>
        <v>0</v>
      </c>
      <c r="H324" s="1000">
        <f t="shared" ref="H324:K324" si="54">SUM(H325:H355)</f>
        <v>0</v>
      </c>
      <c r="I324" s="1000">
        <f t="shared" si="54"/>
        <v>0</v>
      </c>
      <c r="J324" s="1000">
        <f t="shared" si="54"/>
        <v>0</v>
      </c>
      <c r="K324" s="1000">
        <f t="shared" si="54"/>
        <v>0</v>
      </c>
      <c r="L324" s="537">
        <f>IF($F324=0,0,$K324/$F324)</f>
        <v>0</v>
      </c>
      <c r="M324" s="163">
        <f>IF($L324=0,0,$K324-$F324)</f>
        <v>0</v>
      </c>
      <c r="N324" s="537">
        <v>0</v>
      </c>
      <c r="O324" s="163">
        <v>0</v>
      </c>
      <c r="P324" s="163">
        <f>$M324-$O324</f>
        <v>0</v>
      </c>
      <c r="Q324" s="537">
        <f t="shared" si="44"/>
        <v>1</v>
      </c>
      <c r="R324" s="163">
        <f t="shared" si="45"/>
        <v>188320.76261391965</v>
      </c>
    </row>
    <row r="325" spans="1:18" s="130" customFormat="1" ht="21.95" customHeight="1" x14ac:dyDescent="0.2">
      <c r="A325" s="393" t="s">
        <v>149</v>
      </c>
      <c r="B325" s="959" t="s">
        <v>2136</v>
      </c>
      <c r="C325" s="959" t="s">
        <v>494</v>
      </c>
      <c r="D325" s="366">
        <f>VLOOKUP($B325,'Análise Física Detalhada'!$E$13:$V$380,18,0)</f>
        <v>129732.88772674442</v>
      </c>
      <c r="E325" s="367">
        <f>VLOOKUP($B325,'Análise Física Detalhada'!$E$13:$P$380,12,0)</f>
        <v>0</v>
      </c>
      <c r="F325" s="368">
        <f t="shared" si="47"/>
        <v>0</v>
      </c>
      <c r="G325" s="696">
        <f>SUMIF('[2]Despesas Diretas'!$B$5:$B$9944,$B325,'[2]Despesas Diretas'!$H$5:$H$9944)</f>
        <v>0</v>
      </c>
      <c r="H325" s="696">
        <f>SUMIF('[3]Despesas Diretas'!$B$5:$B$9999,$B325,'[3]Despesas Diretas'!$H$5:$H$9999)</f>
        <v>0</v>
      </c>
      <c r="I325" s="696">
        <f>SUMIF([4]Comprometimento!$B$6:$B$147,$B325,[4]Comprometimento!$E$6:$E$147)</f>
        <v>0</v>
      </c>
      <c r="J325" s="696">
        <f>SUMIF([4]Estoque!$B$6:$B$880,$B325,[4]Estoque!$H$6:$H$880)</f>
        <v>0</v>
      </c>
      <c r="K325" s="697">
        <f t="shared" si="48"/>
        <v>0</v>
      </c>
      <c r="L325" s="698">
        <f t="shared" si="46"/>
        <v>0</v>
      </c>
      <c r="M325" s="699">
        <f t="shared" si="49"/>
        <v>0</v>
      </c>
      <c r="N325" s="698">
        <v>0</v>
      </c>
      <c r="O325" s="699">
        <v>0</v>
      </c>
      <c r="P325" s="699">
        <f t="shared" si="50"/>
        <v>0</v>
      </c>
      <c r="Q325" s="698">
        <f t="shared" si="44"/>
        <v>1</v>
      </c>
      <c r="R325" s="700">
        <f t="shared" si="45"/>
        <v>129732.88772674442</v>
      </c>
    </row>
    <row r="326" spans="1:18" s="130" customFormat="1" ht="21.95" customHeight="1" x14ac:dyDescent="0.2">
      <c r="A326" s="393" t="s">
        <v>149</v>
      </c>
      <c r="B326" s="967" t="s">
        <v>257</v>
      </c>
      <c r="C326" s="967" t="s">
        <v>712</v>
      </c>
      <c r="D326" s="366">
        <f>VLOOKUP($B326,'Análise Física Detalhada'!$E$13:$V$380,18,0)</f>
        <v>0</v>
      </c>
      <c r="E326" s="367">
        <f>VLOOKUP($B326,'Análise Física Detalhada'!$E$13:$P$380,12,0)</f>
        <v>0</v>
      </c>
      <c r="F326" s="368">
        <f t="shared" si="47"/>
        <v>0</v>
      </c>
      <c r="G326" s="696">
        <f>SUMIF('[2]Despesas Diretas'!$B$5:$B$9944,$B326,'[2]Despesas Diretas'!$H$5:$H$9944)</f>
        <v>0</v>
      </c>
      <c r="H326" s="696">
        <f>SUMIF('[3]Despesas Diretas'!$B$5:$B$9999,$B326,'[3]Despesas Diretas'!$H$5:$H$9999)</f>
        <v>0</v>
      </c>
      <c r="I326" s="696">
        <f>SUMIF([4]Comprometimento!$B$6:$B$147,$B326,[4]Comprometimento!$E$6:$E$147)</f>
        <v>0</v>
      </c>
      <c r="J326" s="696">
        <f>SUMIF([4]Estoque!$B$6:$B$880,$B326,[4]Estoque!$H$6:$H$880)</f>
        <v>0</v>
      </c>
      <c r="K326" s="697">
        <f t="shared" si="48"/>
        <v>0</v>
      </c>
      <c r="L326" s="698">
        <f t="shared" si="46"/>
        <v>0</v>
      </c>
      <c r="M326" s="699">
        <f t="shared" si="49"/>
        <v>0</v>
      </c>
      <c r="N326" s="698">
        <v>0</v>
      </c>
      <c r="O326" s="699">
        <v>0</v>
      </c>
      <c r="P326" s="699">
        <f t="shared" si="50"/>
        <v>0</v>
      </c>
      <c r="Q326" s="698">
        <f t="shared" si="44"/>
        <v>0</v>
      </c>
      <c r="R326" s="700">
        <f t="shared" si="45"/>
        <v>0</v>
      </c>
    </row>
    <row r="327" spans="1:18" s="130" customFormat="1" ht="21.95" customHeight="1" x14ac:dyDescent="0.2">
      <c r="A327" s="393" t="s">
        <v>149</v>
      </c>
      <c r="B327" s="959" t="s">
        <v>258</v>
      </c>
      <c r="C327" s="959" t="s">
        <v>2137</v>
      </c>
      <c r="D327" s="366">
        <f>VLOOKUP($B327,'Análise Física Detalhada'!$E$13:$V$380,18,0)</f>
        <v>19727.201411164802</v>
      </c>
      <c r="E327" s="367">
        <f>VLOOKUP($B327,'Análise Física Detalhada'!$E$13:$P$380,12,0)</f>
        <v>0</v>
      </c>
      <c r="F327" s="368">
        <f t="shared" si="47"/>
        <v>0</v>
      </c>
      <c r="G327" s="696">
        <f>SUMIF('[2]Despesas Diretas'!$B$5:$B$9944,$B327,'[2]Despesas Diretas'!$H$5:$H$9944)</f>
        <v>0</v>
      </c>
      <c r="H327" s="696">
        <f>SUMIF('[3]Despesas Diretas'!$B$5:$B$9999,$B327,'[3]Despesas Diretas'!$H$5:$H$9999)</f>
        <v>0</v>
      </c>
      <c r="I327" s="696">
        <f>SUMIF([4]Comprometimento!$B$6:$B$147,$B327,[4]Comprometimento!$E$6:$E$147)</f>
        <v>0</v>
      </c>
      <c r="J327" s="696">
        <f>SUMIF([4]Estoque!$B$6:$B$880,$B327,[4]Estoque!$H$6:$H$880)</f>
        <v>0</v>
      </c>
      <c r="K327" s="697">
        <f t="shared" si="48"/>
        <v>0</v>
      </c>
      <c r="L327" s="698">
        <f t="shared" si="46"/>
        <v>0</v>
      </c>
      <c r="M327" s="699">
        <f t="shared" si="49"/>
        <v>0</v>
      </c>
      <c r="N327" s="698">
        <v>0</v>
      </c>
      <c r="O327" s="699">
        <v>0</v>
      </c>
      <c r="P327" s="699">
        <f t="shared" si="50"/>
        <v>0</v>
      </c>
      <c r="Q327" s="698">
        <f t="shared" si="44"/>
        <v>1</v>
      </c>
      <c r="R327" s="700">
        <f t="shared" si="45"/>
        <v>19727.201411164802</v>
      </c>
    </row>
    <row r="328" spans="1:18" s="130" customFormat="1" ht="21.95" customHeight="1" x14ac:dyDescent="0.2">
      <c r="A328" s="393" t="s">
        <v>149</v>
      </c>
      <c r="B328" s="967" t="s">
        <v>259</v>
      </c>
      <c r="C328" s="967" t="s">
        <v>251</v>
      </c>
      <c r="D328" s="366">
        <f>VLOOKUP($B328,'Análise Física Detalhada'!$E$13:$V$380,18,0)</f>
        <v>0</v>
      </c>
      <c r="E328" s="367">
        <f>VLOOKUP($B328,'Análise Física Detalhada'!$E$13:$P$380,12,0)</f>
        <v>0</v>
      </c>
      <c r="F328" s="368">
        <f t="shared" si="47"/>
        <v>0</v>
      </c>
      <c r="G328" s="696">
        <f>SUMIF('[2]Despesas Diretas'!$B$5:$B$9944,$B328,'[2]Despesas Diretas'!$H$5:$H$9944)</f>
        <v>0</v>
      </c>
      <c r="H328" s="696">
        <f>SUMIF('[3]Despesas Diretas'!$B$5:$B$9999,$B328,'[3]Despesas Diretas'!$H$5:$H$9999)</f>
        <v>0</v>
      </c>
      <c r="I328" s="696">
        <f>SUMIF([4]Comprometimento!$B$6:$B$147,$B328,[4]Comprometimento!$E$6:$E$147)</f>
        <v>0</v>
      </c>
      <c r="J328" s="696">
        <f>SUMIF([4]Estoque!$B$6:$B$880,$B328,[4]Estoque!$H$6:$H$880)</f>
        <v>0</v>
      </c>
      <c r="K328" s="697">
        <f t="shared" si="48"/>
        <v>0</v>
      </c>
      <c r="L328" s="698">
        <f t="shared" si="46"/>
        <v>0</v>
      </c>
      <c r="M328" s="699">
        <f t="shared" si="49"/>
        <v>0</v>
      </c>
      <c r="N328" s="698">
        <v>0</v>
      </c>
      <c r="O328" s="699">
        <v>0</v>
      </c>
      <c r="P328" s="699">
        <f t="shared" si="50"/>
        <v>0</v>
      </c>
      <c r="Q328" s="698">
        <f t="shared" ref="Q328:Q374" si="55">IF($D328=0,0,IF(($F328/$D328)&lt;20%,1,IF($D328=0,0,IF(($F328/$D328)=1,$L328,IF(($F328/$D328)=0,1,IF($L328&lt;1,(+$L328*($F328/$D328))+(1-((1-$L328)/2))*(1-($F328/$D328)),(+$L328*($F328/$D328))+(1+(($L328-1)/2))*(1-($F328/$D328))))))))</f>
        <v>0</v>
      </c>
      <c r="R328" s="700">
        <f t="shared" ref="R328:R374" si="56">IF($Q328="","",$Q328*$D328)</f>
        <v>0</v>
      </c>
    </row>
    <row r="329" spans="1:18" s="130" customFormat="1" ht="21.95" customHeight="1" x14ac:dyDescent="0.2">
      <c r="A329" s="393" t="s">
        <v>149</v>
      </c>
      <c r="B329" s="959" t="s">
        <v>260</v>
      </c>
      <c r="C329" s="959" t="s">
        <v>2138</v>
      </c>
      <c r="D329" s="366">
        <f>VLOOKUP($B329,'Análise Física Detalhada'!$E$13:$V$380,18,0)</f>
        <v>6354.1512756396014</v>
      </c>
      <c r="E329" s="367">
        <f>VLOOKUP($B329,'Análise Física Detalhada'!$E$13:$P$380,12,0)</f>
        <v>0</v>
      </c>
      <c r="F329" s="368">
        <f t="shared" si="47"/>
        <v>0</v>
      </c>
      <c r="G329" s="696">
        <f>SUMIF('[2]Despesas Diretas'!$B$5:$B$9944,$B329,'[2]Despesas Diretas'!$H$5:$H$9944)</f>
        <v>0</v>
      </c>
      <c r="H329" s="696">
        <f>SUMIF('[3]Despesas Diretas'!$B$5:$B$9999,$B329,'[3]Despesas Diretas'!$H$5:$H$9999)</f>
        <v>0</v>
      </c>
      <c r="I329" s="696">
        <f>SUMIF([4]Comprometimento!$B$6:$B$147,$B329,[4]Comprometimento!$E$6:$E$147)</f>
        <v>0</v>
      </c>
      <c r="J329" s="696">
        <f>SUMIF([4]Estoque!$B$6:$B$880,$B329,[4]Estoque!$H$6:$H$880)</f>
        <v>0</v>
      </c>
      <c r="K329" s="697">
        <f t="shared" si="48"/>
        <v>0</v>
      </c>
      <c r="L329" s="698">
        <f t="shared" ref="L329:L374" si="57">IF($F329=0,0,$K329/$F329)</f>
        <v>0</v>
      </c>
      <c r="M329" s="699">
        <f t="shared" si="49"/>
        <v>0</v>
      </c>
      <c r="N329" s="698">
        <v>0</v>
      </c>
      <c r="O329" s="699">
        <v>0</v>
      </c>
      <c r="P329" s="699">
        <f t="shared" si="50"/>
        <v>0</v>
      </c>
      <c r="Q329" s="698">
        <f t="shared" si="55"/>
        <v>1</v>
      </c>
      <c r="R329" s="700">
        <f t="shared" si="56"/>
        <v>6354.1512756396014</v>
      </c>
    </row>
    <row r="330" spans="1:18" s="130" customFormat="1" ht="21.95" customHeight="1" x14ac:dyDescent="0.2">
      <c r="A330" s="393" t="s">
        <v>149</v>
      </c>
      <c r="B330" s="967" t="s">
        <v>697</v>
      </c>
      <c r="C330" s="967" t="s">
        <v>719</v>
      </c>
      <c r="D330" s="366">
        <f>VLOOKUP($B330,'Análise Física Detalhada'!$E$13:$V$380,18,0)</f>
        <v>0</v>
      </c>
      <c r="E330" s="367">
        <f>VLOOKUP($B330,'Análise Física Detalhada'!$E$13:$P$380,12,0)</f>
        <v>0</v>
      </c>
      <c r="F330" s="368">
        <f t="shared" ref="F330:F374" si="58">E330*D330</f>
        <v>0</v>
      </c>
      <c r="G330" s="696">
        <f>SUMIF('[2]Despesas Diretas'!$B$5:$B$9944,$B330,'[2]Despesas Diretas'!$H$5:$H$9944)</f>
        <v>0</v>
      </c>
      <c r="H330" s="696">
        <f>SUMIF('[3]Despesas Diretas'!$B$5:$B$9999,$B330,'[3]Despesas Diretas'!$H$5:$H$9999)</f>
        <v>0</v>
      </c>
      <c r="I330" s="696">
        <f>SUMIF([4]Comprometimento!$B$6:$B$147,$B330,[4]Comprometimento!$E$6:$E$147)</f>
        <v>0</v>
      </c>
      <c r="J330" s="696">
        <f>SUMIF([4]Estoque!$B$6:$B$880,$B330,[4]Estoque!$H$6:$H$880)</f>
        <v>0</v>
      </c>
      <c r="K330" s="697">
        <f t="shared" ref="K330:K374" si="59">SUM($G330:$I330)-$J330</f>
        <v>0</v>
      </c>
      <c r="L330" s="698">
        <f t="shared" si="57"/>
        <v>0</v>
      </c>
      <c r="M330" s="699">
        <f t="shared" ref="M330:M374" si="60">$K330-$F330</f>
        <v>0</v>
      </c>
      <c r="N330" s="698">
        <v>0</v>
      </c>
      <c r="O330" s="699">
        <v>0</v>
      </c>
      <c r="P330" s="699">
        <f t="shared" ref="P330:P374" si="61">$M330-$O330</f>
        <v>0</v>
      </c>
      <c r="Q330" s="698">
        <f t="shared" si="55"/>
        <v>0</v>
      </c>
      <c r="R330" s="700">
        <f t="shared" si="56"/>
        <v>0</v>
      </c>
    </row>
    <row r="331" spans="1:18" s="130" customFormat="1" ht="21.95" customHeight="1" x14ac:dyDescent="0.2">
      <c r="A331" s="393" t="s">
        <v>149</v>
      </c>
      <c r="B331" s="959" t="s">
        <v>699</v>
      </c>
      <c r="C331" s="959" t="s">
        <v>2139</v>
      </c>
      <c r="D331" s="366">
        <f>VLOOKUP($B331,'Análise Física Detalhada'!$E$13:$V$380,18,0)</f>
        <v>1326.0270992004</v>
      </c>
      <c r="E331" s="367">
        <f>VLOOKUP($B331,'Análise Física Detalhada'!$E$13:$P$380,12,0)</f>
        <v>0</v>
      </c>
      <c r="F331" s="368">
        <f t="shared" si="58"/>
        <v>0</v>
      </c>
      <c r="G331" s="696">
        <f>SUMIF('[2]Despesas Diretas'!$B$5:$B$9944,$B331,'[2]Despesas Diretas'!$H$5:$H$9944)</f>
        <v>0</v>
      </c>
      <c r="H331" s="696">
        <f>SUMIF('[3]Despesas Diretas'!$B$5:$B$9999,$B331,'[3]Despesas Diretas'!$H$5:$H$9999)</f>
        <v>0</v>
      </c>
      <c r="I331" s="696">
        <f>SUMIF([4]Comprometimento!$B$6:$B$147,$B331,[4]Comprometimento!$E$6:$E$147)</f>
        <v>0</v>
      </c>
      <c r="J331" s="696">
        <f>SUMIF([4]Estoque!$B$6:$B$880,$B331,[4]Estoque!$H$6:$H$880)</f>
        <v>0</v>
      </c>
      <c r="K331" s="697">
        <f t="shared" si="59"/>
        <v>0</v>
      </c>
      <c r="L331" s="698">
        <f t="shared" si="57"/>
        <v>0</v>
      </c>
      <c r="M331" s="699">
        <f t="shared" si="60"/>
        <v>0</v>
      </c>
      <c r="N331" s="698">
        <v>0</v>
      </c>
      <c r="O331" s="699">
        <v>0</v>
      </c>
      <c r="P331" s="699">
        <f t="shared" si="61"/>
        <v>0</v>
      </c>
      <c r="Q331" s="698">
        <f t="shared" si="55"/>
        <v>1</v>
      </c>
      <c r="R331" s="700">
        <f t="shared" si="56"/>
        <v>1326.0270992004</v>
      </c>
    </row>
    <row r="332" spans="1:18" s="130" customFormat="1" ht="21.95" customHeight="1" x14ac:dyDescent="0.2">
      <c r="A332" s="393" t="s">
        <v>149</v>
      </c>
      <c r="B332" s="967" t="s">
        <v>700</v>
      </c>
      <c r="C332" s="967" t="s">
        <v>252</v>
      </c>
      <c r="D332" s="366">
        <f>VLOOKUP($B332,'Análise Física Detalhada'!$E$13:$V$380,18,0)</f>
        <v>0</v>
      </c>
      <c r="E332" s="367">
        <f>VLOOKUP($B332,'Análise Física Detalhada'!$E$13:$P$380,12,0)</f>
        <v>0</v>
      </c>
      <c r="F332" s="368">
        <f t="shared" si="58"/>
        <v>0</v>
      </c>
      <c r="G332" s="696">
        <f>SUMIF('[2]Despesas Diretas'!$B$5:$B$9944,$B332,'[2]Despesas Diretas'!$H$5:$H$9944)</f>
        <v>0</v>
      </c>
      <c r="H332" s="696">
        <f>SUMIF('[3]Despesas Diretas'!$B$5:$B$9999,$B332,'[3]Despesas Diretas'!$H$5:$H$9999)</f>
        <v>0</v>
      </c>
      <c r="I332" s="696">
        <f>SUMIF([4]Comprometimento!$B$6:$B$147,$B332,[4]Comprometimento!$E$6:$E$147)</f>
        <v>0</v>
      </c>
      <c r="J332" s="696">
        <f>SUMIF([4]Estoque!$B$6:$B$880,$B332,[4]Estoque!$H$6:$H$880)</f>
        <v>0</v>
      </c>
      <c r="K332" s="697">
        <f t="shared" si="59"/>
        <v>0</v>
      </c>
      <c r="L332" s="698">
        <f t="shared" si="57"/>
        <v>0</v>
      </c>
      <c r="M332" s="699">
        <f t="shared" si="60"/>
        <v>0</v>
      </c>
      <c r="N332" s="698">
        <v>0</v>
      </c>
      <c r="O332" s="699">
        <v>0</v>
      </c>
      <c r="P332" s="699">
        <f t="shared" si="61"/>
        <v>0</v>
      </c>
      <c r="Q332" s="698">
        <f t="shared" si="55"/>
        <v>0</v>
      </c>
      <c r="R332" s="700">
        <f t="shared" si="56"/>
        <v>0</v>
      </c>
    </row>
    <row r="333" spans="1:18" s="130" customFormat="1" ht="21.95" customHeight="1" x14ac:dyDescent="0.2">
      <c r="A333" s="393" t="s">
        <v>149</v>
      </c>
      <c r="B333" s="959" t="s">
        <v>702</v>
      </c>
      <c r="C333" s="959" t="s">
        <v>253</v>
      </c>
      <c r="D333" s="366">
        <f>VLOOKUP($B333,'Análise Física Detalhada'!$E$13:$V$380,18,0)</f>
        <v>521.70258972600016</v>
      </c>
      <c r="E333" s="367">
        <f>VLOOKUP($B333,'Análise Física Detalhada'!$E$13:$P$380,12,0)</f>
        <v>0</v>
      </c>
      <c r="F333" s="368">
        <f t="shared" si="58"/>
        <v>0</v>
      </c>
      <c r="G333" s="696">
        <f>SUMIF('[2]Despesas Diretas'!$B$5:$B$9944,$B333,'[2]Despesas Diretas'!$H$5:$H$9944)</f>
        <v>0</v>
      </c>
      <c r="H333" s="696">
        <f>SUMIF('[3]Despesas Diretas'!$B$5:$B$9999,$B333,'[3]Despesas Diretas'!$H$5:$H$9999)</f>
        <v>0</v>
      </c>
      <c r="I333" s="696">
        <f>SUMIF([4]Comprometimento!$B$6:$B$147,$B333,[4]Comprometimento!$E$6:$E$147)</f>
        <v>0</v>
      </c>
      <c r="J333" s="696">
        <f>SUMIF([4]Estoque!$B$6:$B$880,$B333,[4]Estoque!$H$6:$H$880)</f>
        <v>0</v>
      </c>
      <c r="K333" s="697">
        <f t="shared" si="59"/>
        <v>0</v>
      </c>
      <c r="L333" s="698">
        <f t="shared" si="57"/>
        <v>0</v>
      </c>
      <c r="M333" s="699">
        <f t="shared" si="60"/>
        <v>0</v>
      </c>
      <c r="N333" s="698">
        <v>0</v>
      </c>
      <c r="O333" s="699">
        <v>0</v>
      </c>
      <c r="P333" s="699">
        <f t="shared" si="61"/>
        <v>0</v>
      </c>
      <c r="Q333" s="698">
        <f t="shared" si="55"/>
        <v>1</v>
      </c>
      <c r="R333" s="700">
        <f t="shared" si="56"/>
        <v>521.70258972600016</v>
      </c>
    </row>
    <row r="334" spans="1:18" s="130" customFormat="1" ht="21.95" customHeight="1" x14ac:dyDescent="0.2">
      <c r="A334" s="393" t="s">
        <v>149</v>
      </c>
      <c r="B334" s="959" t="s">
        <v>703</v>
      </c>
      <c r="C334" s="959" t="s">
        <v>2140</v>
      </c>
      <c r="D334" s="366">
        <f>VLOOKUP($B334,'Análise Física Detalhada'!$E$13:$V$380,18,0)</f>
        <v>1409.5489103892003</v>
      </c>
      <c r="E334" s="367">
        <f>VLOOKUP($B334,'Análise Física Detalhada'!$E$13:$P$380,12,0)</f>
        <v>0</v>
      </c>
      <c r="F334" s="368">
        <f t="shared" si="58"/>
        <v>0</v>
      </c>
      <c r="G334" s="696">
        <f>SUMIF('[2]Despesas Diretas'!$B$5:$B$9944,$B334,'[2]Despesas Diretas'!$H$5:$H$9944)</f>
        <v>0</v>
      </c>
      <c r="H334" s="696">
        <f>SUMIF('[3]Despesas Diretas'!$B$5:$B$9999,$B334,'[3]Despesas Diretas'!$H$5:$H$9999)</f>
        <v>0</v>
      </c>
      <c r="I334" s="696">
        <f>SUMIF([4]Comprometimento!$B$6:$B$147,$B334,[4]Comprometimento!$E$6:$E$147)</f>
        <v>0</v>
      </c>
      <c r="J334" s="696">
        <f>SUMIF([4]Estoque!$B$6:$B$880,$B334,[4]Estoque!$H$6:$H$880)</f>
        <v>0</v>
      </c>
      <c r="K334" s="697">
        <f t="shared" si="59"/>
        <v>0</v>
      </c>
      <c r="L334" s="698">
        <f t="shared" si="57"/>
        <v>0</v>
      </c>
      <c r="M334" s="699">
        <f t="shared" si="60"/>
        <v>0</v>
      </c>
      <c r="N334" s="698">
        <v>0</v>
      </c>
      <c r="O334" s="699">
        <v>0</v>
      </c>
      <c r="P334" s="699">
        <f t="shared" si="61"/>
        <v>0</v>
      </c>
      <c r="Q334" s="698">
        <f t="shared" si="55"/>
        <v>1</v>
      </c>
      <c r="R334" s="700">
        <f t="shared" si="56"/>
        <v>1409.5489103892003</v>
      </c>
    </row>
    <row r="335" spans="1:18" s="130" customFormat="1" ht="21.95" customHeight="1" x14ac:dyDescent="0.2">
      <c r="A335" s="393" t="s">
        <v>149</v>
      </c>
      <c r="B335" s="959" t="s">
        <v>814</v>
      </c>
      <c r="C335" s="959" t="s">
        <v>504</v>
      </c>
      <c r="D335" s="366">
        <f>VLOOKUP($B335,'Análise Física Detalhada'!$E$13:$V$380,18,0)</f>
        <v>1197.3071861460003</v>
      </c>
      <c r="E335" s="367">
        <f>VLOOKUP($B335,'Análise Física Detalhada'!$E$13:$P$380,12,0)</f>
        <v>0</v>
      </c>
      <c r="F335" s="368">
        <f t="shared" si="58"/>
        <v>0</v>
      </c>
      <c r="G335" s="696">
        <f>SUMIF('[2]Despesas Diretas'!$B$5:$B$9944,$B335,'[2]Despesas Diretas'!$H$5:$H$9944)</f>
        <v>0</v>
      </c>
      <c r="H335" s="696">
        <f>SUMIF('[3]Despesas Diretas'!$B$5:$B$9999,$B335,'[3]Despesas Diretas'!$H$5:$H$9999)</f>
        <v>0</v>
      </c>
      <c r="I335" s="696">
        <f>SUMIF([4]Comprometimento!$B$6:$B$147,$B335,[4]Comprometimento!$E$6:$E$147)</f>
        <v>0</v>
      </c>
      <c r="J335" s="696">
        <f>SUMIF([4]Estoque!$B$6:$B$880,$B335,[4]Estoque!$H$6:$H$880)</f>
        <v>0</v>
      </c>
      <c r="K335" s="697">
        <f t="shared" si="59"/>
        <v>0</v>
      </c>
      <c r="L335" s="698">
        <f t="shared" si="57"/>
        <v>0</v>
      </c>
      <c r="M335" s="699">
        <f t="shared" si="60"/>
        <v>0</v>
      </c>
      <c r="N335" s="698">
        <v>0</v>
      </c>
      <c r="O335" s="699">
        <v>0</v>
      </c>
      <c r="P335" s="699">
        <f t="shared" si="61"/>
        <v>0</v>
      </c>
      <c r="Q335" s="698">
        <f t="shared" si="55"/>
        <v>1</v>
      </c>
      <c r="R335" s="700">
        <f t="shared" si="56"/>
        <v>1197.3071861460003</v>
      </c>
    </row>
    <row r="336" spans="1:18" s="130" customFormat="1" ht="21.95" customHeight="1" x14ac:dyDescent="0.2">
      <c r="A336" s="393" t="s">
        <v>149</v>
      </c>
      <c r="B336" s="967" t="s">
        <v>704</v>
      </c>
      <c r="C336" s="967" t="s">
        <v>487</v>
      </c>
      <c r="D336" s="366">
        <f>VLOOKUP($B336,'Análise Física Detalhada'!$E$13:$V$380,18,0)</f>
        <v>0</v>
      </c>
      <c r="E336" s="367">
        <f>VLOOKUP($B336,'Análise Física Detalhada'!$E$13:$P$380,12,0)</f>
        <v>0</v>
      </c>
      <c r="F336" s="368">
        <f t="shared" si="58"/>
        <v>0</v>
      </c>
      <c r="G336" s="696">
        <f>SUMIF('[2]Despesas Diretas'!$B$5:$B$9944,$B336,'[2]Despesas Diretas'!$H$5:$H$9944)</f>
        <v>0</v>
      </c>
      <c r="H336" s="696">
        <f>SUMIF('[3]Despesas Diretas'!$B$5:$B$9999,$B336,'[3]Despesas Diretas'!$H$5:$H$9999)</f>
        <v>0</v>
      </c>
      <c r="I336" s="696">
        <f>SUMIF([4]Comprometimento!$B$6:$B$147,$B336,[4]Comprometimento!$E$6:$E$147)</f>
        <v>0</v>
      </c>
      <c r="J336" s="696">
        <f>SUMIF([4]Estoque!$B$6:$B$880,$B336,[4]Estoque!$H$6:$H$880)</f>
        <v>0</v>
      </c>
      <c r="K336" s="697">
        <f t="shared" si="59"/>
        <v>0</v>
      </c>
      <c r="L336" s="698">
        <f t="shared" si="57"/>
        <v>0</v>
      </c>
      <c r="M336" s="699">
        <f t="shared" si="60"/>
        <v>0</v>
      </c>
      <c r="N336" s="698">
        <v>0</v>
      </c>
      <c r="O336" s="699">
        <v>0</v>
      </c>
      <c r="P336" s="699">
        <f t="shared" si="61"/>
        <v>0</v>
      </c>
      <c r="Q336" s="698">
        <f t="shared" si="55"/>
        <v>0</v>
      </c>
      <c r="R336" s="700">
        <f t="shared" si="56"/>
        <v>0</v>
      </c>
    </row>
    <row r="337" spans="1:18" s="130" customFormat="1" ht="21.95" customHeight="1" x14ac:dyDescent="0.2">
      <c r="A337" s="393" t="s">
        <v>149</v>
      </c>
      <c r="B337" s="959" t="s">
        <v>706</v>
      </c>
      <c r="C337" s="959" t="s">
        <v>487</v>
      </c>
      <c r="D337" s="366">
        <f>VLOOKUP($B337,'Análise Física Detalhada'!$E$13:$V$380,18,0)</f>
        <v>578.79709545239996</v>
      </c>
      <c r="E337" s="367">
        <f>VLOOKUP($B337,'Análise Física Detalhada'!$E$13:$P$380,12,0)</f>
        <v>0</v>
      </c>
      <c r="F337" s="368">
        <f t="shared" si="58"/>
        <v>0</v>
      </c>
      <c r="G337" s="696">
        <f>SUMIF('[2]Despesas Diretas'!$B$5:$B$9944,$B337,'[2]Despesas Diretas'!$H$5:$H$9944)</f>
        <v>0</v>
      </c>
      <c r="H337" s="696">
        <f>SUMIF('[3]Despesas Diretas'!$B$5:$B$9999,$B337,'[3]Despesas Diretas'!$H$5:$H$9999)</f>
        <v>0</v>
      </c>
      <c r="I337" s="696">
        <f>SUMIF([4]Comprometimento!$B$6:$B$147,$B337,[4]Comprometimento!$E$6:$E$147)</f>
        <v>0</v>
      </c>
      <c r="J337" s="696">
        <f>SUMIF([4]Estoque!$B$6:$B$880,$B337,[4]Estoque!$H$6:$H$880)</f>
        <v>0</v>
      </c>
      <c r="K337" s="697">
        <f t="shared" si="59"/>
        <v>0</v>
      </c>
      <c r="L337" s="698">
        <f t="shared" si="57"/>
        <v>0</v>
      </c>
      <c r="M337" s="699">
        <f t="shared" si="60"/>
        <v>0</v>
      </c>
      <c r="N337" s="698">
        <v>0</v>
      </c>
      <c r="O337" s="699">
        <v>0</v>
      </c>
      <c r="P337" s="699">
        <f t="shared" si="61"/>
        <v>0</v>
      </c>
      <c r="Q337" s="698">
        <f t="shared" si="55"/>
        <v>1</v>
      </c>
      <c r="R337" s="700">
        <f t="shared" si="56"/>
        <v>578.79709545239996</v>
      </c>
    </row>
    <row r="338" spans="1:18" s="130" customFormat="1" ht="21.95" customHeight="1" x14ac:dyDescent="0.2">
      <c r="A338" s="393" t="s">
        <v>149</v>
      </c>
      <c r="B338" s="967" t="s">
        <v>707</v>
      </c>
      <c r="C338" s="967" t="s">
        <v>2320</v>
      </c>
      <c r="D338" s="366">
        <f>VLOOKUP($B338,'Análise Física Detalhada'!$E$13:$V$380,18,0)</f>
        <v>0</v>
      </c>
      <c r="E338" s="367">
        <f>VLOOKUP($B338,'Análise Física Detalhada'!$E$13:$P$380,12,0)</f>
        <v>0</v>
      </c>
      <c r="F338" s="368">
        <f t="shared" si="58"/>
        <v>0</v>
      </c>
      <c r="G338" s="696">
        <f>SUMIF('[2]Despesas Diretas'!$B$5:$B$9944,$B338,'[2]Despesas Diretas'!$H$5:$H$9944)</f>
        <v>0</v>
      </c>
      <c r="H338" s="696">
        <f>SUMIF('[3]Despesas Diretas'!$B$5:$B$9999,$B338,'[3]Despesas Diretas'!$H$5:$H$9999)</f>
        <v>0</v>
      </c>
      <c r="I338" s="696">
        <f>SUMIF([4]Comprometimento!$B$6:$B$147,$B338,[4]Comprometimento!$E$6:$E$147)</f>
        <v>0</v>
      </c>
      <c r="J338" s="696">
        <f>SUMIF([4]Estoque!$B$6:$B$880,$B338,[4]Estoque!$H$6:$H$880)</f>
        <v>0</v>
      </c>
      <c r="K338" s="697">
        <f t="shared" si="59"/>
        <v>0</v>
      </c>
      <c r="L338" s="698">
        <f t="shared" si="57"/>
        <v>0</v>
      </c>
      <c r="M338" s="699">
        <f t="shared" si="60"/>
        <v>0</v>
      </c>
      <c r="N338" s="698">
        <v>0</v>
      </c>
      <c r="O338" s="699">
        <v>0</v>
      </c>
      <c r="P338" s="699">
        <f t="shared" si="61"/>
        <v>0</v>
      </c>
      <c r="Q338" s="698">
        <f t="shared" si="55"/>
        <v>0</v>
      </c>
      <c r="R338" s="700">
        <f t="shared" si="56"/>
        <v>0</v>
      </c>
    </row>
    <row r="339" spans="1:18" s="130" customFormat="1" ht="21.95" customHeight="1" x14ac:dyDescent="0.2">
      <c r="A339" s="393" t="s">
        <v>149</v>
      </c>
      <c r="B339" s="959" t="s">
        <v>709</v>
      </c>
      <c r="C339" s="959" t="s">
        <v>2359</v>
      </c>
      <c r="D339" s="366">
        <f>VLOOKUP($B339,'Análise Física Detalhada'!$E$13:$V$380,18,0)</f>
        <v>709.09153254720013</v>
      </c>
      <c r="E339" s="367">
        <f>VLOOKUP($B339,'Análise Física Detalhada'!$E$13:$P$380,12,0)</f>
        <v>0</v>
      </c>
      <c r="F339" s="368">
        <f t="shared" si="58"/>
        <v>0</v>
      </c>
      <c r="G339" s="696">
        <f>SUMIF('[2]Despesas Diretas'!$B$5:$B$9944,$B339,'[2]Despesas Diretas'!$H$5:$H$9944)</f>
        <v>0</v>
      </c>
      <c r="H339" s="696">
        <f>SUMIF('[3]Despesas Diretas'!$B$5:$B$9999,$B339,'[3]Despesas Diretas'!$H$5:$H$9999)</f>
        <v>0</v>
      </c>
      <c r="I339" s="696">
        <f>SUMIF([4]Comprometimento!$B$6:$B$147,$B339,[4]Comprometimento!$E$6:$E$147)</f>
        <v>0</v>
      </c>
      <c r="J339" s="696">
        <f>SUMIF([4]Estoque!$B$6:$B$880,$B339,[4]Estoque!$H$6:$H$880)</f>
        <v>0</v>
      </c>
      <c r="K339" s="697">
        <f t="shared" si="59"/>
        <v>0</v>
      </c>
      <c r="L339" s="698">
        <f t="shared" si="57"/>
        <v>0</v>
      </c>
      <c r="M339" s="699">
        <f t="shared" si="60"/>
        <v>0</v>
      </c>
      <c r="N339" s="698">
        <v>0</v>
      </c>
      <c r="O339" s="699">
        <v>0</v>
      </c>
      <c r="P339" s="699">
        <f t="shared" si="61"/>
        <v>0</v>
      </c>
      <c r="Q339" s="698">
        <f t="shared" si="55"/>
        <v>1</v>
      </c>
      <c r="R339" s="700">
        <f t="shared" si="56"/>
        <v>709.09153254720013</v>
      </c>
    </row>
    <row r="340" spans="1:18" s="130" customFormat="1" ht="21.95" customHeight="1" x14ac:dyDescent="0.2">
      <c r="A340" s="393" t="s">
        <v>149</v>
      </c>
      <c r="B340" s="967" t="s">
        <v>1525</v>
      </c>
      <c r="C340" s="967" t="s">
        <v>1522</v>
      </c>
      <c r="D340" s="366">
        <f>VLOOKUP($B340,'Análise Física Detalhada'!$E$13:$V$380,18,0)</f>
        <v>0</v>
      </c>
      <c r="E340" s="367">
        <f>VLOOKUP($B340,'Análise Física Detalhada'!$E$13:$P$380,12,0)</f>
        <v>0</v>
      </c>
      <c r="F340" s="368">
        <f t="shared" si="58"/>
        <v>0</v>
      </c>
      <c r="G340" s="696">
        <f>SUMIF('[2]Despesas Diretas'!$B$5:$B$9944,$B340,'[2]Despesas Diretas'!$H$5:$H$9944)</f>
        <v>0</v>
      </c>
      <c r="H340" s="696">
        <f>SUMIF('[3]Despesas Diretas'!$B$5:$B$9999,$B340,'[3]Despesas Diretas'!$H$5:$H$9999)</f>
        <v>0</v>
      </c>
      <c r="I340" s="696">
        <f>SUMIF([4]Comprometimento!$B$6:$B$147,$B340,[4]Comprometimento!$E$6:$E$147)</f>
        <v>0</v>
      </c>
      <c r="J340" s="696">
        <f>SUMIF([4]Estoque!$B$6:$B$880,$B340,[4]Estoque!$H$6:$H$880)</f>
        <v>0</v>
      </c>
      <c r="K340" s="697">
        <f t="shared" si="59"/>
        <v>0</v>
      </c>
      <c r="L340" s="698">
        <f t="shared" si="57"/>
        <v>0</v>
      </c>
      <c r="M340" s="699">
        <f t="shared" si="60"/>
        <v>0</v>
      </c>
      <c r="N340" s="698">
        <v>0</v>
      </c>
      <c r="O340" s="699">
        <v>0</v>
      </c>
      <c r="P340" s="699">
        <f t="shared" si="61"/>
        <v>0</v>
      </c>
      <c r="Q340" s="698">
        <f t="shared" si="55"/>
        <v>0</v>
      </c>
      <c r="R340" s="700">
        <f t="shared" si="56"/>
        <v>0</v>
      </c>
    </row>
    <row r="341" spans="1:18" s="130" customFormat="1" ht="21.95" customHeight="1" x14ac:dyDescent="0.2">
      <c r="A341" s="393" t="s">
        <v>149</v>
      </c>
      <c r="B341" s="959" t="s">
        <v>1527</v>
      </c>
      <c r="C341" s="959" t="s">
        <v>2321</v>
      </c>
      <c r="D341" s="366">
        <f>VLOOKUP($B341,'Análise Física Detalhada'!$E$13:$V$380,18,0)</f>
        <v>4082.7305457504008</v>
      </c>
      <c r="E341" s="367">
        <f>VLOOKUP($B341,'Análise Física Detalhada'!$E$13:$P$380,12,0)</f>
        <v>0</v>
      </c>
      <c r="F341" s="368">
        <f t="shared" si="58"/>
        <v>0</v>
      </c>
      <c r="G341" s="696">
        <f>SUMIF('[2]Despesas Diretas'!$B$5:$B$9944,$B341,'[2]Despesas Diretas'!$H$5:$H$9944)</f>
        <v>0</v>
      </c>
      <c r="H341" s="696">
        <f>SUMIF('[3]Despesas Diretas'!$B$5:$B$9999,$B341,'[3]Despesas Diretas'!$H$5:$H$9999)</f>
        <v>0</v>
      </c>
      <c r="I341" s="696">
        <f>SUMIF([4]Comprometimento!$B$6:$B$147,$B341,[4]Comprometimento!$E$6:$E$147)</f>
        <v>0</v>
      </c>
      <c r="J341" s="696">
        <f>SUMIF([4]Estoque!$B$6:$B$880,$B341,[4]Estoque!$H$6:$H$880)</f>
        <v>0</v>
      </c>
      <c r="K341" s="697">
        <f t="shared" si="59"/>
        <v>0</v>
      </c>
      <c r="L341" s="698">
        <f t="shared" si="57"/>
        <v>0</v>
      </c>
      <c r="M341" s="699">
        <f t="shared" si="60"/>
        <v>0</v>
      </c>
      <c r="N341" s="698">
        <v>0</v>
      </c>
      <c r="O341" s="699">
        <v>0</v>
      </c>
      <c r="P341" s="699">
        <f t="shared" si="61"/>
        <v>0</v>
      </c>
      <c r="Q341" s="698">
        <f t="shared" si="55"/>
        <v>1</v>
      </c>
      <c r="R341" s="700">
        <f t="shared" si="56"/>
        <v>4082.7305457504008</v>
      </c>
    </row>
    <row r="342" spans="1:18" s="130" customFormat="1" ht="21.95" customHeight="1" x14ac:dyDescent="0.2">
      <c r="A342" s="393" t="s">
        <v>149</v>
      </c>
      <c r="B342" s="959" t="s">
        <v>1529</v>
      </c>
      <c r="C342" s="959" t="s">
        <v>2322</v>
      </c>
      <c r="D342" s="366">
        <f>VLOOKUP($B342,'Análise Física Detalhada'!$E$13:$V$380,18,0)</f>
        <v>5251.8712462848007</v>
      </c>
      <c r="E342" s="367">
        <f>VLOOKUP($B342,'Análise Física Detalhada'!$E$13:$P$380,12,0)</f>
        <v>0</v>
      </c>
      <c r="F342" s="368">
        <f t="shared" si="58"/>
        <v>0</v>
      </c>
      <c r="G342" s="696">
        <f>SUMIF('[2]Despesas Diretas'!$B$5:$B$9944,$B342,'[2]Despesas Diretas'!$H$5:$H$9944)</f>
        <v>0</v>
      </c>
      <c r="H342" s="696">
        <f>SUMIF('[3]Despesas Diretas'!$B$5:$B$9999,$B342,'[3]Despesas Diretas'!$H$5:$H$9999)</f>
        <v>0</v>
      </c>
      <c r="I342" s="696">
        <f>SUMIF([4]Comprometimento!$B$6:$B$147,$B342,[4]Comprometimento!$E$6:$E$147)</f>
        <v>0</v>
      </c>
      <c r="J342" s="696">
        <f>SUMIF([4]Estoque!$B$6:$B$880,$B342,[4]Estoque!$H$6:$H$880)</f>
        <v>0</v>
      </c>
      <c r="K342" s="697">
        <f t="shared" si="59"/>
        <v>0</v>
      </c>
      <c r="L342" s="698">
        <f t="shared" si="57"/>
        <v>0</v>
      </c>
      <c r="M342" s="699">
        <f t="shared" si="60"/>
        <v>0</v>
      </c>
      <c r="N342" s="698">
        <v>0</v>
      </c>
      <c r="O342" s="699">
        <v>0</v>
      </c>
      <c r="P342" s="699">
        <f t="shared" si="61"/>
        <v>0</v>
      </c>
      <c r="Q342" s="698">
        <f t="shared" si="55"/>
        <v>1</v>
      </c>
      <c r="R342" s="700">
        <f t="shared" si="56"/>
        <v>5251.8712462848007</v>
      </c>
    </row>
    <row r="343" spans="1:18" s="130" customFormat="1" ht="21.95" customHeight="1" x14ac:dyDescent="0.2">
      <c r="A343" s="393" t="s">
        <v>149</v>
      </c>
      <c r="B343" s="959" t="s">
        <v>2323</v>
      </c>
      <c r="C343" s="959" t="s">
        <v>2324</v>
      </c>
      <c r="D343" s="366">
        <f>VLOOKUP($B343,'Análise Física Detalhada'!$E$13:$V$380,18,0)</f>
        <v>0</v>
      </c>
      <c r="E343" s="367">
        <f>VLOOKUP($B343,'Análise Física Detalhada'!$E$13:$P$380,12,0)</f>
        <v>0</v>
      </c>
      <c r="F343" s="368">
        <f t="shared" si="58"/>
        <v>0</v>
      </c>
      <c r="G343" s="696">
        <f>SUMIF('[2]Despesas Diretas'!$B$5:$B$9944,$B343,'[2]Despesas Diretas'!$H$5:$H$9944)</f>
        <v>0</v>
      </c>
      <c r="H343" s="696">
        <f>SUMIF('[3]Despesas Diretas'!$B$5:$B$9999,$B343,'[3]Despesas Diretas'!$H$5:$H$9999)</f>
        <v>0</v>
      </c>
      <c r="I343" s="696">
        <f>SUMIF([4]Comprometimento!$B$6:$B$147,$B343,[4]Comprometimento!$E$6:$E$147)</f>
        <v>0</v>
      </c>
      <c r="J343" s="696">
        <f>SUMIF([4]Estoque!$B$6:$B$880,$B343,[4]Estoque!$H$6:$H$880)</f>
        <v>0</v>
      </c>
      <c r="K343" s="697">
        <f t="shared" si="59"/>
        <v>0</v>
      </c>
      <c r="L343" s="698">
        <f t="shared" si="57"/>
        <v>0</v>
      </c>
      <c r="M343" s="699">
        <f t="shared" si="60"/>
        <v>0</v>
      </c>
      <c r="N343" s="698">
        <v>0</v>
      </c>
      <c r="O343" s="699">
        <v>0</v>
      </c>
      <c r="P343" s="699">
        <f t="shared" si="61"/>
        <v>0</v>
      </c>
      <c r="Q343" s="698">
        <f t="shared" si="55"/>
        <v>0</v>
      </c>
      <c r="R343" s="700">
        <f t="shared" si="56"/>
        <v>0</v>
      </c>
    </row>
    <row r="344" spans="1:18" s="130" customFormat="1" ht="21.95" customHeight="1" x14ac:dyDescent="0.2">
      <c r="A344" s="393" t="s">
        <v>149</v>
      </c>
      <c r="B344" s="959" t="s">
        <v>2325</v>
      </c>
      <c r="C344" s="959" t="s">
        <v>1524</v>
      </c>
      <c r="D344" s="366">
        <f>VLOOKUP($B344,'Análise Física Detalhada'!$E$13:$V$380,18,0)</f>
        <v>932.7871473588001</v>
      </c>
      <c r="E344" s="367">
        <f>VLOOKUP($B344,'Análise Física Detalhada'!$E$13:$P$380,12,0)</f>
        <v>0</v>
      </c>
      <c r="F344" s="368">
        <f t="shared" si="58"/>
        <v>0</v>
      </c>
      <c r="G344" s="696">
        <f>SUMIF('[2]Despesas Diretas'!$B$5:$B$9944,$B344,'[2]Despesas Diretas'!$H$5:$H$9944)</f>
        <v>0</v>
      </c>
      <c r="H344" s="696">
        <f>SUMIF('[3]Despesas Diretas'!$B$5:$B$9999,$B344,'[3]Despesas Diretas'!$H$5:$H$9999)</f>
        <v>0</v>
      </c>
      <c r="I344" s="696">
        <f>SUMIF([4]Comprometimento!$B$6:$B$147,$B344,[4]Comprometimento!$E$6:$E$147)</f>
        <v>0</v>
      </c>
      <c r="J344" s="696">
        <f>SUMIF([4]Estoque!$B$6:$B$880,$B344,[4]Estoque!$H$6:$H$880)</f>
        <v>0</v>
      </c>
      <c r="K344" s="697">
        <f t="shared" si="59"/>
        <v>0</v>
      </c>
      <c r="L344" s="698">
        <f t="shared" si="57"/>
        <v>0</v>
      </c>
      <c r="M344" s="699">
        <f t="shared" si="60"/>
        <v>0</v>
      </c>
      <c r="N344" s="698">
        <v>0</v>
      </c>
      <c r="O344" s="699">
        <v>0</v>
      </c>
      <c r="P344" s="699">
        <f t="shared" si="61"/>
        <v>0</v>
      </c>
      <c r="Q344" s="698">
        <f t="shared" si="55"/>
        <v>1</v>
      </c>
      <c r="R344" s="700">
        <f t="shared" si="56"/>
        <v>932.7871473588001</v>
      </c>
    </row>
    <row r="345" spans="1:18" s="130" customFormat="1" ht="21.95" customHeight="1" x14ac:dyDescent="0.2">
      <c r="A345" s="393" t="s">
        <v>149</v>
      </c>
      <c r="B345" s="959" t="s">
        <v>2326</v>
      </c>
      <c r="C345" s="959" t="s">
        <v>2327</v>
      </c>
      <c r="D345" s="366">
        <f>VLOOKUP($B345,'Análise Física Detalhada'!$E$13:$V$380,18,0)</f>
        <v>5.7012177672000011</v>
      </c>
      <c r="E345" s="367">
        <f>VLOOKUP($B345,'Análise Física Detalhada'!$E$13:$P$380,12,0)</f>
        <v>0</v>
      </c>
      <c r="F345" s="368">
        <f t="shared" si="58"/>
        <v>0</v>
      </c>
      <c r="G345" s="696">
        <f>SUMIF('[2]Despesas Diretas'!$B$5:$B$9944,$B345,'[2]Despesas Diretas'!$H$5:$H$9944)</f>
        <v>0</v>
      </c>
      <c r="H345" s="696">
        <f>SUMIF('[3]Despesas Diretas'!$B$5:$B$9999,$B345,'[3]Despesas Diretas'!$H$5:$H$9999)</f>
        <v>0</v>
      </c>
      <c r="I345" s="696">
        <f>SUMIF([4]Comprometimento!$B$6:$B$147,$B345,[4]Comprometimento!$E$6:$E$147)</f>
        <v>0</v>
      </c>
      <c r="J345" s="696">
        <f>SUMIF([4]Estoque!$B$6:$B$880,$B345,[4]Estoque!$H$6:$H$880)</f>
        <v>0</v>
      </c>
      <c r="K345" s="697">
        <f t="shared" si="59"/>
        <v>0</v>
      </c>
      <c r="L345" s="698">
        <f t="shared" si="57"/>
        <v>0</v>
      </c>
      <c r="M345" s="699">
        <f t="shared" si="60"/>
        <v>0</v>
      </c>
      <c r="N345" s="698">
        <v>0</v>
      </c>
      <c r="O345" s="699">
        <v>0</v>
      </c>
      <c r="P345" s="699">
        <f t="shared" si="61"/>
        <v>0</v>
      </c>
      <c r="Q345" s="698">
        <f t="shared" si="55"/>
        <v>1</v>
      </c>
      <c r="R345" s="700">
        <f t="shared" si="56"/>
        <v>5.7012177672000011</v>
      </c>
    </row>
    <row r="346" spans="1:18" s="130" customFormat="1" ht="21.95" customHeight="1" x14ac:dyDescent="0.2">
      <c r="A346" s="393" t="s">
        <v>149</v>
      </c>
      <c r="B346" s="959" t="s">
        <v>2328</v>
      </c>
      <c r="C346" s="959" t="s">
        <v>2141</v>
      </c>
      <c r="D346" s="366">
        <f>VLOOKUP($B346,'Análise Física Detalhada'!$E$13:$V$380,18,0)</f>
        <v>1710.1595100240002</v>
      </c>
      <c r="E346" s="367">
        <f>VLOOKUP($B346,'Análise Física Detalhada'!$E$13:$P$380,12,0)</f>
        <v>0</v>
      </c>
      <c r="F346" s="368">
        <f t="shared" si="58"/>
        <v>0</v>
      </c>
      <c r="G346" s="696">
        <f>SUMIF('[2]Despesas Diretas'!$B$5:$B$9944,$B346,'[2]Despesas Diretas'!$H$5:$H$9944)</f>
        <v>0</v>
      </c>
      <c r="H346" s="696">
        <f>SUMIF('[3]Despesas Diretas'!$B$5:$B$9999,$B346,'[3]Despesas Diretas'!$H$5:$H$9999)</f>
        <v>0</v>
      </c>
      <c r="I346" s="696">
        <f>SUMIF([4]Comprometimento!$B$6:$B$147,$B346,[4]Comprometimento!$E$6:$E$147)</f>
        <v>0</v>
      </c>
      <c r="J346" s="696">
        <f>SUMIF([4]Estoque!$B$6:$B$880,$B346,[4]Estoque!$H$6:$H$880)</f>
        <v>0</v>
      </c>
      <c r="K346" s="697">
        <f t="shared" si="59"/>
        <v>0</v>
      </c>
      <c r="L346" s="698">
        <f t="shared" si="57"/>
        <v>0</v>
      </c>
      <c r="M346" s="699">
        <f t="shared" si="60"/>
        <v>0</v>
      </c>
      <c r="N346" s="698">
        <v>0</v>
      </c>
      <c r="O346" s="699">
        <v>0</v>
      </c>
      <c r="P346" s="699">
        <f t="shared" si="61"/>
        <v>0</v>
      </c>
      <c r="Q346" s="698">
        <f t="shared" si="55"/>
        <v>1</v>
      </c>
      <c r="R346" s="700">
        <f t="shared" si="56"/>
        <v>1710.1595100240002</v>
      </c>
    </row>
    <row r="347" spans="1:18" s="130" customFormat="1" ht="21.95" customHeight="1" x14ac:dyDescent="0.2">
      <c r="A347" s="393" t="s">
        <v>149</v>
      </c>
      <c r="B347" s="959" t="s">
        <v>2329</v>
      </c>
      <c r="C347" s="959" t="s">
        <v>2142</v>
      </c>
      <c r="D347" s="366">
        <f>VLOOKUP($B347,'Análise Física Detalhada'!$E$13:$V$380,18,0)</f>
        <v>324.66068252640008</v>
      </c>
      <c r="E347" s="367">
        <f>VLOOKUP($B347,'Análise Física Detalhada'!$E$13:$P$380,12,0)</f>
        <v>0</v>
      </c>
      <c r="F347" s="368">
        <f t="shared" si="58"/>
        <v>0</v>
      </c>
      <c r="G347" s="696">
        <f>SUMIF('[2]Despesas Diretas'!$B$5:$B$9944,$B347,'[2]Despesas Diretas'!$H$5:$H$9944)</f>
        <v>0</v>
      </c>
      <c r="H347" s="696">
        <f>SUMIF('[3]Despesas Diretas'!$B$5:$B$9999,$B347,'[3]Despesas Diretas'!$H$5:$H$9999)</f>
        <v>0</v>
      </c>
      <c r="I347" s="696">
        <f>SUMIF([4]Comprometimento!$B$6:$B$147,$B347,[4]Comprometimento!$E$6:$E$147)</f>
        <v>0</v>
      </c>
      <c r="J347" s="696">
        <f>SUMIF([4]Estoque!$B$6:$B$880,$B347,[4]Estoque!$H$6:$H$880)</f>
        <v>0</v>
      </c>
      <c r="K347" s="697">
        <f t="shared" si="59"/>
        <v>0</v>
      </c>
      <c r="L347" s="698">
        <f t="shared" si="57"/>
        <v>0</v>
      </c>
      <c r="M347" s="699">
        <f t="shared" si="60"/>
        <v>0</v>
      </c>
      <c r="N347" s="698">
        <v>0</v>
      </c>
      <c r="O347" s="699">
        <v>0</v>
      </c>
      <c r="P347" s="699">
        <f t="shared" si="61"/>
        <v>0</v>
      </c>
      <c r="Q347" s="698">
        <f t="shared" si="55"/>
        <v>1</v>
      </c>
      <c r="R347" s="700">
        <f t="shared" si="56"/>
        <v>324.66068252640008</v>
      </c>
    </row>
    <row r="348" spans="1:18" s="130" customFormat="1" ht="21.95" customHeight="1" x14ac:dyDescent="0.2">
      <c r="A348" s="393" t="s">
        <v>149</v>
      </c>
      <c r="B348" s="959" t="s">
        <v>2330</v>
      </c>
      <c r="C348" s="959" t="s">
        <v>2360</v>
      </c>
      <c r="D348" s="366">
        <f>VLOOKUP($B348,'Análise Física Detalhada'!$E$13:$V$380,18,0)</f>
        <v>5386.0762659636021</v>
      </c>
      <c r="E348" s="367">
        <f>VLOOKUP($B348,'Análise Física Detalhada'!$E$13:$P$380,12,0)</f>
        <v>0</v>
      </c>
      <c r="F348" s="368">
        <f t="shared" si="58"/>
        <v>0</v>
      </c>
      <c r="G348" s="696">
        <f>SUMIF('[2]Despesas Diretas'!$B$5:$B$9944,$B348,'[2]Despesas Diretas'!$H$5:$H$9944)</f>
        <v>0</v>
      </c>
      <c r="H348" s="696">
        <f>SUMIF('[3]Despesas Diretas'!$B$5:$B$9999,$B348,'[3]Despesas Diretas'!$H$5:$H$9999)</f>
        <v>0</v>
      </c>
      <c r="I348" s="696">
        <f>SUMIF([4]Comprometimento!$B$6:$B$147,$B348,[4]Comprometimento!$E$6:$E$147)</f>
        <v>0</v>
      </c>
      <c r="J348" s="696">
        <f>SUMIF([4]Estoque!$B$6:$B$880,$B348,[4]Estoque!$H$6:$H$880)</f>
        <v>0</v>
      </c>
      <c r="K348" s="697">
        <f t="shared" si="59"/>
        <v>0</v>
      </c>
      <c r="L348" s="698">
        <f t="shared" si="57"/>
        <v>0</v>
      </c>
      <c r="M348" s="699">
        <f t="shared" si="60"/>
        <v>0</v>
      </c>
      <c r="N348" s="698">
        <v>0</v>
      </c>
      <c r="O348" s="699">
        <v>0</v>
      </c>
      <c r="P348" s="699">
        <f t="shared" si="61"/>
        <v>0</v>
      </c>
      <c r="Q348" s="698">
        <f t="shared" si="55"/>
        <v>1</v>
      </c>
      <c r="R348" s="700">
        <f t="shared" si="56"/>
        <v>5386.0762659636021</v>
      </c>
    </row>
    <row r="349" spans="1:18" s="130" customFormat="1" ht="21.95" customHeight="1" x14ac:dyDescent="0.2">
      <c r="A349" s="393" t="s">
        <v>149</v>
      </c>
      <c r="B349" s="967" t="s">
        <v>1531</v>
      </c>
      <c r="C349" s="967" t="s">
        <v>1526</v>
      </c>
      <c r="D349" s="366">
        <f>VLOOKUP($B349,'Análise Física Detalhada'!$E$13:$V$380,18,0)</f>
        <v>0</v>
      </c>
      <c r="E349" s="367">
        <f>VLOOKUP($B349,'Análise Física Detalhada'!$E$13:$P$380,12,0)</f>
        <v>0</v>
      </c>
      <c r="F349" s="368">
        <f t="shared" si="58"/>
        <v>0</v>
      </c>
      <c r="G349" s="696">
        <f>SUMIF('[2]Despesas Diretas'!$B$5:$B$9944,$B349,'[2]Despesas Diretas'!$H$5:$H$9944)</f>
        <v>0</v>
      </c>
      <c r="H349" s="696">
        <f>SUMIF('[3]Despesas Diretas'!$B$5:$B$9999,$B349,'[3]Despesas Diretas'!$H$5:$H$9999)</f>
        <v>0</v>
      </c>
      <c r="I349" s="696">
        <f>SUMIF([4]Comprometimento!$B$6:$B$147,$B349,[4]Comprometimento!$E$6:$E$147)</f>
        <v>0</v>
      </c>
      <c r="J349" s="696">
        <f>SUMIF([4]Estoque!$B$6:$B$880,$B349,[4]Estoque!$H$6:$H$880)</f>
        <v>0</v>
      </c>
      <c r="K349" s="697">
        <f t="shared" si="59"/>
        <v>0</v>
      </c>
      <c r="L349" s="698">
        <f t="shared" si="57"/>
        <v>0</v>
      </c>
      <c r="M349" s="699">
        <f t="shared" si="60"/>
        <v>0</v>
      </c>
      <c r="N349" s="698">
        <v>0</v>
      </c>
      <c r="O349" s="699">
        <v>0</v>
      </c>
      <c r="P349" s="699">
        <f t="shared" si="61"/>
        <v>0</v>
      </c>
      <c r="Q349" s="698">
        <f t="shared" si="55"/>
        <v>0</v>
      </c>
      <c r="R349" s="700">
        <f t="shared" si="56"/>
        <v>0</v>
      </c>
    </row>
    <row r="350" spans="1:18" s="130" customFormat="1" ht="21.95" customHeight="1" x14ac:dyDescent="0.2">
      <c r="A350" s="393" t="s">
        <v>149</v>
      </c>
      <c r="B350" s="959" t="s">
        <v>1532</v>
      </c>
      <c r="C350" s="959" t="s">
        <v>2361</v>
      </c>
      <c r="D350" s="366">
        <f>VLOOKUP($B350,'Análise Física Detalhada'!$E$13:$V$380,18,0)</f>
        <v>447.60734076600005</v>
      </c>
      <c r="E350" s="367">
        <f>VLOOKUP($B350,'Análise Física Detalhada'!$E$13:$P$380,12,0)</f>
        <v>0</v>
      </c>
      <c r="F350" s="368">
        <f t="shared" si="58"/>
        <v>0</v>
      </c>
      <c r="G350" s="696">
        <f>SUMIF('[2]Despesas Diretas'!$B$5:$B$9944,$B350,'[2]Despesas Diretas'!$H$5:$H$9944)</f>
        <v>0</v>
      </c>
      <c r="H350" s="696">
        <f>SUMIF('[3]Despesas Diretas'!$B$5:$B$9999,$B350,'[3]Despesas Diretas'!$H$5:$H$9999)</f>
        <v>0</v>
      </c>
      <c r="I350" s="696">
        <f>SUMIF([4]Comprometimento!$B$6:$B$147,$B350,[4]Comprometimento!$E$6:$E$147)</f>
        <v>0</v>
      </c>
      <c r="J350" s="696">
        <f>SUMIF([4]Estoque!$B$6:$B$880,$B350,[4]Estoque!$H$6:$H$880)</f>
        <v>0</v>
      </c>
      <c r="K350" s="697">
        <f t="shared" si="59"/>
        <v>0</v>
      </c>
      <c r="L350" s="698">
        <f t="shared" si="57"/>
        <v>0</v>
      </c>
      <c r="M350" s="699">
        <f t="shared" si="60"/>
        <v>0</v>
      </c>
      <c r="N350" s="698">
        <v>0</v>
      </c>
      <c r="O350" s="699">
        <v>0</v>
      </c>
      <c r="P350" s="699">
        <f t="shared" si="61"/>
        <v>0</v>
      </c>
      <c r="Q350" s="698">
        <f t="shared" si="55"/>
        <v>1</v>
      </c>
      <c r="R350" s="700">
        <f t="shared" si="56"/>
        <v>447.60734076600005</v>
      </c>
    </row>
    <row r="351" spans="1:18" s="130" customFormat="1" ht="21.95" customHeight="1" x14ac:dyDescent="0.2">
      <c r="A351" s="393" t="s">
        <v>149</v>
      </c>
      <c r="B351" s="967" t="s">
        <v>2331</v>
      </c>
      <c r="C351" s="967" t="s">
        <v>722</v>
      </c>
      <c r="D351" s="366">
        <f>VLOOKUP($B351,'Análise Física Detalhada'!$E$13:$V$380,18,0)</f>
        <v>0</v>
      </c>
      <c r="E351" s="367">
        <f>VLOOKUP($B351,'Análise Física Detalhada'!$E$13:$P$380,12,0)</f>
        <v>0</v>
      </c>
      <c r="F351" s="368">
        <f t="shared" si="58"/>
        <v>0</v>
      </c>
      <c r="G351" s="696">
        <f>SUMIF('[2]Despesas Diretas'!$B$5:$B$9944,$B351,'[2]Despesas Diretas'!$H$5:$H$9944)</f>
        <v>0</v>
      </c>
      <c r="H351" s="696">
        <f>SUMIF('[3]Despesas Diretas'!$B$5:$B$9999,$B351,'[3]Despesas Diretas'!$H$5:$H$9999)</f>
        <v>0</v>
      </c>
      <c r="I351" s="696">
        <f>SUMIF([4]Comprometimento!$B$6:$B$147,$B351,[4]Comprometimento!$E$6:$E$147)</f>
        <v>0</v>
      </c>
      <c r="J351" s="696">
        <f>SUMIF([4]Estoque!$B$6:$B$880,$B351,[4]Estoque!$H$6:$H$880)</f>
        <v>0</v>
      </c>
      <c r="K351" s="697">
        <f t="shared" si="59"/>
        <v>0</v>
      </c>
      <c r="L351" s="698">
        <f t="shared" si="57"/>
        <v>0</v>
      </c>
      <c r="M351" s="699">
        <f t="shared" si="60"/>
        <v>0</v>
      </c>
      <c r="N351" s="698">
        <v>0</v>
      </c>
      <c r="O351" s="699">
        <v>0</v>
      </c>
      <c r="P351" s="699">
        <f t="shared" si="61"/>
        <v>0</v>
      </c>
      <c r="Q351" s="698">
        <f t="shared" si="55"/>
        <v>0</v>
      </c>
      <c r="R351" s="700">
        <f t="shared" si="56"/>
        <v>0</v>
      </c>
    </row>
    <row r="352" spans="1:18" s="130" customFormat="1" ht="21.95" customHeight="1" x14ac:dyDescent="0.2">
      <c r="A352" s="393" t="s">
        <v>149</v>
      </c>
      <c r="B352" s="959" t="s">
        <v>2332</v>
      </c>
      <c r="C352" s="959" t="s">
        <v>505</v>
      </c>
      <c r="D352" s="366">
        <f>VLOOKUP($B352,'Análise Física Detalhada'!$E$13:$V$380,18,0)</f>
        <v>167.53759070400005</v>
      </c>
      <c r="E352" s="367">
        <f>VLOOKUP($B352,'Análise Física Detalhada'!$E$13:$P$380,12,0)</f>
        <v>0</v>
      </c>
      <c r="F352" s="368">
        <f t="shared" si="58"/>
        <v>0</v>
      </c>
      <c r="G352" s="696">
        <f>SUMIF('[2]Despesas Diretas'!$B$5:$B$9944,$B352,'[2]Despesas Diretas'!$H$5:$H$9944)</f>
        <v>0</v>
      </c>
      <c r="H352" s="696">
        <f>SUMIF('[3]Despesas Diretas'!$B$5:$B$9999,$B352,'[3]Despesas Diretas'!$H$5:$H$9999)</f>
        <v>0</v>
      </c>
      <c r="I352" s="696">
        <f>SUMIF([4]Comprometimento!$B$6:$B$147,$B352,[4]Comprometimento!$E$6:$E$147)</f>
        <v>0</v>
      </c>
      <c r="J352" s="696">
        <f>SUMIF([4]Estoque!$B$6:$B$880,$B352,[4]Estoque!$H$6:$H$880)</f>
        <v>0</v>
      </c>
      <c r="K352" s="697">
        <f t="shared" si="59"/>
        <v>0</v>
      </c>
      <c r="L352" s="698">
        <f t="shared" si="57"/>
        <v>0</v>
      </c>
      <c r="M352" s="699">
        <f t="shared" si="60"/>
        <v>0</v>
      </c>
      <c r="N352" s="698">
        <v>0</v>
      </c>
      <c r="O352" s="699">
        <v>0</v>
      </c>
      <c r="P352" s="699">
        <f t="shared" si="61"/>
        <v>0</v>
      </c>
      <c r="Q352" s="698">
        <f t="shared" si="55"/>
        <v>1</v>
      </c>
      <c r="R352" s="700">
        <f t="shared" si="56"/>
        <v>167.53759070400005</v>
      </c>
    </row>
    <row r="353" spans="1:18" s="130" customFormat="1" ht="21.95" customHeight="1" x14ac:dyDescent="0.2">
      <c r="A353" s="393" t="s">
        <v>149</v>
      </c>
      <c r="B353" s="959" t="s">
        <v>2333</v>
      </c>
      <c r="C353" s="959" t="s">
        <v>2143</v>
      </c>
      <c r="D353" s="366">
        <f>VLOOKUP($B353,'Análise Física Detalhada'!$E$13:$V$380,18,0)</f>
        <v>178.17849173520003</v>
      </c>
      <c r="E353" s="367">
        <f>VLOOKUP($B353,'Análise Física Detalhada'!$E$13:$P$380,12,0)</f>
        <v>0</v>
      </c>
      <c r="F353" s="368">
        <f t="shared" si="58"/>
        <v>0</v>
      </c>
      <c r="G353" s="696">
        <f>SUMIF('[2]Despesas Diretas'!$B$5:$B$9944,$B353,'[2]Despesas Diretas'!$H$5:$H$9944)</f>
        <v>0</v>
      </c>
      <c r="H353" s="696">
        <f>SUMIF('[3]Despesas Diretas'!$B$5:$B$9999,$B353,'[3]Despesas Diretas'!$H$5:$H$9999)</f>
        <v>0</v>
      </c>
      <c r="I353" s="696">
        <f>SUMIF([4]Comprometimento!$B$6:$B$147,$B353,[4]Comprometimento!$E$6:$E$147)</f>
        <v>0</v>
      </c>
      <c r="J353" s="696">
        <f>SUMIF([4]Estoque!$B$6:$B$880,$B353,[4]Estoque!$H$6:$H$880)</f>
        <v>0</v>
      </c>
      <c r="K353" s="697">
        <f t="shared" si="59"/>
        <v>0</v>
      </c>
      <c r="L353" s="698">
        <f t="shared" si="57"/>
        <v>0</v>
      </c>
      <c r="M353" s="699">
        <f t="shared" si="60"/>
        <v>0</v>
      </c>
      <c r="N353" s="698">
        <v>0</v>
      </c>
      <c r="O353" s="699">
        <v>0</v>
      </c>
      <c r="P353" s="699">
        <f t="shared" si="61"/>
        <v>0</v>
      </c>
      <c r="Q353" s="698">
        <f t="shared" si="55"/>
        <v>1</v>
      </c>
      <c r="R353" s="700">
        <f t="shared" si="56"/>
        <v>178.17849173520003</v>
      </c>
    </row>
    <row r="354" spans="1:18" s="130" customFormat="1" ht="21.95" customHeight="1" x14ac:dyDescent="0.2">
      <c r="A354" s="393" t="s">
        <v>149</v>
      </c>
      <c r="B354" s="959" t="s">
        <v>2334</v>
      </c>
      <c r="C354" s="959" t="s">
        <v>2335</v>
      </c>
      <c r="D354" s="366">
        <f>VLOOKUP($B354,'Análise Física Detalhada'!$E$13:$V$380,18,0)</f>
        <v>3161.6236911096003</v>
      </c>
      <c r="E354" s="367">
        <f>VLOOKUP($B354,'Análise Física Detalhada'!$E$13:$P$380,12,0)</f>
        <v>0</v>
      </c>
      <c r="F354" s="368">
        <f t="shared" si="58"/>
        <v>0</v>
      </c>
      <c r="G354" s="696">
        <f>SUMIF('[2]Despesas Diretas'!$B$5:$B$9944,$B354,'[2]Despesas Diretas'!$H$5:$H$9944)</f>
        <v>0</v>
      </c>
      <c r="H354" s="696">
        <f>SUMIF('[3]Despesas Diretas'!$B$5:$B$9999,$B354,'[3]Despesas Diretas'!$H$5:$H$9999)</f>
        <v>0</v>
      </c>
      <c r="I354" s="696">
        <f>SUMIF([4]Comprometimento!$B$6:$B$147,$B354,[4]Comprometimento!$E$6:$E$147)</f>
        <v>0</v>
      </c>
      <c r="J354" s="696">
        <f>SUMIF([4]Estoque!$B$6:$B$880,$B354,[4]Estoque!$H$6:$H$880)</f>
        <v>0</v>
      </c>
      <c r="K354" s="697">
        <f t="shared" si="59"/>
        <v>0</v>
      </c>
      <c r="L354" s="698">
        <f t="shared" si="57"/>
        <v>0</v>
      </c>
      <c r="M354" s="699">
        <f t="shared" si="60"/>
        <v>0</v>
      </c>
      <c r="N354" s="698">
        <v>0</v>
      </c>
      <c r="O354" s="699">
        <v>0</v>
      </c>
      <c r="P354" s="699">
        <f t="shared" si="61"/>
        <v>0</v>
      </c>
      <c r="Q354" s="698">
        <f t="shared" si="55"/>
        <v>1</v>
      </c>
      <c r="R354" s="700">
        <f t="shared" si="56"/>
        <v>3161.6236911096003</v>
      </c>
    </row>
    <row r="355" spans="1:18" s="130" customFormat="1" ht="21.95" customHeight="1" x14ac:dyDescent="0.2">
      <c r="A355" s="393" t="s">
        <v>149</v>
      </c>
      <c r="B355" s="959" t="s">
        <v>2336</v>
      </c>
      <c r="C355" s="959" t="s">
        <v>1534</v>
      </c>
      <c r="D355" s="366">
        <f>VLOOKUP($B355,'Análise Física Detalhada'!$E$13:$V$380,18,0)</f>
        <v>5115.1140569196014</v>
      </c>
      <c r="E355" s="367">
        <f>VLOOKUP($B355,'Análise Física Detalhada'!$E$13:$P$380,12,0)</f>
        <v>0</v>
      </c>
      <c r="F355" s="368">
        <f t="shared" si="58"/>
        <v>0</v>
      </c>
      <c r="G355" s="696">
        <f>SUMIF('[2]Despesas Diretas'!$B$5:$B$9944,$B355,'[2]Despesas Diretas'!$H$5:$H$9944)</f>
        <v>0</v>
      </c>
      <c r="H355" s="696">
        <f>SUMIF('[3]Despesas Diretas'!$B$5:$B$9999,$B355,'[3]Despesas Diretas'!$H$5:$H$9999)</f>
        <v>0</v>
      </c>
      <c r="I355" s="696">
        <f>SUMIF([4]Comprometimento!$B$6:$B$147,$B355,[4]Comprometimento!$E$6:$E$147)</f>
        <v>0</v>
      </c>
      <c r="J355" s="696">
        <f>SUMIF([4]Estoque!$B$6:$B$880,$B355,[4]Estoque!$H$6:$H$880)</f>
        <v>0</v>
      </c>
      <c r="K355" s="697">
        <f t="shared" si="59"/>
        <v>0</v>
      </c>
      <c r="L355" s="698">
        <f t="shared" si="57"/>
        <v>0</v>
      </c>
      <c r="M355" s="699">
        <f t="shared" si="60"/>
        <v>0</v>
      </c>
      <c r="N355" s="698">
        <v>0</v>
      </c>
      <c r="O355" s="699">
        <v>0</v>
      </c>
      <c r="P355" s="699">
        <f t="shared" si="61"/>
        <v>0</v>
      </c>
      <c r="Q355" s="698">
        <f t="shared" si="55"/>
        <v>1</v>
      </c>
      <c r="R355" s="700">
        <f t="shared" si="56"/>
        <v>5115.1140569196014</v>
      </c>
    </row>
    <row r="356" spans="1:18" s="130" customFormat="1" ht="21.95" customHeight="1" x14ac:dyDescent="0.2">
      <c r="A356" s="393" t="s">
        <v>150</v>
      </c>
      <c r="B356" s="161" t="s">
        <v>150</v>
      </c>
      <c r="C356" s="161" t="s">
        <v>723</v>
      </c>
      <c r="D356" s="163">
        <f>VLOOKUP($B356,'Análise Física Detalhada'!$E$13:$V$380,18,0)</f>
        <v>173763.75272806804</v>
      </c>
      <c r="E356" s="530">
        <f>F356/D356</f>
        <v>0</v>
      </c>
      <c r="F356" s="1001">
        <f>SUM(F357:F374)</f>
        <v>0</v>
      </c>
      <c r="G356" s="1000">
        <f>SUM(G357:G374)</f>
        <v>0</v>
      </c>
      <c r="H356" s="1000">
        <f t="shared" ref="H356:K356" si="62">SUM(H357:H374)</f>
        <v>0</v>
      </c>
      <c r="I356" s="1000">
        <f t="shared" si="62"/>
        <v>0</v>
      </c>
      <c r="J356" s="1000">
        <f t="shared" si="62"/>
        <v>0</v>
      </c>
      <c r="K356" s="1000">
        <f t="shared" si="62"/>
        <v>0</v>
      </c>
      <c r="L356" s="537">
        <f>IF($F356=0,0,$K356/$F356)</f>
        <v>0</v>
      </c>
      <c r="M356" s="163">
        <f>IF($L356=0,0,$K356-$F356)</f>
        <v>0</v>
      </c>
      <c r="N356" s="537">
        <v>0</v>
      </c>
      <c r="O356" s="163">
        <v>0</v>
      </c>
      <c r="P356" s="163">
        <f>$M356-$O356</f>
        <v>0</v>
      </c>
      <c r="Q356" s="537">
        <f t="shared" si="55"/>
        <v>1</v>
      </c>
      <c r="R356" s="163">
        <f t="shared" si="56"/>
        <v>173763.75272806804</v>
      </c>
    </row>
    <row r="357" spans="1:18" s="130" customFormat="1" ht="21.95" customHeight="1" x14ac:dyDescent="0.2">
      <c r="A357" s="393" t="s">
        <v>150</v>
      </c>
      <c r="B357" s="967" t="s">
        <v>711</v>
      </c>
      <c r="C357" s="967" t="s">
        <v>191</v>
      </c>
      <c r="D357" s="366">
        <f>VLOOKUP($B357,'Análise Física Detalhada'!$E$13:$V$380,18,0)</f>
        <v>0</v>
      </c>
      <c r="E357" s="367">
        <f>VLOOKUP($B357,'Análise Física Detalhada'!$E$13:$P$380,12,0)</f>
        <v>0</v>
      </c>
      <c r="F357" s="368">
        <f t="shared" si="58"/>
        <v>0</v>
      </c>
      <c r="G357" s="696">
        <f>SUMIF('[2]Despesas Diretas'!$B$5:$B$9944,$B357,'[2]Despesas Diretas'!$H$5:$H$9944)</f>
        <v>0</v>
      </c>
      <c r="H357" s="696">
        <f>SUMIF('[3]Despesas Diretas'!$B$5:$B$9999,$B357,'[3]Despesas Diretas'!$H$5:$H$9999)</f>
        <v>0</v>
      </c>
      <c r="I357" s="696">
        <f>SUMIF([4]Comprometimento!$B$6:$B$147,$B357,[4]Comprometimento!$E$6:$E$147)</f>
        <v>0</v>
      </c>
      <c r="J357" s="696">
        <f>SUMIF([4]Estoque!$B$6:$B$880,$B357,[4]Estoque!$H$6:$H$880)</f>
        <v>0</v>
      </c>
      <c r="K357" s="697">
        <f t="shared" si="59"/>
        <v>0</v>
      </c>
      <c r="L357" s="698">
        <f t="shared" si="57"/>
        <v>0</v>
      </c>
      <c r="M357" s="699">
        <f t="shared" si="60"/>
        <v>0</v>
      </c>
      <c r="N357" s="698">
        <v>0</v>
      </c>
      <c r="O357" s="699">
        <v>0</v>
      </c>
      <c r="P357" s="699">
        <f t="shared" si="61"/>
        <v>0</v>
      </c>
      <c r="Q357" s="698">
        <f t="shared" si="55"/>
        <v>0</v>
      </c>
      <c r="R357" s="700">
        <f t="shared" si="56"/>
        <v>0</v>
      </c>
    </row>
    <row r="358" spans="1:18" s="130" customFormat="1" ht="21.95" customHeight="1" x14ac:dyDescent="0.2">
      <c r="A358" s="393" t="s">
        <v>150</v>
      </c>
      <c r="B358" s="959" t="s">
        <v>713</v>
      </c>
      <c r="C358" s="959" t="s">
        <v>2144</v>
      </c>
      <c r="D358" s="366">
        <f>VLOOKUP($B358,'Análise Física Detalhada'!$E$13:$V$380,18,0)</f>
        <v>837.4203873432001</v>
      </c>
      <c r="E358" s="367">
        <f>VLOOKUP($B358,'Análise Física Detalhada'!$E$13:$P$380,12,0)</f>
        <v>0</v>
      </c>
      <c r="F358" s="368">
        <f t="shared" si="58"/>
        <v>0</v>
      </c>
      <c r="G358" s="696">
        <f>SUMIF('[2]Despesas Diretas'!$B$5:$B$9944,$B358,'[2]Despesas Diretas'!$H$5:$H$9944)</f>
        <v>0</v>
      </c>
      <c r="H358" s="696">
        <f>SUMIF('[3]Despesas Diretas'!$B$5:$B$9999,$B358,'[3]Despesas Diretas'!$H$5:$H$9999)</f>
        <v>0</v>
      </c>
      <c r="I358" s="696">
        <f>SUMIF([4]Comprometimento!$B$6:$B$147,$B358,[4]Comprometimento!$E$6:$E$147)</f>
        <v>0</v>
      </c>
      <c r="J358" s="696">
        <f>SUMIF([4]Estoque!$B$6:$B$880,$B358,[4]Estoque!$H$6:$H$880)</f>
        <v>0</v>
      </c>
      <c r="K358" s="697">
        <f t="shared" si="59"/>
        <v>0</v>
      </c>
      <c r="L358" s="698">
        <f t="shared" si="57"/>
        <v>0</v>
      </c>
      <c r="M358" s="699">
        <f t="shared" si="60"/>
        <v>0</v>
      </c>
      <c r="N358" s="698">
        <v>0</v>
      </c>
      <c r="O358" s="699">
        <v>0</v>
      </c>
      <c r="P358" s="699">
        <f t="shared" si="61"/>
        <v>0</v>
      </c>
      <c r="Q358" s="698">
        <f t="shared" si="55"/>
        <v>1</v>
      </c>
      <c r="R358" s="700">
        <f t="shared" si="56"/>
        <v>837.4203873432001</v>
      </c>
    </row>
    <row r="359" spans="1:18" s="130" customFormat="1" ht="21.95" customHeight="1" x14ac:dyDescent="0.2">
      <c r="A359" s="393" t="s">
        <v>150</v>
      </c>
      <c r="B359" s="959" t="s">
        <v>714</v>
      </c>
      <c r="C359" s="959" t="s">
        <v>509</v>
      </c>
      <c r="D359" s="366">
        <f>VLOOKUP($B359,'Análise Física Detalhada'!$E$13:$V$380,18,0)</f>
        <v>1811.9890223100001</v>
      </c>
      <c r="E359" s="367">
        <f>VLOOKUP($B359,'Análise Física Detalhada'!$E$13:$P$380,12,0)</f>
        <v>0</v>
      </c>
      <c r="F359" s="368">
        <f t="shared" si="58"/>
        <v>0</v>
      </c>
      <c r="G359" s="696">
        <f>SUMIF('[2]Despesas Diretas'!$B$5:$B$9944,$B359,'[2]Despesas Diretas'!$H$5:$H$9944)</f>
        <v>0</v>
      </c>
      <c r="H359" s="696">
        <f>SUMIF('[3]Despesas Diretas'!$B$5:$B$9999,$B359,'[3]Despesas Diretas'!$H$5:$H$9999)</f>
        <v>0</v>
      </c>
      <c r="I359" s="696">
        <f>SUMIF([4]Comprometimento!$B$6:$B$147,$B359,[4]Comprometimento!$E$6:$E$147)</f>
        <v>0</v>
      </c>
      <c r="J359" s="696">
        <f>SUMIF([4]Estoque!$B$6:$B$880,$B359,[4]Estoque!$H$6:$H$880)</f>
        <v>0</v>
      </c>
      <c r="K359" s="697">
        <f t="shared" si="59"/>
        <v>0</v>
      </c>
      <c r="L359" s="698">
        <f t="shared" si="57"/>
        <v>0</v>
      </c>
      <c r="M359" s="699">
        <f t="shared" si="60"/>
        <v>0</v>
      </c>
      <c r="N359" s="698">
        <v>0</v>
      </c>
      <c r="O359" s="699">
        <v>0</v>
      </c>
      <c r="P359" s="699">
        <f t="shared" si="61"/>
        <v>0</v>
      </c>
      <c r="Q359" s="698">
        <f t="shared" si="55"/>
        <v>1</v>
      </c>
      <c r="R359" s="700">
        <f t="shared" si="56"/>
        <v>1811.9890223100001</v>
      </c>
    </row>
    <row r="360" spans="1:18" s="130" customFormat="1" ht="21.95" customHeight="1" x14ac:dyDescent="0.2">
      <c r="A360" s="393" t="s">
        <v>150</v>
      </c>
      <c r="B360" s="959" t="s">
        <v>2145</v>
      </c>
      <c r="C360" s="959" t="s">
        <v>420</v>
      </c>
      <c r="D360" s="366">
        <f>VLOOKUP($B360,'Análise Física Detalhada'!$E$13:$V$380,18,0)</f>
        <v>25727.517000000003</v>
      </c>
      <c r="E360" s="367">
        <f>VLOOKUP($B360,'Análise Física Detalhada'!$E$13:$P$380,12,0)</f>
        <v>0</v>
      </c>
      <c r="F360" s="368">
        <f t="shared" si="58"/>
        <v>0</v>
      </c>
      <c r="G360" s="696">
        <f>SUMIF('[2]Despesas Diretas'!$B$5:$B$9944,$B360,'[2]Despesas Diretas'!$H$5:$H$9944)</f>
        <v>0</v>
      </c>
      <c r="H360" s="696">
        <f>SUMIF('[3]Despesas Diretas'!$B$5:$B$9999,$B360,'[3]Despesas Diretas'!$H$5:$H$9999)</f>
        <v>0</v>
      </c>
      <c r="I360" s="696">
        <f>SUMIF([4]Comprometimento!$B$6:$B$147,$B360,[4]Comprometimento!$E$6:$E$147)</f>
        <v>0</v>
      </c>
      <c r="J360" s="696">
        <f>SUMIF([4]Estoque!$B$6:$B$880,$B360,[4]Estoque!$H$6:$H$880)</f>
        <v>0</v>
      </c>
      <c r="K360" s="697">
        <f t="shared" si="59"/>
        <v>0</v>
      </c>
      <c r="L360" s="698">
        <f t="shared" si="57"/>
        <v>0</v>
      </c>
      <c r="M360" s="699">
        <f t="shared" si="60"/>
        <v>0</v>
      </c>
      <c r="N360" s="698">
        <v>0</v>
      </c>
      <c r="O360" s="699">
        <v>0</v>
      </c>
      <c r="P360" s="699">
        <f t="shared" si="61"/>
        <v>0</v>
      </c>
      <c r="Q360" s="698">
        <f t="shared" si="55"/>
        <v>1</v>
      </c>
      <c r="R360" s="700">
        <f t="shared" si="56"/>
        <v>25727.517000000003</v>
      </c>
    </row>
    <row r="361" spans="1:18" s="130" customFormat="1" ht="21.95" customHeight="1" x14ac:dyDescent="0.2">
      <c r="A361" s="393" t="s">
        <v>150</v>
      </c>
      <c r="B361" s="967" t="s">
        <v>715</v>
      </c>
      <c r="C361" s="967" t="s">
        <v>724</v>
      </c>
      <c r="D361" s="366">
        <f>VLOOKUP($B361,'Análise Física Detalhada'!$E$13:$V$380,18,0)</f>
        <v>0</v>
      </c>
      <c r="E361" s="367">
        <f>VLOOKUP($B361,'Análise Física Detalhada'!$E$13:$P$380,12,0)</f>
        <v>0</v>
      </c>
      <c r="F361" s="368">
        <f t="shared" si="58"/>
        <v>0</v>
      </c>
      <c r="G361" s="696">
        <f>SUMIF('[2]Despesas Diretas'!$B$5:$B$9944,$B361,'[2]Despesas Diretas'!$H$5:$H$9944)</f>
        <v>0</v>
      </c>
      <c r="H361" s="696">
        <f>SUMIF('[3]Despesas Diretas'!$B$5:$B$9999,$B361,'[3]Despesas Diretas'!$H$5:$H$9999)</f>
        <v>0</v>
      </c>
      <c r="I361" s="696">
        <f>SUMIF([4]Comprometimento!$B$6:$B$147,$B361,[4]Comprometimento!$E$6:$E$147)</f>
        <v>0</v>
      </c>
      <c r="J361" s="696">
        <f>SUMIF([4]Estoque!$B$6:$B$880,$B361,[4]Estoque!$H$6:$H$880)</f>
        <v>0</v>
      </c>
      <c r="K361" s="697">
        <f t="shared" si="59"/>
        <v>0</v>
      </c>
      <c r="L361" s="698">
        <f t="shared" si="57"/>
        <v>0</v>
      </c>
      <c r="M361" s="699">
        <f t="shared" si="60"/>
        <v>0</v>
      </c>
      <c r="N361" s="698">
        <v>0</v>
      </c>
      <c r="O361" s="699">
        <v>0</v>
      </c>
      <c r="P361" s="699">
        <f t="shared" si="61"/>
        <v>0</v>
      </c>
      <c r="Q361" s="698">
        <f t="shared" si="55"/>
        <v>0</v>
      </c>
      <c r="R361" s="700">
        <f t="shared" si="56"/>
        <v>0</v>
      </c>
    </row>
    <row r="362" spans="1:18" s="130" customFormat="1" ht="21.95" customHeight="1" x14ac:dyDescent="0.2">
      <c r="A362" s="393" t="s">
        <v>150</v>
      </c>
      <c r="B362" s="959" t="s">
        <v>716</v>
      </c>
      <c r="C362" s="959" t="s">
        <v>511</v>
      </c>
      <c r="D362" s="366">
        <f>VLOOKUP($B362,'Análise Física Detalhada'!$E$13:$V$380,18,0)</f>
        <v>15906.459316528802</v>
      </c>
      <c r="E362" s="367">
        <f>VLOOKUP($B362,'Análise Física Detalhada'!$E$13:$P$380,12,0)</f>
        <v>0</v>
      </c>
      <c r="F362" s="368">
        <f t="shared" si="58"/>
        <v>0</v>
      </c>
      <c r="G362" s="696">
        <f>SUMIF('[2]Despesas Diretas'!$B$5:$B$9944,$B362,'[2]Despesas Diretas'!$H$5:$H$9944)</f>
        <v>0</v>
      </c>
      <c r="H362" s="696">
        <f>SUMIF('[3]Despesas Diretas'!$B$5:$B$9999,$B362,'[3]Despesas Diretas'!$H$5:$H$9999)</f>
        <v>0</v>
      </c>
      <c r="I362" s="696">
        <f>SUMIF([4]Comprometimento!$B$6:$B$147,$B362,[4]Comprometimento!$E$6:$E$147)</f>
        <v>0</v>
      </c>
      <c r="J362" s="696">
        <f>SUMIF([4]Estoque!$B$6:$B$880,$B362,[4]Estoque!$H$6:$H$880)</f>
        <v>0</v>
      </c>
      <c r="K362" s="697">
        <f t="shared" si="59"/>
        <v>0</v>
      </c>
      <c r="L362" s="698">
        <f t="shared" si="57"/>
        <v>0</v>
      </c>
      <c r="M362" s="699">
        <f t="shared" si="60"/>
        <v>0</v>
      </c>
      <c r="N362" s="698">
        <v>0</v>
      </c>
      <c r="O362" s="699">
        <v>0</v>
      </c>
      <c r="P362" s="699">
        <f t="shared" si="61"/>
        <v>0</v>
      </c>
      <c r="Q362" s="698">
        <f t="shared" si="55"/>
        <v>1</v>
      </c>
      <c r="R362" s="700">
        <f t="shared" si="56"/>
        <v>15906.459316528802</v>
      </c>
    </row>
    <row r="363" spans="1:18" s="130" customFormat="1" ht="21.95" customHeight="1" x14ac:dyDescent="0.2">
      <c r="A363" s="393" t="s">
        <v>150</v>
      </c>
      <c r="B363" s="959" t="s">
        <v>717</v>
      </c>
      <c r="C363" s="959" t="s">
        <v>151</v>
      </c>
      <c r="D363" s="366">
        <f>VLOOKUP($B363,'Análise Física Detalhada'!$E$13:$V$380,18,0)</f>
        <v>6619.9782722904001</v>
      </c>
      <c r="E363" s="367">
        <f>VLOOKUP($B363,'Análise Física Detalhada'!$E$13:$P$380,12,0)</f>
        <v>0</v>
      </c>
      <c r="F363" s="368">
        <f t="shared" si="58"/>
        <v>0</v>
      </c>
      <c r="G363" s="696">
        <f>SUMIF('[2]Despesas Diretas'!$B$5:$B$9944,$B363,'[2]Despesas Diretas'!$H$5:$H$9944)</f>
        <v>0</v>
      </c>
      <c r="H363" s="696">
        <f>SUMIF('[3]Despesas Diretas'!$B$5:$B$9999,$B363,'[3]Despesas Diretas'!$H$5:$H$9999)</f>
        <v>0</v>
      </c>
      <c r="I363" s="696">
        <f>SUMIF([4]Comprometimento!$B$6:$B$147,$B363,[4]Comprometimento!$E$6:$E$147)</f>
        <v>0</v>
      </c>
      <c r="J363" s="696">
        <f>SUMIF([4]Estoque!$B$6:$B$880,$B363,[4]Estoque!$H$6:$H$880)</f>
        <v>0</v>
      </c>
      <c r="K363" s="697">
        <f t="shared" si="59"/>
        <v>0</v>
      </c>
      <c r="L363" s="698">
        <f t="shared" si="57"/>
        <v>0</v>
      </c>
      <c r="M363" s="699">
        <f t="shared" si="60"/>
        <v>0</v>
      </c>
      <c r="N363" s="698">
        <v>0</v>
      </c>
      <c r="O363" s="699">
        <v>140</v>
      </c>
      <c r="P363" s="699">
        <f t="shared" si="61"/>
        <v>-140</v>
      </c>
      <c r="Q363" s="698">
        <f t="shared" si="55"/>
        <v>1</v>
      </c>
      <c r="R363" s="700">
        <f t="shared" si="56"/>
        <v>6619.9782722904001</v>
      </c>
    </row>
    <row r="364" spans="1:18" s="130" customFormat="1" ht="21.95" customHeight="1" x14ac:dyDescent="0.2">
      <c r="A364" s="393" t="s">
        <v>150</v>
      </c>
      <c r="B364" s="959" t="s">
        <v>2146</v>
      </c>
      <c r="C364" s="959" t="s">
        <v>2147</v>
      </c>
      <c r="D364" s="366">
        <f>VLOOKUP($B364,'Análise Física Detalhada'!$E$13:$V$380,18,0)</f>
        <v>5814.3159319320002</v>
      </c>
      <c r="E364" s="367">
        <f>VLOOKUP($B364,'Análise Física Detalhada'!$E$13:$P$380,12,0)</f>
        <v>0</v>
      </c>
      <c r="F364" s="368">
        <f t="shared" si="58"/>
        <v>0</v>
      </c>
      <c r="G364" s="696">
        <f>SUMIF('[2]Despesas Diretas'!$B$5:$B$9944,$B364,'[2]Despesas Diretas'!$H$5:$H$9944)</f>
        <v>0</v>
      </c>
      <c r="H364" s="696">
        <f>SUMIF('[3]Despesas Diretas'!$B$5:$B$9999,$B364,'[3]Despesas Diretas'!$H$5:$H$9999)</f>
        <v>0</v>
      </c>
      <c r="I364" s="696">
        <f>SUMIF([4]Comprometimento!$B$6:$B$147,$B364,[4]Comprometimento!$E$6:$E$147)</f>
        <v>0</v>
      </c>
      <c r="J364" s="696">
        <f>SUMIF([4]Estoque!$B$6:$B$880,$B364,[4]Estoque!$H$6:$H$880)</f>
        <v>0</v>
      </c>
      <c r="K364" s="697">
        <f t="shared" si="59"/>
        <v>0</v>
      </c>
      <c r="L364" s="698">
        <f t="shared" si="57"/>
        <v>0</v>
      </c>
      <c r="M364" s="699">
        <f t="shared" si="60"/>
        <v>0</v>
      </c>
      <c r="N364" s="698">
        <v>0</v>
      </c>
      <c r="O364" s="699">
        <v>0</v>
      </c>
      <c r="P364" s="699">
        <f t="shared" si="61"/>
        <v>0</v>
      </c>
      <c r="Q364" s="698">
        <f t="shared" si="55"/>
        <v>1</v>
      </c>
      <c r="R364" s="700">
        <f t="shared" si="56"/>
        <v>5814.3159319320002</v>
      </c>
    </row>
    <row r="365" spans="1:18" s="130" customFormat="1" ht="21.95" customHeight="1" x14ac:dyDescent="0.2">
      <c r="A365" s="393" t="s">
        <v>150</v>
      </c>
      <c r="B365" s="959" t="s">
        <v>2148</v>
      </c>
      <c r="C365" s="959" t="s">
        <v>2149</v>
      </c>
      <c r="D365" s="366">
        <f>VLOOKUP($B365,'Análise Física Detalhada'!$E$13:$V$380,18,0)</f>
        <v>1444.0032011556004</v>
      </c>
      <c r="E365" s="367">
        <f>VLOOKUP($B365,'Análise Física Detalhada'!$E$13:$P$380,12,0)</f>
        <v>0</v>
      </c>
      <c r="F365" s="368">
        <f t="shared" si="58"/>
        <v>0</v>
      </c>
      <c r="G365" s="696">
        <f>SUMIF('[2]Despesas Diretas'!$B$5:$B$9944,$B365,'[2]Despesas Diretas'!$H$5:$H$9944)</f>
        <v>0</v>
      </c>
      <c r="H365" s="696">
        <f>SUMIF('[3]Despesas Diretas'!$B$5:$B$9999,$B365,'[3]Despesas Diretas'!$H$5:$H$9999)</f>
        <v>0</v>
      </c>
      <c r="I365" s="696">
        <f>SUMIF([4]Comprometimento!$B$6:$B$147,$B365,[4]Comprometimento!$E$6:$E$147)</f>
        <v>0</v>
      </c>
      <c r="J365" s="696">
        <f>SUMIF([4]Estoque!$B$6:$B$880,$B365,[4]Estoque!$H$6:$H$880)</f>
        <v>0</v>
      </c>
      <c r="K365" s="697">
        <f t="shared" si="59"/>
        <v>0</v>
      </c>
      <c r="L365" s="698">
        <f t="shared" si="57"/>
        <v>0</v>
      </c>
      <c r="M365" s="699">
        <f t="shared" si="60"/>
        <v>0</v>
      </c>
      <c r="N365" s="698">
        <v>0</v>
      </c>
      <c r="O365" s="699">
        <v>0</v>
      </c>
      <c r="P365" s="699">
        <f t="shared" si="61"/>
        <v>0</v>
      </c>
      <c r="Q365" s="698">
        <f t="shared" si="55"/>
        <v>1</v>
      </c>
      <c r="R365" s="700">
        <f t="shared" si="56"/>
        <v>1444.0032011556004</v>
      </c>
    </row>
    <row r="366" spans="1:18" s="130" customFormat="1" ht="21.95" customHeight="1" x14ac:dyDescent="0.2">
      <c r="A366" s="393" t="s">
        <v>150</v>
      </c>
      <c r="B366" s="967" t="s">
        <v>718</v>
      </c>
      <c r="C366" s="967" t="s">
        <v>1535</v>
      </c>
      <c r="D366" s="366">
        <f>VLOOKUP($B366,'Análise Física Detalhada'!$E$13:$V$380,18,0)</f>
        <v>0</v>
      </c>
      <c r="E366" s="367">
        <f>VLOOKUP($B366,'Análise Física Detalhada'!$E$13:$P$380,12,0)</f>
        <v>0</v>
      </c>
      <c r="F366" s="368">
        <f t="shared" si="58"/>
        <v>0</v>
      </c>
      <c r="G366" s="696">
        <f>SUMIF('[2]Despesas Diretas'!$B$5:$B$9944,$B366,'[2]Despesas Diretas'!$H$5:$H$9944)</f>
        <v>0</v>
      </c>
      <c r="H366" s="696">
        <f>SUMIF('[3]Despesas Diretas'!$B$5:$B$9999,$B366,'[3]Despesas Diretas'!$H$5:$H$9999)</f>
        <v>0</v>
      </c>
      <c r="I366" s="696">
        <f>SUMIF([4]Comprometimento!$B$6:$B$147,$B366,[4]Comprometimento!$E$6:$E$147)</f>
        <v>0</v>
      </c>
      <c r="J366" s="696">
        <f>SUMIF([4]Estoque!$B$6:$B$880,$B366,[4]Estoque!$H$6:$H$880)</f>
        <v>0</v>
      </c>
      <c r="K366" s="697">
        <f t="shared" si="59"/>
        <v>0</v>
      </c>
      <c r="L366" s="698">
        <f t="shared" si="57"/>
        <v>0</v>
      </c>
      <c r="M366" s="699">
        <f t="shared" si="60"/>
        <v>0</v>
      </c>
      <c r="N366" s="698">
        <v>0</v>
      </c>
      <c r="O366" s="699">
        <v>0</v>
      </c>
      <c r="P366" s="699">
        <f t="shared" si="61"/>
        <v>0</v>
      </c>
      <c r="Q366" s="698">
        <f t="shared" si="55"/>
        <v>0</v>
      </c>
      <c r="R366" s="700">
        <f t="shared" si="56"/>
        <v>0</v>
      </c>
    </row>
    <row r="367" spans="1:18" s="130" customFormat="1" ht="21.95" customHeight="1" x14ac:dyDescent="0.2">
      <c r="A367" s="393" t="s">
        <v>150</v>
      </c>
      <c r="B367" s="959" t="s">
        <v>720</v>
      </c>
      <c r="C367" s="959" t="s">
        <v>2337</v>
      </c>
      <c r="D367" s="366">
        <f>VLOOKUP($B367,'Análise Física Detalhada'!$E$13:$V$380,18,0)</f>
        <v>7203.7047600000014</v>
      </c>
      <c r="E367" s="367">
        <f>VLOOKUP($B367,'Análise Física Detalhada'!$E$13:$P$380,12,0)</f>
        <v>0</v>
      </c>
      <c r="F367" s="368">
        <f t="shared" si="58"/>
        <v>0</v>
      </c>
      <c r="G367" s="696">
        <f>SUMIF('[2]Despesas Diretas'!$B$5:$B$9944,$B367,'[2]Despesas Diretas'!$H$5:$H$9944)</f>
        <v>0</v>
      </c>
      <c r="H367" s="696">
        <f>SUMIF('[3]Despesas Diretas'!$B$5:$B$9999,$B367,'[3]Despesas Diretas'!$H$5:$H$9999)</f>
        <v>0</v>
      </c>
      <c r="I367" s="696">
        <f>SUMIF([4]Comprometimento!$B$6:$B$147,$B367,[4]Comprometimento!$E$6:$E$147)</f>
        <v>0</v>
      </c>
      <c r="J367" s="696">
        <f>SUMIF([4]Estoque!$B$6:$B$880,$B367,[4]Estoque!$H$6:$H$880)</f>
        <v>0</v>
      </c>
      <c r="K367" s="697">
        <f t="shared" si="59"/>
        <v>0</v>
      </c>
      <c r="L367" s="698">
        <f t="shared" si="57"/>
        <v>0</v>
      </c>
      <c r="M367" s="699">
        <f t="shared" si="60"/>
        <v>0</v>
      </c>
      <c r="N367" s="698">
        <v>0</v>
      </c>
      <c r="O367" s="699">
        <v>0</v>
      </c>
      <c r="P367" s="699">
        <f t="shared" si="61"/>
        <v>0</v>
      </c>
      <c r="Q367" s="698">
        <f t="shared" si="55"/>
        <v>1</v>
      </c>
      <c r="R367" s="700">
        <f t="shared" si="56"/>
        <v>7203.7047600000014</v>
      </c>
    </row>
    <row r="368" spans="1:18" s="130" customFormat="1" ht="21.95" customHeight="1" x14ac:dyDescent="0.2">
      <c r="A368" s="393" t="s">
        <v>150</v>
      </c>
      <c r="B368" s="959" t="s">
        <v>721</v>
      </c>
      <c r="C368" s="959" t="s">
        <v>514</v>
      </c>
      <c r="D368" s="366">
        <f>VLOOKUP($B368,'Análise Física Detalhada'!$E$13:$V$380,18,0)</f>
        <v>308.73020400000007</v>
      </c>
      <c r="E368" s="367">
        <f>VLOOKUP($B368,'Análise Física Detalhada'!$E$13:$P$380,12,0)</f>
        <v>0</v>
      </c>
      <c r="F368" s="368">
        <f t="shared" si="58"/>
        <v>0</v>
      </c>
      <c r="G368" s="696">
        <f>SUMIF('[2]Despesas Diretas'!$B$5:$B$9944,$B368,'[2]Despesas Diretas'!$H$5:$H$9944)</f>
        <v>0</v>
      </c>
      <c r="H368" s="696">
        <f>SUMIF('[3]Despesas Diretas'!$B$5:$B$9999,$B368,'[3]Despesas Diretas'!$H$5:$H$9999)</f>
        <v>0</v>
      </c>
      <c r="I368" s="696">
        <f>SUMIF([4]Comprometimento!$B$6:$B$147,$B368,[4]Comprometimento!$E$6:$E$147)</f>
        <v>0</v>
      </c>
      <c r="J368" s="696">
        <f>SUMIF([4]Estoque!$B$6:$B$880,$B368,[4]Estoque!$H$6:$H$880)</f>
        <v>0</v>
      </c>
      <c r="K368" s="697">
        <f t="shared" si="59"/>
        <v>0</v>
      </c>
      <c r="L368" s="698">
        <f t="shared" si="57"/>
        <v>0</v>
      </c>
      <c r="M368" s="699">
        <f t="shared" si="60"/>
        <v>0</v>
      </c>
      <c r="N368" s="698">
        <v>0</v>
      </c>
      <c r="O368" s="699">
        <v>0</v>
      </c>
      <c r="P368" s="699">
        <f t="shared" si="61"/>
        <v>0</v>
      </c>
      <c r="Q368" s="698">
        <f t="shared" si="55"/>
        <v>1</v>
      </c>
      <c r="R368" s="700">
        <f t="shared" si="56"/>
        <v>308.73020400000007</v>
      </c>
    </row>
    <row r="369" spans="1:18" s="130" customFormat="1" ht="21.95" customHeight="1" x14ac:dyDescent="0.2">
      <c r="A369" s="393" t="s">
        <v>150</v>
      </c>
      <c r="B369" s="959" t="s">
        <v>815</v>
      </c>
      <c r="C369" s="959" t="s">
        <v>2338</v>
      </c>
      <c r="D369" s="366">
        <f>VLOOKUP($B369,'Análise Física Detalhada'!$E$13:$V$380,18,0)</f>
        <v>2303.1273218400006</v>
      </c>
      <c r="E369" s="367">
        <f>VLOOKUP($B369,'Análise Física Detalhada'!$E$13:$P$380,12,0)</f>
        <v>0</v>
      </c>
      <c r="F369" s="368">
        <f t="shared" si="58"/>
        <v>0</v>
      </c>
      <c r="G369" s="696">
        <f>SUMIF('[2]Despesas Diretas'!$B$5:$B$9944,$B369,'[2]Despesas Diretas'!$H$5:$H$9944)</f>
        <v>0</v>
      </c>
      <c r="H369" s="696">
        <f>SUMIF('[3]Despesas Diretas'!$B$5:$B$9999,$B369,'[3]Despesas Diretas'!$H$5:$H$9999)</f>
        <v>0</v>
      </c>
      <c r="I369" s="696">
        <f>SUMIF([4]Comprometimento!$B$6:$B$147,$B369,[4]Comprometimento!$E$6:$E$147)</f>
        <v>0</v>
      </c>
      <c r="J369" s="696">
        <f>SUMIF([4]Estoque!$B$6:$B$880,$B369,[4]Estoque!$H$6:$H$880)</f>
        <v>0</v>
      </c>
      <c r="K369" s="697">
        <f t="shared" si="59"/>
        <v>0</v>
      </c>
      <c r="L369" s="698">
        <f t="shared" si="57"/>
        <v>0</v>
      </c>
      <c r="M369" s="699">
        <f t="shared" si="60"/>
        <v>0</v>
      </c>
      <c r="N369" s="698">
        <v>0</v>
      </c>
      <c r="O369" s="699">
        <v>0</v>
      </c>
      <c r="P369" s="699">
        <f t="shared" si="61"/>
        <v>0</v>
      </c>
      <c r="Q369" s="698">
        <f t="shared" si="55"/>
        <v>1</v>
      </c>
      <c r="R369" s="700">
        <f t="shared" si="56"/>
        <v>2303.1273218400006</v>
      </c>
    </row>
    <row r="370" spans="1:18" s="130" customFormat="1" ht="21.95" customHeight="1" x14ac:dyDescent="0.2">
      <c r="A370" s="393" t="s">
        <v>150</v>
      </c>
      <c r="B370" s="959" t="s">
        <v>816</v>
      </c>
      <c r="C370" s="959" t="s">
        <v>2339</v>
      </c>
      <c r="D370" s="366">
        <f>VLOOKUP($B370,'Análise Física Detalhada'!$E$13:$V$380,18,0)</f>
        <v>4134.9265322400006</v>
      </c>
      <c r="E370" s="367">
        <f>VLOOKUP($B370,'Análise Física Detalhada'!$E$13:$P$380,12,0)</f>
        <v>0</v>
      </c>
      <c r="F370" s="368">
        <f t="shared" si="58"/>
        <v>0</v>
      </c>
      <c r="G370" s="696">
        <f>SUMIF('[2]Despesas Diretas'!$B$5:$B$9944,$B370,'[2]Despesas Diretas'!$H$5:$H$9944)</f>
        <v>0</v>
      </c>
      <c r="H370" s="696">
        <f>SUMIF('[3]Despesas Diretas'!$B$5:$B$9999,$B370,'[3]Despesas Diretas'!$H$5:$H$9999)</f>
        <v>0</v>
      </c>
      <c r="I370" s="696">
        <f>SUMIF([4]Comprometimento!$B$6:$B$147,$B370,[4]Comprometimento!$E$6:$E$147)</f>
        <v>0</v>
      </c>
      <c r="J370" s="696">
        <f>SUMIF([4]Estoque!$B$6:$B$880,$B370,[4]Estoque!$H$6:$H$880)</f>
        <v>0</v>
      </c>
      <c r="K370" s="697">
        <f t="shared" si="59"/>
        <v>0</v>
      </c>
      <c r="L370" s="698">
        <f t="shared" si="57"/>
        <v>0</v>
      </c>
      <c r="M370" s="699">
        <f t="shared" si="60"/>
        <v>0</v>
      </c>
      <c r="N370" s="698">
        <v>0</v>
      </c>
      <c r="O370" s="699">
        <v>0</v>
      </c>
      <c r="P370" s="699">
        <f t="shared" si="61"/>
        <v>0</v>
      </c>
      <c r="Q370" s="698">
        <f t="shared" si="55"/>
        <v>1</v>
      </c>
      <c r="R370" s="700">
        <f t="shared" si="56"/>
        <v>4134.9265322400006</v>
      </c>
    </row>
    <row r="371" spans="1:18" s="130" customFormat="1" ht="21.95" customHeight="1" x14ac:dyDescent="0.2">
      <c r="A371" s="393" t="s">
        <v>150</v>
      </c>
      <c r="B371" s="959" t="s">
        <v>817</v>
      </c>
      <c r="C371" s="959" t="s">
        <v>2150</v>
      </c>
      <c r="D371" s="366">
        <f>VLOOKUP($B371,'Análise Física Detalhada'!$E$13:$V$380,18,0)</f>
        <v>6559.4877343200005</v>
      </c>
      <c r="E371" s="367">
        <f>VLOOKUP($B371,'Análise Física Detalhada'!$E$13:$P$380,12,0)</f>
        <v>0</v>
      </c>
      <c r="F371" s="368">
        <f t="shared" si="58"/>
        <v>0</v>
      </c>
      <c r="G371" s="696">
        <f>SUMIF('[2]Despesas Diretas'!$B$5:$B$9944,$B371,'[2]Despesas Diretas'!$H$5:$H$9944)</f>
        <v>0</v>
      </c>
      <c r="H371" s="696">
        <f>SUMIF('[3]Despesas Diretas'!$B$5:$B$9999,$B371,'[3]Despesas Diretas'!$H$5:$H$9999)</f>
        <v>0</v>
      </c>
      <c r="I371" s="696">
        <f>SUMIF([4]Comprometimento!$B$6:$B$147,$B371,[4]Comprometimento!$E$6:$E$147)</f>
        <v>0</v>
      </c>
      <c r="J371" s="696">
        <f>SUMIF([4]Estoque!$B$6:$B$880,$B371,[4]Estoque!$H$6:$H$880)</f>
        <v>0</v>
      </c>
      <c r="K371" s="697">
        <f t="shared" si="59"/>
        <v>0</v>
      </c>
      <c r="L371" s="698">
        <f t="shared" si="57"/>
        <v>0</v>
      </c>
      <c r="M371" s="699">
        <f t="shared" si="60"/>
        <v>0</v>
      </c>
      <c r="N371" s="698">
        <v>0</v>
      </c>
      <c r="O371" s="699">
        <v>0</v>
      </c>
      <c r="P371" s="699">
        <f t="shared" si="61"/>
        <v>0</v>
      </c>
      <c r="Q371" s="698">
        <f t="shared" si="55"/>
        <v>1</v>
      </c>
      <c r="R371" s="700">
        <f t="shared" si="56"/>
        <v>6559.4877343200005</v>
      </c>
    </row>
    <row r="372" spans="1:18" s="130" customFormat="1" ht="21.95" customHeight="1" x14ac:dyDescent="0.2">
      <c r="A372" s="393" t="s">
        <v>150</v>
      </c>
      <c r="B372" s="959" t="s">
        <v>819</v>
      </c>
      <c r="C372" s="959" t="s">
        <v>2340</v>
      </c>
      <c r="D372" s="366">
        <f>VLOOKUP($B372,'Análise Física Detalhada'!$E$13:$V$380,18,0)</f>
        <v>51455.034000000007</v>
      </c>
      <c r="E372" s="367">
        <f>VLOOKUP($B372,'Análise Física Detalhada'!$E$13:$P$380,12,0)</f>
        <v>0</v>
      </c>
      <c r="F372" s="368">
        <f t="shared" si="58"/>
        <v>0</v>
      </c>
      <c r="G372" s="696">
        <f>SUMIF('[2]Despesas Diretas'!$B$5:$B$9944,$B372,'[2]Despesas Diretas'!$H$5:$H$9944)</f>
        <v>0</v>
      </c>
      <c r="H372" s="696">
        <f>SUMIF('[3]Despesas Diretas'!$B$5:$B$9999,$B372,'[3]Despesas Diretas'!$H$5:$H$9999)</f>
        <v>0</v>
      </c>
      <c r="I372" s="696">
        <f>SUMIF([4]Comprometimento!$B$6:$B$147,$B372,[4]Comprometimento!$E$6:$E$147)</f>
        <v>0</v>
      </c>
      <c r="J372" s="696">
        <f>SUMIF([4]Estoque!$B$6:$B$880,$B372,[4]Estoque!$H$6:$H$880)</f>
        <v>0</v>
      </c>
      <c r="K372" s="697">
        <f t="shared" si="59"/>
        <v>0</v>
      </c>
      <c r="L372" s="698">
        <f t="shared" si="57"/>
        <v>0</v>
      </c>
      <c r="M372" s="699">
        <f t="shared" si="60"/>
        <v>0</v>
      </c>
      <c r="N372" s="698">
        <v>0</v>
      </c>
      <c r="O372" s="699">
        <v>0</v>
      </c>
      <c r="P372" s="699">
        <f t="shared" si="61"/>
        <v>0</v>
      </c>
      <c r="Q372" s="698">
        <f t="shared" si="55"/>
        <v>1</v>
      </c>
      <c r="R372" s="700">
        <f t="shared" si="56"/>
        <v>51455.034000000007</v>
      </c>
    </row>
    <row r="373" spans="1:18" s="130" customFormat="1" ht="21.95" customHeight="1" x14ac:dyDescent="0.2">
      <c r="A373" s="393" t="s">
        <v>150</v>
      </c>
      <c r="B373" s="959" t="s">
        <v>821</v>
      </c>
      <c r="C373" s="959" t="s">
        <v>1537</v>
      </c>
      <c r="D373" s="366">
        <f>VLOOKUP($B373,'Análise Física Detalhada'!$E$13:$V$380,18,0)</f>
        <v>18266.537070000002</v>
      </c>
      <c r="E373" s="367">
        <f>VLOOKUP($B373,'Análise Física Detalhada'!$E$13:$P$380,12,0)</f>
        <v>0</v>
      </c>
      <c r="F373" s="368">
        <f t="shared" si="58"/>
        <v>0</v>
      </c>
      <c r="G373" s="696">
        <f>SUMIF('[2]Despesas Diretas'!$B$5:$B$9944,$B373,'[2]Despesas Diretas'!$H$5:$H$9944)</f>
        <v>0</v>
      </c>
      <c r="H373" s="696">
        <f>SUMIF('[3]Despesas Diretas'!$B$5:$B$9999,$B373,'[3]Despesas Diretas'!$H$5:$H$9999)</f>
        <v>0</v>
      </c>
      <c r="I373" s="696">
        <f>SUMIF([4]Comprometimento!$B$6:$B$147,$B373,[4]Comprometimento!$E$6:$E$147)</f>
        <v>0</v>
      </c>
      <c r="J373" s="696">
        <f>SUMIF([4]Estoque!$B$6:$B$880,$B373,[4]Estoque!$H$6:$H$880)</f>
        <v>0</v>
      </c>
      <c r="K373" s="697">
        <f t="shared" si="59"/>
        <v>0</v>
      </c>
      <c r="L373" s="698">
        <f t="shared" si="57"/>
        <v>0</v>
      </c>
      <c r="M373" s="699">
        <f t="shared" si="60"/>
        <v>0</v>
      </c>
      <c r="N373" s="698">
        <v>0</v>
      </c>
      <c r="O373" s="699">
        <v>0</v>
      </c>
      <c r="P373" s="699">
        <f t="shared" si="61"/>
        <v>0</v>
      </c>
      <c r="Q373" s="698">
        <f t="shared" si="55"/>
        <v>1</v>
      </c>
      <c r="R373" s="700">
        <f t="shared" si="56"/>
        <v>18266.537070000002</v>
      </c>
    </row>
    <row r="374" spans="1:18" s="130" customFormat="1" ht="21.95" customHeight="1" x14ac:dyDescent="0.2">
      <c r="A374" s="393" t="s">
        <v>150</v>
      </c>
      <c r="B374" s="959" t="s">
        <v>822</v>
      </c>
      <c r="C374" s="959" t="s">
        <v>2151</v>
      </c>
      <c r="D374" s="366">
        <f>VLOOKUP($B374,'Análise Física Detalhada'!$E$13:$V$380,18,0)</f>
        <v>25370.521974108</v>
      </c>
      <c r="E374" s="367">
        <f>VLOOKUP($B374,'Análise Física Detalhada'!$E$13:$P$380,12,0)</f>
        <v>0</v>
      </c>
      <c r="F374" s="368">
        <f t="shared" si="58"/>
        <v>0</v>
      </c>
      <c r="G374" s="696">
        <f>SUMIF('[2]Despesas Diretas'!$B$5:$B$9944,$B374,'[2]Despesas Diretas'!$H$5:$H$9944)</f>
        <v>0</v>
      </c>
      <c r="H374" s="696">
        <f>SUMIF('[3]Despesas Diretas'!$B$5:$B$9999,$B374,'[3]Despesas Diretas'!$H$5:$H$9999)</f>
        <v>0</v>
      </c>
      <c r="I374" s="696">
        <f>SUMIF([4]Comprometimento!$B$6:$B$147,$B374,[4]Comprometimento!$E$6:$E$147)</f>
        <v>0</v>
      </c>
      <c r="J374" s="696">
        <f>SUMIF([4]Estoque!$B$6:$B$880,$B374,[4]Estoque!$H$6:$H$880)</f>
        <v>0</v>
      </c>
      <c r="K374" s="697">
        <f t="shared" si="59"/>
        <v>0</v>
      </c>
      <c r="L374" s="698">
        <f t="shared" si="57"/>
        <v>0</v>
      </c>
      <c r="M374" s="699">
        <f t="shared" si="60"/>
        <v>0</v>
      </c>
      <c r="N374" s="698">
        <v>0</v>
      </c>
      <c r="O374" s="699">
        <v>0</v>
      </c>
      <c r="P374" s="699">
        <f t="shared" si="61"/>
        <v>0</v>
      </c>
      <c r="Q374" s="698">
        <f t="shared" si="55"/>
        <v>1</v>
      </c>
      <c r="R374" s="700">
        <f t="shared" si="56"/>
        <v>25370.521974108</v>
      </c>
    </row>
    <row r="375" spans="1:18" s="130" customFormat="1" ht="21.95" customHeight="1" x14ac:dyDescent="0.2">
      <c r="A375" s="393"/>
      <c r="B375" s="529" t="s">
        <v>62</v>
      </c>
      <c r="C375" s="529"/>
      <c r="D375" s="163">
        <f>VLOOKUP($B375,'Análise Física Detalhada'!$E$13:$V$380,18,0)</f>
        <v>5605062.3591566728</v>
      </c>
      <c r="E375" s="531">
        <f>$F$375/$D$375</f>
        <v>0.10232871155935368</v>
      </c>
      <c r="F375" s="532">
        <f t="array" ref="F375">SUM(IF($B8:$B374=$A8:$A374,F8:F374))</f>
        <v>573558.80942233361</v>
      </c>
      <c r="G375" s="532">
        <f t="array" ref="G375">SUM(IF($B8:$B374=$A8:$A374,G8:G374))</f>
        <v>455179.31</v>
      </c>
      <c r="H375" s="532">
        <f t="array" ref="H375">SUM(IF($B8:$B374=$A8:$A374,H8:H374))</f>
        <v>39695.17</v>
      </c>
      <c r="I375" s="532">
        <f t="array" ref="I375">SUM(IF($B8:$B374=$A8:$A374,I8:I374))</f>
        <v>72044.067036726687</v>
      </c>
      <c r="J375" s="532">
        <f t="array" ref="J375">SUM(IF($B8:$B374=$A8:$A374,J8:J374))</f>
        <v>46353.45</v>
      </c>
      <c r="K375" s="532">
        <f t="array" ref="K375">SUM(IF($B8:$B374=$A8:$A374,K8:K374))</f>
        <v>520565.09703672666</v>
      </c>
      <c r="L375" s="538">
        <f t="shared" ref="L375:L400" si="63">IF($F375=0,0,$K375/$F375)</f>
        <v>0.90760544251952091</v>
      </c>
      <c r="M375" s="525">
        <f t="shared" ref="M375:M401" si="64">$K375-$F375</f>
        <v>-52993.712385606952</v>
      </c>
      <c r="N375" s="538">
        <v>0.87414174054804172</v>
      </c>
      <c r="O375" s="525">
        <v>-30851.552549487853</v>
      </c>
      <c r="P375" s="525">
        <f t="shared" ref="P375:P401" si="65">$M375-$O375</f>
        <v>-22142.159836119099</v>
      </c>
      <c r="Q375" s="538">
        <f t="shared" ref="Q375:Q399" si="66">IF($D375=0,0,IF(($F375/$D375)&lt;20%,1,IF($D375=0,0,IF(($F375/$D375)=1,$L375,IF(($F375/$D375)=0,1,IF($L375&lt;1,(+$L375*($F375/$D375))+(1-((1-$L375)/2))*(1-($F375/$D375)),(+$L375*($F375/$D375))+(1+(($L375-1)/2))*(1-($F375/$D375))))))))</f>
        <v>1</v>
      </c>
      <c r="R375" s="525">
        <f t="array" ref="R375">SUM(IF($B8:$B374=$A8:$A374,R8:R374))</f>
        <v>5531416.4531917674</v>
      </c>
    </row>
    <row r="376" spans="1:18" s="165" customFormat="1" ht="21.95" customHeight="1" x14ac:dyDescent="0.2">
      <c r="A376" s="393"/>
      <c r="B376" s="533"/>
      <c r="C376" s="533"/>
      <c r="D376" s="534"/>
      <c r="E376" s="535"/>
      <c r="F376" s="536"/>
      <c r="G376" s="696"/>
      <c r="H376" s="696"/>
      <c r="I376" s="696"/>
      <c r="J376" s="696"/>
      <c r="K376" s="697"/>
      <c r="L376" s="698"/>
      <c r="M376" s="699"/>
      <c r="N376" s="698"/>
      <c r="O376" s="699"/>
      <c r="P376" s="699"/>
      <c r="Q376" s="698"/>
      <c r="R376" s="700"/>
    </row>
    <row r="377" spans="1:18" s="155" customFormat="1" ht="21.95" customHeight="1" x14ac:dyDescent="0.2">
      <c r="A377" s="393" t="s">
        <v>75</v>
      </c>
      <c r="B377" s="161" t="s">
        <v>75</v>
      </c>
      <c r="C377" s="161" t="s">
        <v>152</v>
      </c>
      <c r="D377" s="163">
        <f>VLOOKUP($B377,'Análise Física Detalhada'!$E$382:$V$481,18,0)</f>
        <v>178833.32366365363</v>
      </c>
      <c r="E377" s="530">
        <f>F377/D377</f>
        <v>0.15828405398169995</v>
      </c>
      <c r="F377" s="163">
        <f>SUM(F378:F384)</f>
        <v>28306.463456504571</v>
      </c>
      <c r="G377" s="163">
        <f>SUM(G378:G384)</f>
        <v>16024.68</v>
      </c>
      <c r="H377" s="163">
        <f t="shared" ref="H377:K377" si="67">SUM(H378:H384)</f>
        <v>2312.16</v>
      </c>
      <c r="I377" s="163">
        <f t="shared" si="67"/>
        <v>0</v>
      </c>
      <c r="J377" s="163">
        <f t="shared" si="67"/>
        <v>0</v>
      </c>
      <c r="K377" s="163">
        <f t="shared" si="67"/>
        <v>18336.84</v>
      </c>
      <c r="L377" s="538">
        <f t="shared" si="63"/>
        <v>0.64779692553879809</v>
      </c>
      <c r="M377" s="525">
        <f t="shared" si="64"/>
        <v>-9969.6234565045706</v>
      </c>
      <c r="N377" s="538">
        <v>0.55016329490535931</v>
      </c>
      <c r="O377" s="525">
        <v>-8871.1966784444448</v>
      </c>
      <c r="P377" s="525">
        <f t="shared" si="65"/>
        <v>-1098.4267780601258</v>
      </c>
      <c r="Q377" s="538">
        <f t="shared" si="66"/>
        <v>1</v>
      </c>
      <c r="R377" s="525">
        <f t="shared" ref="R377:R399" si="68">IF($Q377="","",$Q377*$D377)</f>
        <v>178833.32366365363</v>
      </c>
    </row>
    <row r="378" spans="1:18" s="130" customFormat="1" ht="21.95" customHeight="1" x14ac:dyDescent="0.2">
      <c r="A378" s="393" t="s">
        <v>75</v>
      </c>
      <c r="B378" s="959" t="s">
        <v>76</v>
      </c>
      <c r="C378" s="959" t="s">
        <v>448</v>
      </c>
      <c r="D378" s="940">
        <f>VLOOKUP($B378,'Análise Física Detalhada'!$E$382:$V$481,18,0)</f>
        <v>900</v>
      </c>
      <c r="E378" s="941">
        <f>VLOOKUP($B378,'Análise Física Detalhada'!$E$382:$P$480,12,0)</f>
        <v>1</v>
      </c>
      <c r="F378" s="942">
        <f t="shared" ref="F378" si="69">E378*D378</f>
        <v>900</v>
      </c>
      <c r="G378" s="943">
        <f>SUMIF('[2]Despesas Indiretas'!$B$5:$B$9944,$B378,'[2]Despesas Indiretas'!$H$5:$H$9944)</f>
        <v>435.43999999999994</v>
      </c>
      <c r="H378" s="943">
        <f>SUMIF('[3]Despesas Indiretas'!$B$5:$B$9999,$B378,'[3]Despesas Indiretas'!$H$5:$H$9999)</f>
        <v>0</v>
      </c>
      <c r="I378" s="943">
        <f>SUMIF([4]Comprometimento!$B$167:$B$308,$B378,[4]Comprometimento!$E$167:$E$308)</f>
        <v>0</v>
      </c>
      <c r="J378" s="943"/>
      <c r="K378" s="938">
        <f t="shared" ref="K378:K401" si="70">SUM($G378:$I378)-$J378</f>
        <v>435.43999999999994</v>
      </c>
      <c r="L378" s="944">
        <f t="shared" si="63"/>
        <v>0.48382222222222215</v>
      </c>
      <c r="M378" s="938">
        <f t="shared" si="64"/>
        <v>-464.56000000000006</v>
      </c>
      <c r="N378" s="944">
        <v>0.1972888888888889</v>
      </c>
      <c r="O378" s="938">
        <v>-722.44</v>
      </c>
      <c r="P378" s="938">
        <f t="shared" si="65"/>
        <v>257.88</v>
      </c>
      <c r="Q378" s="944">
        <f t="shared" si="66"/>
        <v>0.48382222222222215</v>
      </c>
      <c r="R378" s="939">
        <f t="shared" si="68"/>
        <v>435.43999999999994</v>
      </c>
    </row>
    <row r="379" spans="1:18" s="130" customFormat="1" ht="21.95" customHeight="1" x14ac:dyDescent="0.2">
      <c r="A379" s="393" t="s">
        <v>75</v>
      </c>
      <c r="B379" s="959" t="s">
        <v>77</v>
      </c>
      <c r="C379" s="959" t="s">
        <v>823</v>
      </c>
      <c r="D379" s="940">
        <f>VLOOKUP($B379,'Análise Física Detalhada'!$E$382:$V$481,18,0)</f>
        <v>36931.769049877665</v>
      </c>
      <c r="E379" s="941">
        <f>VLOOKUP($B379,'Análise Física Detalhada'!$E$382:$P$480,12,0)</f>
        <v>0.125</v>
      </c>
      <c r="F379" s="942">
        <f t="shared" ref="F379:F444" si="71">E379*D379</f>
        <v>4616.4711312347081</v>
      </c>
      <c r="G379" s="943">
        <f>SUMIF('[2]Despesas Indiretas'!$B$5:$B$9944,$B379,'[2]Despesas Indiretas'!$H$5:$H$9944)</f>
        <v>2828.98</v>
      </c>
      <c r="H379" s="943">
        <f>SUMIF('[3]Despesas Indiretas'!$B$5:$B$9999,$B379,'[3]Despesas Indiretas'!$H$5:$H$9999)</f>
        <v>0</v>
      </c>
      <c r="I379" s="943">
        <f>SUMIF([4]Comprometimento!$B$167:$B$308,$B379,[4]Comprometimento!$E$167:$E$308)</f>
        <v>0</v>
      </c>
      <c r="J379" s="943"/>
      <c r="K379" s="938">
        <f t="shared" si="70"/>
        <v>2828.98</v>
      </c>
      <c r="L379" s="944">
        <f t="shared" si="63"/>
        <v>0.61280140600454036</v>
      </c>
      <c r="M379" s="938">
        <f t="shared" si="64"/>
        <v>-1787.4911312347081</v>
      </c>
      <c r="N379" s="944">
        <v>0</v>
      </c>
      <c r="O379" s="938">
        <v>177.94</v>
      </c>
      <c r="P379" s="938">
        <f t="shared" si="65"/>
        <v>-1965.4311312347081</v>
      </c>
      <c r="Q379" s="944">
        <f t="shared" si="66"/>
        <v>1</v>
      </c>
      <c r="R379" s="939">
        <f t="shared" si="68"/>
        <v>36931.769049877665</v>
      </c>
    </row>
    <row r="380" spans="1:18" s="130" customFormat="1" ht="21.95" customHeight="1" x14ac:dyDescent="0.2">
      <c r="A380" s="393" t="s">
        <v>75</v>
      </c>
      <c r="B380" s="959" t="s">
        <v>78</v>
      </c>
      <c r="C380" s="959" t="s">
        <v>516</v>
      </c>
      <c r="D380" s="940">
        <f>VLOOKUP($B380,'Análise Física Detalhada'!$E$382:$V$481,18,0)</f>
        <v>27501.127707939169</v>
      </c>
      <c r="E380" s="941">
        <f>VLOOKUP($B380,'Análise Física Detalhada'!$E$382:$P$480,12,0)</f>
        <v>0.125</v>
      </c>
      <c r="F380" s="942">
        <f t="shared" si="71"/>
        <v>3437.6409634923962</v>
      </c>
      <c r="G380" s="943">
        <f>SUMIF('[2]Despesas Indiretas'!$B$5:$B$9944,$B380,'[2]Despesas Indiretas'!$H$5:$H$9944)</f>
        <v>0</v>
      </c>
      <c r="H380" s="943">
        <f>SUMIF('[3]Despesas Indiretas'!$B$5:$B$9999,$B380,'[3]Despesas Indiretas'!$H$5:$H$9999)</f>
        <v>0</v>
      </c>
      <c r="I380" s="943">
        <f>SUMIF([4]Comprometimento!$B$167:$B$308,$B380,[4]Comprometimento!$E$167:$E$308)</f>
        <v>0</v>
      </c>
      <c r="J380" s="943"/>
      <c r="K380" s="938">
        <f t="shared" si="70"/>
        <v>0</v>
      </c>
      <c r="L380" s="944">
        <f t="shared" si="63"/>
        <v>0</v>
      </c>
      <c r="M380" s="938">
        <f t="shared" si="64"/>
        <v>-3437.6409634923962</v>
      </c>
      <c r="N380" s="944">
        <v>0</v>
      </c>
      <c r="O380" s="938">
        <v>-2257.5864277777778</v>
      </c>
      <c r="P380" s="938">
        <f t="shared" si="65"/>
        <v>-1180.0545357146184</v>
      </c>
      <c r="Q380" s="944">
        <f t="shared" si="66"/>
        <v>1</v>
      </c>
      <c r="R380" s="939">
        <f t="shared" si="68"/>
        <v>27501.127707939169</v>
      </c>
    </row>
    <row r="381" spans="1:18" s="130" customFormat="1" ht="21.95" customHeight="1" x14ac:dyDescent="0.2">
      <c r="A381" s="393" t="s">
        <v>75</v>
      </c>
      <c r="B381" s="959" t="s">
        <v>79</v>
      </c>
      <c r="C381" s="959" t="s">
        <v>1973</v>
      </c>
      <c r="D381" s="940">
        <f>VLOOKUP($B381,'Análise Física Detalhada'!$E$382:$V$481,18,0)</f>
        <v>61555.907725000005</v>
      </c>
      <c r="E381" s="941">
        <f>VLOOKUP($B381,'Análise Física Detalhada'!$E$382:$P$480,12,0)</f>
        <v>0.125</v>
      </c>
      <c r="F381" s="942">
        <f t="shared" si="71"/>
        <v>7694.4884656250006</v>
      </c>
      <c r="G381" s="943">
        <f>SUMIF('[2]Despesas Indiretas'!$B$5:$B$9944,$B381,'[2]Despesas Indiretas'!$H$5:$H$9944)</f>
        <v>2600</v>
      </c>
      <c r="H381" s="943">
        <f>SUMIF('[3]Despesas Indiretas'!$B$5:$B$9999,$B381,'[3]Despesas Indiretas'!$H$5:$H$9999)</f>
        <v>0</v>
      </c>
      <c r="I381" s="943">
        <f>SUMIF([4]Comprometimento!$B$167:$B$308,$B381,[4]Comprometimento!$E$167:$E$308)</f>
        <v>0</v>
      </c>
      <c r="J381" s="943"/>
      <c r="K381" s="938">
        <f t="shared" si="70"/>
        <v>2600</v>
      </c>
      <c r="L381" s="944">
        <f t="shared" si="63"/>
        <v>0.33790420397866039</v>
      </c>
      <c r="M381" s="938">
        <f t="shared" si="64"/>
        <v>-5094.4884656250006</v>
      </c>
      <c r="N381" s="944">
        <v>0</v>
      </c>
      <c r="O381" s="938">
        <v>-5053.1666666666661</v>
      </c>
      <c r="P381" s="938">
        <f t="shared" si="65"/>
        <v>-41.321798958334512</v>
      </c>
      <c r="Q381" s="944">
        <f t="shared" si="66"/>
        <v>1</v>
      </c>
      <c r="R381" s="939">
        <f t="shared" si="68"/>
        <v>61555.907725000005</v>
      </c>
    </row>
    <row r="382" spans="1:18" s="130" customFormat="1" ht="21.95" customHeight="1" x14ac:dyDescent="0.2">
      <c r="A382" s="393" t="s">
        <v>75</v>
      </c>
      <c r="B382" s="959" t="s">
        <v>80</v>
      </c>
      <c r="C382" s="959" t="s">
        <v>2341</v>
      </c>
      <c r="D382" s="950">
        <f>VLOOKUP($B382,'Análise Física Detalhada'!$E$382:$V$481,18,0)</f>
        <v>2434.8004080000001</v>
      </c>
      <c r="E382" s="941">
        <f>VLOOKUP($B382,'Análise Física Detalhada'!$E$382:$P$480,12,0)</f>
        <v>0.5</v>
      </c>
      <c r="F382" s="942">
        <f t="shared" si="71"/>
        <v>1217.400204</v>
      </c>
      <c r="G382" s="943">
        <f>SUMIF('[2]Despesas Indiretas'!$B$5:$B$9944,$B382,'[2]Despesas Indiretas'!$H$5:$H$9944)</f>
        <v>1900</v>
      </c>
      <c r="H382" s="943">
        <f>SUMIF('[3]Despesas Indiretas'!$B$5:$B$9999,$B382,'[3]Despesas Indiretas'!$H$5:$H$9999)</f>
        <v>0</v>
      </c>
      <c r="I382" s="943">
        <f>SUMIF([4]Comprometimento!$B$167:$B$308,$B382,[4]Comprometimento!$E$167:$E$308)</f>
        <v>0</v>
      </c>
      <c r="J382" s="943"/>
      <c r="K382" s="938">
        <f t="shared" si="70"/>
        <v>1900</v>
      </c>
      <c r="L382" s="944">
        <f t="shared" si="63"/>
        <v>1.5607028763073871</v>
      </c>
      <c r="M382" s="938">
        <f t="shared" si="64"/>
        <v>682.59979599999997</v>
      </c>
      <c r="N382" s="944">
        <v>0</v>
      </c>
      <c r="O382" s="938">
        <v>-1206.96</v>
      </c>
      <c r="P382" s="938">
        <f t="shared" si="65"/>
        <v>1889.559796</v>
      </c>
      <c r="Q382" s="944">
        <f t="shared" si="66"/>
        <v>1.4205271572305405</v>
      </c>
      <c r="R382" s="939">
        <f t="shared" si="68"/>
        <v>3458.7001020000002</v>
      </c>
    </row>
    <row r="383" spans="1:18" s="130" customFormat="1" ht="21.95" customHeight="1" x14ac:dyDescent="0.2">
      <c r="A383" s="393" t="s">
        <v>75</v>
      </c>
      <c r="B383" s="959" t="s">
        <v>81</v>
      </c>
      <c r="C383" s="959" t="s">
        <v>508</v>
      </c>
      <c r="D383" s="940">
        <f>VLOOKUP($B383,'Análise Física Detalhada'!$E$382:$V$481,18,0)</f>
        <v>4116.40272</v>
      </c>
      <c r="E383" s="941">
        <f>VLOOKUP($B383,'Análise Física Detalhada'!$E$382:$P$480,12,0)</f>
        <v>0</v>
      </c>
      <c r="F383" s="942">
        <f t="shared" si="71"/>
        <v>0</v>
      </c>
      <c r="G383" s="943">
        <f>SUMIF('[2]Despesas Indiretas'!$B$5:$B$9944,$B383,'[2]Despesas Indiretas'!$H$5:$H$9944)</f>
        <v>0</v>
      </c>
      <c r="H383" s="943">
        <f>SUMIF('[3]Despesas Indiretas'!$B$5:$B$9999,$B383,'[3]Despesas Indiretas'!$H$5:$H$9999)</f>
        <v>0</v>
      </c>
      <c r="I383" s="943">
        <f>SUMIF([4]Comprometimento!$B$167:$B$308,$B383,[4]Comprometimento!$E$167:$E$308)</f>
        <v>0</v>
      </c>
      <c r="J383" s="943"/>
      <c r="K383" s="938">
        <f t="shared" si="70"/>
        <v>0</v>
      </c>
      <c r="L383" s="944">
        <f t="shared" si="63"/>
        <v>0</v>
      </c>
      <c r="M383" s="938">
        <f t="shared" si="64"/>
        <v>0</v>
      </c>
      <c r="N383" s="944">
        <v>0</v>
      </c>
      <c r="O383" s="938">
        <v>0</v>
      </c>
      <c r="P383" s="938">
        <f t="shared" si="65"/>
        <v>0</v>
      </c>
      <c r="Q383" s="944">
        <f t="shared" si="66"/>
        <v>1</v>
      </c>
      <c r="R383" s="939">
        <f t="shared" si="68"/>
        <v>4116.40272</v>
      </c>
    </row>
    <row r="384" spans="1:18" s="130" customFormat="1" ht="21.95" customHeight="1" x14ac:dyDescent="0.2">
      <c r="A384" s="393" t="s">
        <v>75</v>
      </c>
      <c r="B384" s="959" t="s">
        <v>153</v>
      </c>
      <c r="C384" s="959" t="s">
        <v>17</v>
      </c>
      <c r="D384" s="940">
        <f>VLOOKUP($B384,'Análise Física Detalhada'!$E$382:$V$481,18,0)</f>
        <v>45393.316052836803</v>
      </c>
      <c r="E384" s="941">
        <f>VLOOKUP($B384,'Análise Física Detalhada'!$E$382:$P$480,12,0)</f>
        <v>0.23</v>
      </c>
      <c r="F384" s="942">
        <f t="shared" si="71"/>
        <v>10440.462692152465</v>
      </c>
      <c r="G384" s="943">
        <f>SUMIF('[2]Despesas Indiretas'!$B$5:$B$9944,$B384,'[2]Despesas Indiretas'!$H$5:$H$9944)</f>
        <v>8260.26</v>
      </c>
      <c r="H384" s="943">
        <f>SUMIF('[3]Despesas Indiretas'!$B$5:$B$9999,$B384,'[3]Despesas Indiretas'!$H$5:$H$9999)</f>
        <v>2312.16</v>
      </c>
      <c r="I384" s="943">
        <f>SUMIF([4]Comprometimento!$B$167:$B$308,$B384,[4]Comprometimento!$E$167:$E$308)</f>
        <v>0</v>
      </c>
      <c r="J384" s="943"/>
      <c r="K384" s="938">
        <f t="shared" si="70"/>
        <v>10572.42</v>
      </c>
      <c r="L384" s="944">
        <f t="shared" si="63"/>
        <v>1.0126390287230009</v>
      </c>
      <c r="M384" s="938">
        <f t="shared" si="64"/>
        <v>131.95730784753505</v>
      </c>
      <c r="N384" s="944">
        <v>1.0185394988119658</v>
      </c>
      <c r="O384" s="938">
        <v>191.01641599999857</v>
      </c>
      <c r="P384" s="938">
        <f t="shared" si="65"/>
        <v>-59.059108152463523</v>
      </c>
      <c r="Q384" s="944">
        <f t="shared" si="66"/>
        <v>1.0077730026646456</v>
      </c>
      <c r="R384" s="939">
        <f t="shared" si="68"/>
        <v>45746.158419472602</v>
      </c>
    </row>
    <row r="385" spans="1:18" s="130" customFormat="1" ht="21.95" customHeight="1" x14ac:dyDescent="0.2">
      <c r="A385" s="393" t="s">
        <v>82</v>
      </c>
      <c r="B385" s="161" t="s">
        <v>82</v>
      </c>
      <c r="C385" s="161" t="s">
        <v>154</v>
      </c>
      <c r="D385" s="163">
        <f>VLOOKUP($B385,'Análise Física Detalhada'!$E$382:$V$481,18,0)</f>
        <v>67550.056729228236</v>
      </c>
      <c r="E385" s="530">
        <f>F385/D385</f>
        <v>4.6460926409838357E-2</v>
      </c>
      <c r="F385" s="163">
        <f>SUM(F386:F396)</f>
        <v>3138.4382146770795</v>
      </c>
      <c r="G385" s="163">
        <f>SUM(G386:G396)</f>
        <v>1791.06</v>
      </c>
      <c r="H385" s="163">
        <f t="shared" ref="H385:K385" si="72">SUM(H386:H396)</f>
        <v>808.76</v>
      </c>
      <c r="I385" s="163">
        <f t="shared" si="72"/>
        <v>0</v>
      </c>
      <c r="J385" s="163">
        <f t="shared" si="72"/>
        <v>0</v>
      </c>
      <c r="K385" s="163">
        <f t="shared" si="72"/>
        <v>2599.8200000000002</v>
      </c>
      <c r="L385" s="538">
        <f t="shared" si="63"/>
        <v>0.82838017579629208</v>
      </c>
      <c r="M385" s="937">
        <f t="shared" si="64"/>
        <v>-538.61821467707932</v>
      </c>
      <c r="N385" s="538">
        <v>0.44517655729324496</v>
      </c>
      <c r="O385" s="937">
        <v>-1143.5423575555553</v>
      </c>
      <c r="P385" s="937">
        <f t="shared" si="65"/>
        <v>604.924142878476</v>
      </c>
      <c r="Q385" s="538">
        <f t="shared" si="66"/>
        <v>1</v>
      </c>
      <c r="R385" s="937">
        <f t="shared" si="68"/>
        <v>67550.056729228236</v>
      </c>
    </row>
    <row r="386" spans="1:18" s="130" customFormat="1" ht="21.95" customHeight="1" x14ac:dyDescent="0.2">
      <c r="A386" s="393" t="s">
        <v>82</v>
      </c>
      <c r="B386" s="959" t="s">
        <v>83</v>
      </c>
      <c r="C386" s="959" t="s">
        <v>517</v>
      </c>
      <c r="D386" s="940">
        <f>VLOOKUP($B386,'Análise Física Detalhada'!$E$382:$V$481,18,0)</f>
        <v>3145.2709204345547</v>
      </c>
      <c r="E386" s="941">
        <f>VLOOKUP($B386,'Análise Física Detalhada'!$E$382:$P$480,12,0)</f>
        <v>0.125</v>
      </c>
      <c r="F386" s="942">
        <f t="shared" si="71"/>
        <v>393.15886505431934</v>
      </c>
      <c r="G386" s="943">
        <f>SUMIF('[2]Despesas Indiretas'!$B$5:$B$9944,$B386,'[2]Despesas Indiretas'!$H$5:$H$9944)</f>
        <v>75</v>
      </c>
      <c r="H386" s="943">
        <f>SUMIF('[3]Despesas Indiretas'!$B$5:$B$9999,$B386,'[3]Despesas Indiretas'!$H$5:$H$9999)</f>
        <v>0</v>
      </c>
      <c r="I386" s="943">
        <f>SUMIF([4]Comprometimento!$B$167:$B$308,$B386,[4]Comprometimento!$E$167:$E$308)</f>
        <v>0</v>
      </c>
      <c r="J386" s="943"/>
      <c r="K386" s="938">
        <f t="shared" si="70"/>
        <v>75</v>
      </c>
      <c r="L386" s="944">
        <f t="shared" si="63"/>
        <v>0.19076258140494404</v>
      </c>
      <c r="M386" s="938">
        <f t="shared" si="64"/>
        <v>-318.15886505431934</v>
      </c>
      <c r="N386" s="944">
        <v>0.29047537497144216</v>
      </c>
      <c r="O386" s="938">
        <v>-183.19744619444441</v>
      </c>
      <c r="P386" s="938">
        <f t="shared" si="65"/>
        <v>-134.96141885987493</v>
      </c>
      <c r="Q386" s="944">
        <f t="shared" si="66"/>
        <v>1</v>
      </c>
      <c r="R386" s="939">
        <f t="shared" si="68"/>
        <v>3145.2709204345547</v>
      </c>
    </row>
    <row r="387" spans="1:18" s="130" customFormat="1" ht="21.95" customHeight="1" x14ac:dyDescent="0.2">
      <c r="A387" s="393" t="s">
        <v>82</v>
      </c>
      <c r="B387" s="959" t="s">
        <v>84</v>
      </c>
      <c r="C387" s="959" t="s">
        <v>155</v>
      </c>
      <c r="D387" s="940">
        <f>VLOOKUP($B387,'Análise Física Detalhada'!$E$382:$V$481,18,0)</f>
        <v>9232.0934846877753</v>
      </c>
      <c r="E387" s="941">
        <f>VLOOKUP($B387,'Análise Física Detalhada'!$E$382:$P$480,12,0)</f>
        <v>0.125</v>
      </c>
      <c r="F387" s="942">
        <f t="shared" ref="F387:F396" si="73">E387*D387</f>
        <v>1154.0116855859719</v>
      </c>
      <c r="G387" s="943">
        <f>SUMIF('[2]Despesas Indiretas'!$B$5:$B$9944,$B387,'[2]Despesas Indiretas'!$H$5:$H$9944)</f>
        <v>1374.3</v>
      </c>
      <c r="H387" s="943">
        <f>SUMIF('[3]Despesas Indiretas'!$B$5:$B$9999,$B387,'[3]Despesas Indiretas'!$H$5:$H$9999)</f>
        <v>808.76</v>
      </c>
      <c r="I387" s="943">
        <f>SUMIF([4]Comprometimento!$B$167:$B$308,$B387,[4]Comprometimento!$E$167:$E$308)</f>
        <v>0</v>
      </c>
      <c r="J387" s="943"/>
      <c r="K387" s="938">
        <f t="shared" si="70"/>
        <v>2183.06</v>
      </c>
      <c r="L387" s="944">
        <f t="shared" si="63"/>
        <v>1.8917139464593105</v>
      </c>
      <c r="M387" s="938">
        <f t="shared" si="64"/>
        <v>1029.048314414028</v>
      </c>
      <c r="N387" s="944">
        <v>1.1117358402536921</v>
      </c>
      <c r="O387" s="938">
        <v>84.68111650000003</v>
      </c>
      <c r="P387" s="938">
        <f t="shared" si="65"/>
        <v>944.367197914028</v>
      </c>
      <c r="Q387" s="944">
        <f t="shared" si="66"/>
        <v>1</v>
      </c>
      <c r="R387" s="939">
        <f t="shared" si="68"/>
        <v>9232.0934846877753</v>
      </c>
    </row>
    <row r="388" spans="1:18" s="155" customFormat="1" ht="21.95" customHeight="1" x14ac:dyDescent="0.2">
      <c r="A388" s="393" t="s">
        <v>82</v>
      </c>
      <c r="B388" s="959" t="s">
        <v>85</v>
      </c>
      <c r="C388" s="959" t="s">
        <v>2342</v>
      </c>
      <c r="D388" s="940">
        <f>VLOOKUP($B388,'Análise Física Detalhada'!$E$382:$V$481,18,0)</f>
        <v>16169.343085234803</v>
      </c>
      <c r="E388" s="941">
        <f>VLOOKUP($B388,'Análise Física Detalhada'!$E$382:$P$480,12,0)</f>
        <v>0</v>
      </c>
      <c r="F388" s="942">
        <f t="shared" si="73"/>
        <v>0</v>
      </c>
      <c r="G388" s="943">
        <f>SUMIF('[2]Despesas Indiretas'!$B$5:$B$9944,$B388,'[2]Despesas Indiretas'!$H$5:$H$9944)</f>
        <v>0</v>
      </c>
      <c r="H388" s="943">
        <f>SUMIF('[3]Despesas Indiretas'!$B$5:$B$9999,$B388,'[3]Despesas Indiretas'!$H$5:$H$9999)</f>
        <v>0</v>
      </c>
      <c r="I388" s="943">
        <f>SUMIF([4]Comprometimento!$B$167:$B$308,$B388,[4]Comprometimento!$E$167:$E$308)</f>
        <v>0</v>
      </c>
      <c r="J388" s="943"/>
      <c r="K388" s="938">
        <f t="shared" si="70"/>
        <v>0</v>
      </c>
      <c r="L388" s="944">
        <f t="shared" si="63"/>
        <v>0</v>
      </c>
      <c r="M388" s="938">
        <f t="shared" si="64"/>
        <v>0</v>
      </c>
      <c r="N388" s="944">
        <v>0</v>
      </c>
      <c r="O388" s="938">
        <v>0</v>
      </c>
      <c r="P388" s="938">
        <f t="shared" si="65"/>
        <v>0</v>
      </c>
      <c r="Q388" s="944">
        <f t="shared" si="66"/>
        <v>1</v>
      </c>
      <c r="R388" s="939">
        <f t="shared" si="68"/>
        <v>16169.343085234803</v>
      </c>
    </row>
    <row r="389" spans="1:18" s="130" customFormat="1" ht="21.95" customHeight="1" x14ac:dyDescent="0.2">
      <c r="A389" s="393" t="s">
        <v>82</v>
      </c>
      <c r="B389" s="959" t="s">
        <v>157</v>
      </c>
      <c r="C389" s="959" t="s">
        <v>2343</v>
      </c>
      <c r="D389" s="940">
        <f>VLOOKUP($B389,'Análise Física Detalhada'!$E$382:$V$481,18,0)</f>
        <v>10649.833625102401</v>
      </c>
      <c r="E389" s="941">
        <f>VLOOKUP($B389,'Análise Física Detalhada'!$E$382:$P$480,12,0)</f>
        <v>0</v>
      </c>
      <c r="F389" s="942">
        <f t="shared" si="73"/>
        <v>0</v>
      </c>
      <c r="G389" s="943">
        <f>SUMIF('[2]Despesas Indiretas'!$B$5:$B$9944,$B389,'[2]Despesas Indiretas'!$H$5:$H$9944)</f>
        <v>0</v>
      </c>
      <c r="H389" s="943">
        <f>SUMIF('[3]Despesas Indiretas'!$B$5:$B$9999,$B389,'[3]Despesas Indiretas'!$H$5:$H$9999)</f>
        <v>0</v>
      </c>
      <c r="I389" s="943">
        <f>SUMIF([4]Comprometimento!$B$167:$B$308,$B389,[4]Comprometimento!$E$167:$E$308)</f>
        <v>0</v>
      </c>
      <c r="J389" s="943"/>
      <c r="K389" s="938">
        <f t="shared" si="70"/>
        <v>0</v>
      </c>
      <c r="L389" s="944">
        <f t="shared" si="63"/>
        <v>0</v>
      </c>
      <c r="M389" s="938">
        <f t="shared" si="64"/>
        <v>0</v>
      </c>
      <c r="N389" s="944">
        <v>0</v>
      </c>
      <c r="O389" s="938">
        <v>0</v>
      </c>
      <c r="P389" s="938">
        <f t="shared" si="65"/>
        <v>0</v>
      </c>
      <c r="Q389" s="944">
        <f t="shared" si="66"/>
        <v>1</v>
      </c>
      <c r="R389" s="939">
        <f t="shared" si="68"/>
        <v>10649.833625102401</v>
      </c>
    </row>
    <row r="390" spans="1:18" s="130" customFormat="1" ht="21.95" customHeight="1" x14ac:dyDescent="0.2">
      <c r="A390" s="393" t="s">
        <v>82</v>
      </c>
      <c r="B390" s="959" t="s">
        <v>158</v>
      </c>
      <c r="C390" s="959" t="s">
        <v>159</v>
      </c>
      <c r="D390" s="940">
        <f>VLOOKUP($B390,'Análise Física Detalhada'!$E$382:$V$481,18,0)</f>
        <v>2874.6486754848006</v>
      </c>
      <c r="E390" s="941">
        <f>VLOOKUP($B390,'Análise Física Detalhada'!$E$382:$P$480,12,0)</f>
        <v>0</v>
      </c>
      <c r="F390" s="942">
        <f t="shared" si="73"/>
        <v>0</v>
      </c>
      <c r="G390" s="943">
        <f>SUMIF('[2]Despesas Indiretas'!$B$5:$B$9944,$B390,'[2]Despesas Indiretas'!$H$5:$H$9944)</f>
        <v>113.76</v>
      </c>
      <c r="H390" s="943">
        <f>SUMIF('[3]Despesas Indiretas'!$B$5:$B$9999,$B390,'[3]Despesas Indiretas'!$H$5:$H$9999)</f>
        <v>0</v>
      </c>
      <c r="I390" s="943">
        <f>SUMIF([4]Comprometimento!$B$167:$B$308,$B390,[4]Comprometimento!$E$167:$E$308)</f>
        <v>0</v>
      </c>
      <c r="J390" s="943"/>
      <c r="K390" s="938">
        <f t="shared" si="70"/>
        <v>113.76</v>
      </c>
      <c r="L390" s="944">
        <f t="shared" si="63"/>
        <v>0</v>
      </c>
      <c r="M390" s="938">
        <f t="shared" si="64"/>
        <v>113.76</v>
      </c>
      <c r="N390" s="944">
        <v>0</v>
      </c>
      <c r="O390" s="938">
        <v>0</v>
      </c>
      <c r="P390" s="938">
        <f t="shared" si="65"/>
        <v>113.76</v>
      </c>
      <c r="Q390" s="944">
        <f t="shared" si="66"/>
        <v>1</v>
      </c>
      <c r="R390" s="939">
        <f t="shared" si="68"/>
        <v>2874.6486754848006</v>
      </c>
    </row>
    <row r="391" spans="1:18" s="130" customFormat="1" ht="21.95" customHeight="1" x14ac:dyDescent="0.2">
      <c r="A391" s="393" t="s">
        <v>82</v>
      </c>
      <c r="B391" s="959" t="s">
        <v>518</v>
      </c>
      <c r="C391" s="959" t="s">
        <v>2344</v>
      </c>
      <c r="D391" s="940">
        <f>VLOOKUP($B391,'Análise Física Detalhada'!$E$382:$V$481,18,0)</f>
        <v>7794.6349524696006</v>
      </c>
      <c r="E391" s="941">
        <f>VLOOKUP($B391,'Análise Física Detalhada'!$E$382:$P$480,12,0)</f>
        <v>0</v>
      </c>
      <c r="F391" s="942">
        <f t="shared" si="73"/>
        <v>0</v>
      </c>
      <c r="G391" s="943">
        <f>SUMIF('[2]Despesas Indiretas'!$B$5:$B$9944,$B391,'[2]Despesas Indiretas'!$H$5:$H$9944)</f>
        <v>0</v>
      </c>
      <c r="H391" s="943">
        <f>SUMIF('[3]Despesas Indiretas'!$B$5:$B$9999,$B391,'[3]Despesas Indiretas'!$H$5:$H$9999)</f>
        <v>0</v>
      </c>
      <c r="I391" s="943">
        <f>SUMIF([4]Comprometimento!$B$167:$B$308,$B391,[4]Comprometimento!$E$167:$E$308)</f>
        <v>0</v>
      </c>
      <c r="J391" s="943"/>
      <c r="K391" s="938">
        <f t="shared" si="70"/>
        <v>0</v>
      </c>
      <c r="L391" s="944">
        <f t="shared" si="63"/>
        <v>0</v>
      </c>
      <c r="M391" s="938">
        <f t="shared" si="64"/>
        <v>0</v>
      </c>
      <c r="N391" s="944">
        <v>0</v>
      </c>
      <c r="O391" s="938">
        <v>0</v>
      </c>
      <c r="P391" s="938">
        <f t="shared" si="65"/>
        <v>0</v>
      </c>
      <c r="Q391" s="944">
        <f t="shared" si="66"/>
        <v>1</v>
      </c>
      <c r="R391" s="939">
        <f t="shared" si="68"/>
        <v>7794.6349524696006</v>
      </c>
    </row>
    <row r="392" spans="1:18" s="130" customFormat="1" ht="21.95" customHeight="1" x14ac:dyDescent="0.2">
      <c r="A392" s="393" t="s">
        <v>82</v>
      </c>
      <c r="B392" s="959" t="s">
        <v>519</v>
      </c>
      <c r="C392" s="959" t="s">
        <v>458</v>
      </c>
      <c r="D392" s="940">
        <f>VLOOKUP($B392,'Análise Física Detalhada'!$E$382:$V$481,18,0)</f>
        <v>837.68795352000006</v>
      </c>
      <c r="E392" s="941">
        <f>VLOOKUP($B392,'Análise Física Detalhada'!$E$382:$P$480,12,0)</f>
        <v>0</v>
      </c>
      <c r="F392" s="942">
        <f t="shared" si="73"/>
        <v>0</v>
      </c>
      <c r="G392" s="943">
        <f>SUMIF('[2]Despesas Indiretas'!$B$5:$B$9944,$B392,'[2]Despesas Indiretas'!$H$5:$H$9944)</f>
        <v>0</v>
      </c>
      <c r="H392" s="943">
        <f>SUMIF('[3]Despesas Indiretas'!$B$5:$B$9999,$B392,'[3]Despesas Indiretas'!$H$5:$H$9999)</f>
        <v>0</v>
      </c>
      <c r="I392" s="943">
        <f>SUMIF([4]Comprometimento!$B$167:$B$308,$B392,[4]Comprometimento!$E$167:$E$308)</f>
        <v>0</v>
      </c>
      <c r="J392" s="943"/>
      <c r="K392" s="938">
        <f t="shared" si="70"/>
        <v>0</v>
      </c>
      <c r="L392" s="944">
        <f t="shared" si="63"/>
        <v>0</v>
      </c>
      <c r="M392" s="938">
        <f t="shared" si="64"/>
        <v>0</v>
      </c>
      <c r="N392" s="944">
        <v>0</v>
      </c>
      <c r="O392" s="938">
        <v>0</v>
      </c>
      <c r="P392" s="938">
        <f t="shared" si="65"/>
        <v>0</v>
      </c>
      <c r="Q392" s="944">
        <f t="shared" si="66"/>
        <v>1</v>
      </c>
      <c r="R392" s="939">
        <f t="shared" si="68"/>
        <v>837.68795352000006</v>
      </c>
    </row>
    <row r="393" spans="1:18" s="130" customFormat="1" ht="21.95" customHeight="1" x14ac:dyDescent="0.2">
      <c r="A393" s="393" t="s">
        <v>82</v>
      </c>
      <c r="B393" s="959" t="s">
        <v>520</v>
      </c>
      <c r="C393" s="959" t="s">
        <v>2345</v>
      </c>
      <c r="D393" s="940">
        <f>VLOOKUP($B393,'Análise Física Detalhada'!$E$382:$V$481,18,0)</f>
        <v>4116.40272</v>
      </c>
      <c r="E393" s="941">
        <f>VLOOKUP($B393,'Análise Física Detalhada'!$E$382:$P$480,12,0)</f>
        <v>0</v>
      </c>
      <c r="F393" s="942">
        <f t="shared" si="73"/>
        <v>0</v>
      </c>
      <c r="G393" s="943">
        <f>SUMIF('[2]Despesas Indiretas'!$B$5:$B$9944,$B393,'[2]Despesas Indiretas'!$H$5:$H$9944)</f>
        <v>0</v>
      </c>
      <c r="H393" s="943">
        <f>SUMIF('[3]Despesas Indiretas'!$B$5:$B$9999,$B393,'[3]Despesas Indiretas'!$H$5:$H$9999)</f>
        <v>0</v>
      </c>
      <c r="I393" s="943">
        <f>SUMIF([4]Comprometimento!$B$167:$B$308,$B393,[4]Comprometimento!$E$167:$E$308)</f>
        <v>0</v>
      </c>
      <c r="J393" s="943"/>
      <c r="K393" s="938">
        <f t="shared" si="70"/>
        <v>0</v>
      </c>
      <c r="L393" s="944">
        <f t="shared" si="63"/>
        <v>0</v>
      </c>
      <c r="M393" s="938">
        <f t="shared" si="64"/>
        <v>0</v>
      </c>
      <c r="N393" s="944">
        <v>0</v>
      </c>
      <c r="O393" s="938">
        <v>0</v>
      </c>
      <c r="P393" s="938">
        <f t="shared" si="65"/>
        <v>0</v>
      </c>
      <c r="Q393" s="944">
        <f t="shared" si="66"/>
        <v>1</v>
      </c>
      <c r="R393" s="939">
        <f t="shared" si="68"/>
        <v>4116.40272</v>
      </c>
    </row>
    <row r="394" spans="1:18" s="155" customFormat="1" ht="21.95" customHeight="1" x14ac:dyDescent="0.2">
      <c r="A394" s="393" t="s">
        <v>82</v>
      </c>
      <c r="B394" s="959" t="s">
        <v>521</v>
      </c>
      <c r="C394" s="959" t="s">
        <v>386</v>
      </c>
      <c r="D394" s="940">
        <f>VLOOKUP($B394,'Análise Física Detalhada'!$E$382:$V$481,18,0)</f>
        <v>2564.8294885416672</v>
      </c>
      <c r="E394" s="941">
        <f>VLOOKUP($B394,'Análise Física Detalhada'!$E$382:$P$480,12,0)</f>
        <v>0.125</v>
      </c>
      <c r="F394" s="942">
        <f t="shared" si="73"/>
        <v>320.6036860677084</v>
      </c>
      <c r="G394" s="943">
        <f>SUMIF('[2]Despesas Indiretas'!$B$5:$B$9944,$B394,'[2]Despesas Indiretas'!$H$5:$H$9944)</f>
        <v>0</v>
      </c>
      <c r="H394" s="943">
        <f>SUMIF('[3]Despesas Indiretas'!$B$5:$B$9999,$B394,'[3]Despesas Indiretas'!$H$5:$H$9999)</f>
        <v>0</v>
      </c>
      <c r="I394" s="943">
        <f>SUMIF([4]Comprometimento!$B$167:$B$308,$B394,[4]Comprometimento!$E$167:$E$308)</f>
        <v>0</v>
      </c>
      <c r="J394" s="943"/>
      <c r="K394" s="938">
        <f t="shared" si="70"/>
        <v>0</v>
      </c>
      <c r="L394" s="944">
        <f t="shared" si="63"/>
        <v>0</v>
      </c>
      <c r="M394" s="938">
        <f t="shared" si="64"/>
        <v>-320.6036860677084</v>
      </c>
      <c r="N394" s="944">
        <v>0</v>
      </c>
      <c r="O394" s="938">
        <v>-210.54861111111111</v>
      </c>
      <c r="P394" s="938">
        <f t="shared" si="65"/>
        <v>-110.05507495659728</v>
      </c>
      <c r="Q394" s="944">
        <f t="shared" si="66"/>
        <v>1</v>
      </c>
      <c r="R394" s="939">
        <f t="shared" si="68"/>
        <v>2564.8294885416672</v>
      </c>
    </row>
    <row r="395" spans="1:18" s="130" customFormat="1" ht="21.95" customHeight="1" x14ac:dyDescent="0.2">
      <c r="A395" s="393" t="s">
        <v>82</v>
      </c>
      <c r="B395" s="959" t="s">
        <v>2346</v>
      </c>
      <c r="C395" s="959" t="s">
        <v>522</v>
      </c>
      <c r="D395" s="940">
        <f>VLOOKUP($B395,'Análise Física Detalhada'!$E$382:$V$481,18,0)</f>
        <v>7959.5584636068052</v>
      </c>
      <c r="E395" s="941">
        <f>VLOOKUP($B395,'Análise Física Detalhada'!$E$382:$P$480,12,0)</f>
        <v>0.125</v>
      </c>
      <c r="F395" s="942">
        <f t="shared" si="73"/>
        <v>994.94480795085065</v>
      </c>
      <c r="G395" s="943">
        <f>SUMIF('[2]Despesas Indiretas'!$B$5:$B$9944,$B395,'[2]Despesas Indiretas'!$H$5:$H$9944)</f>
        <v>228</v>
      </c>
      <c r="H395" s="943">
        <f>SUMIF('[3]Despesas Indiretas'!$B$5:$B$9999,$B395,'[3]Despesas Indiretas'!$H$5:$H$9999)</f>
        <v>0</v>
      </c>
      <c r="I395" s="943">
        <f>SUMIF([4]Comprometimento!$B$167:$B$308,$B395,[4]Comprometimento!$E$167:$E$308)</f>
        <v>0</v>
      </c>
      <c r="J395" s="943"/>
      <c r="K395" s="938">
        <f t="shared" si="70"/>
        <v>228</v>
      </c>
      <c r="L395" s="944">
        <f t="shared" si="63"/>
        <v>0.22915843992349674</v>
      </c>
      <c r="M395" s="938">
        <f t="shared" si="64"/>
        <v>-766.94480795085065</v>
      </c>
      <c r="N395" s="944">
        <v>0</v>
      </c>
      <c r="O395" s="938">
        <v>-653.40561119444442</v>
      </c>
      <c r="P395" s="938">
        <f t="shared" si="65"/>
        <v>-113.53919675640623</v>
      </c>
      <c r="Q395" s="944">
        <f t="shared" si="66"/>
        <v>1</v>
      </c>
      <c r="R395" s="939">
        <f t="shared" si="68"/>
        <v>7959.5584636068052</v>
      </c>
    </row>
    <row r="396" spans="1:18" s="130" customFormat="1" ht="21.95" customHeight="1" x14ac:dyDescent="0.2">
      <c r="A396" s="393" t="s">
        <v>82</v>
      </c>
      <c r="B396" s="959" t="s">
        <v>2347</v>
      </c>
      <c r="C396" s="959" t="s">
        <v>2152</v>
      </c>
      <c r="D396" s="940">
        <f>VLOOKUP($B396,'Análise Física Detalhada'!$E$382:$V$481,18,0)</f>
        <v>2205.7533601458335</v>
      </c>
      <c r="E396" s="941">
        <f>VLOOKUP($B396,'Análise Física Detalhada'!$E$382:$P$480,12,0)</f>
        <v>0.125</v>
      </c>
      <c r="F396" s="942">
        <f t="shared" si="73"/>
        <v>275.71917001822919</v>
      </c>
      <c r="G396" s="943">
        <f>SUMIF('[2]Despesas Indiretas'!$B$5:$B$9944,$B396,'[2]Despesas Indiretas'!$H$5:$H$9944)</f>
        <v>0</v>
      </c>
      <c r="H396" s="943">
        <f>SUMIF('[3]Despesas Indiretas'!$B$5:$B$9999,$B396,'[3]Despesas Indiretas'!$H$5:$H$9999)</f>
        <v>0</v>
      </c>
      <c r="I396" s="943">
        <f>SUMIF([4]Comprometimento!$B$167:$B$308,$B396,[4]Comprometimento!$E$167:$E$308)</f>
        <v>0</v>
      </c>
      <c r="J396" s="943"/>
      <c r="K396" s="938">
        <f t="shared" si="70"/>
        <v>0</v>
      </c>
      <c r="L396" s="944">
        <f t="shared" si="63"/>
        <v>0</v>
      </c>
      <c r="M396" s="938">
        <f t="shared" si="64"/>
        <v>-275.71917001822919</v>
      </c>
      <c r="N396" s="944">
        <v>0</v>
      </c>
      <c r="O396" s="938">
        <v>-181.07180555555556</v>
      </c>
      <c r="P396" s="938">
        <f t="shared" si="65"/>
        <v>-94.647364462673636</v>
      </c>
      <c r="Q396" s="944">
        <f t="shared" si="66"/>
        <v>1</v>
      </c>
      <c r="R396" s="939">
        <f t="shared" si="68"/>
        <v>2205.7533601458335</v>
      </c>
    </row>
    <row r="397" spans="1:18" s="130" customFormat="1" ht="21.95" customHeight="1" x14ac:dyDescent="0.2">
      <c r="A397" s="393" t="s">
        <v>86</v>
      </c>
      <c r="B397" s="161" t="s">
        <v>86</v>
      </c>
      <c r="C397" s="161" t="s">
        <v>523</v>
      </c>
      <c r="D397" s="163">
        <f>VLOOKUP($B397,'Análise Física Detalhada'!$E$382:$V$481,18,0)</f>
        <v>1513971.5867407515</v>
      </c>
      <c r="E397" s="530">
        <f>F397/D397</f>
        <v>0.12733172654301927</v>
      </c>
      <c r="F397" s="163">
        <f>SUM(F398:F424)</f>
        <v>192776.61607677434</v>
      </c>
      <c r="G397" s="163">
        <f>SUM(G398:G424)</f>
        <v>113608.97</v>
      </c>
      <c r="H397" s="163">
        <f t="shared" ref="H397:K397" si="74">SUM(H398:H424)</f>
        <v>13222.4</v>
      </c>
      <c r="I397" s="163">
        <f t="shared" si="74"/>
        <v>0</v>
      </c>
      <c r="J397" s="163">
        <f t="shared" si="74"/>
        <v>0</v>
      </c>
      <c r="K397" s="163">
        <f t="shared" si="74"/>
        <v>126831.37</v>
      </c>
      <c r="L397" s="538">
        <f t="shared" si="63"/>
        <v>0.65791885230254643</v>
      </c>
      <c r="M397" s="1000">
        <f t="shared" si="64"/>
        <v>-65945.246076774347</v>
      </c>
      <c r="N397" s="538">
        <v>0.52191638586565547</v>
      </c>
      <c r="O397" s="1000">
        <v>-60597.719234027769</v>
      </c>
      <c r="P397" s="1000">
        <f t="shared" si="65"/>
        <v>-5347.526842746578</v>
      </c>
      <c r="Q397" s="538">
        <f t="shared" si="66"/>
        <v>1</v>
      </c>
      <c r="R397" s="1000">
        <f t="shared" si="68"/>
        <v>1513971.5867407515</v>
      </c>
    </row>
    <row r="398" spans="1:18" s="130" customFormat="1" ht="21.95" customHeight="1" x14ac:dyDescent="0.2">
      <c r="A398" s="393" t="s">
        <v>86</v>
      </c>
      <c r="B398" s="967" t="s">
        <v>524</v>
      </c>
      <c r="C398" s="967" t="s">
        <v>525</v>
      </c>
      <c r="D398" s="940">
        <f>VLOOKUP($B398,'Análise Física Detalhada'!$E$382:$V$481,18,0)</f>
        <v>0</v>
      </c>
      <c r="E398" s="941">
        <f>VLOOKUP($B398,'Análise Física Detalhada'!$E$382:$P$480,12,0)</f>
        <v>0</v>
      </c>
      <c r="F398" s="942">
        <f t="shared" si="71"/>
        <v>0</v>
      </c>
      <c r="G398" s="943">
        <f>SUMIF('[2]Despesas Indiretas'!$B$5:$B$9944,$B398,'[2]Despesas Indiretas'!$H$5:$H$9944)</f>
        <v>0</v>
      </c>
      <c r="H398" s="943">
        <f>SUMIF('[3]Despesas Indiretas'!$B$5:$B$9999,$B398,'[3]Despesas Indiretas'!$H$5:$H$9999)</f>
        <v>0</v>
      </c>
      <c r="I398" s="943">
        <f>SUMIF([4]Comprometimento!$B$167:$B$308,$B398,[4]Comprometimento!$E$167:$E$308)</f>
        <v>0</v>
      </c>
      <c r="J398" s="943"/>
      <c r="K398" s="938">
        <f t="shared" si="70"/>
        <v>0</v>
      </c>
      <c r="L398" s="944">
        <f t="shared" si="63"/>
        <v>0</v>
      </c>
      <c r="M398" s="938">
        <f t="shared" si="64"/>
        <v>0</v>
      </c>
      <c r="N398" s="944">
        <v>0</v>
      </c>
      <c r="O398" s="938">
        <v>0</v>
      </c>
      <c r="P398" s="938">
        <f t="shared" si="65"/>
        <v>0</v>
      </c>
      <c r="Q398" s="944">
        <f t="shared" si="66"/>
        <v>0</v>
      </c>
      <c r="R398" s="939">
        <f t="shared" si="68"/>
        <v>0</v>
      </c>
    </row>
    <row r="399" spans="1:18" s="130" customFormat="1" ht="21.95" customHeight="1" x14ac:dyDescent="0.2">
      <c r="A399" s="393" t="s">
        <v>86</v>
      </c>
      <c r="B399" s="959" t="s">
        <v>526</v>
      </c>
      <c r="C399" s="959" t="s">
        <v>527</v>
      </c>
      <c r="D399" s="940">
        <f>VLOOKUP($B399,'Análise Física Detalhada'!$E$382:$V$481,18,0)</f>
        <v>165175.01906208333</v>
      </c>
      <c r="E399" s="941">
        <f>VLOOKUP($B399,'Análise Física Detalhada'!$E$382:$P$480,12,0)</f>
        <v>0.125</v>
      </c>
      <c r="F399" s="942">
        <f t="shared" si="71"/>
        <v>20646.877382760416</v>
      </c>
      <c r="G399" s="943">
        <f>SUMIF('[2]Despesas Indiretas'!$B$5:$B$9944,$B399,'[2]Despesas Indiretas'!$H$5:$H$9944)</f>
        <v>11194</v>
      </c>
      <c r="H399" s="943">
        <f>SUMIF('[3]Despesas Indiretas'!$B$5:$B$9999,$B399,'[3]Despesas Indiretas'!$H$5:$H$9999)</f>
        <v>366</v>
      </c>
      <c r="I399" s="943">
        <f>SUMIF([4]Comprometimento!$B$167:$B$308,$B399,[4]Comprometimento!$E$167:$E$308)</f>
        <v>0</v>
      </c>
      <c r="J399" s="943"/>
      <c r="K399" s="938">
        <f t="shared" si="70"/>
        <v>11560</v>
      </c>
      <c r="L399" s="944">
        <f t="shared" si="63"/>
        <v>0.55989096005637573</v>
      </c>
      <c r="M399" s="938">
        <f t="shared" si="64"/>
        <v>-9086.8773827604164</v>
      </c>
      <c r="N399" s="944">
        <v>0.84369946975831933</v>
      </c>
      <c r="O399" s="938">
        <v>-2119.3305555555562</v>
      </c>
      <c r="P399" s="938">
        <f t="shared" si="65"/>
        <v>-6967.5468272048602</v>
      </c>
      <c r="Q399" s="944">
        <f t="shared" si="66"/>
        <v>1</v>
      </c>
      <c r="R399" s="939">
        <f t="shared" si="68"/>
        <v>165175.01906208333</v>
      </c>
    </row>
    <row r="400" spans="1:18" s="130" customFormat="1" ht="21.95" customHeight="1" x14ac:dyDescent="0.2">
      <c r="A400" s="393" t="s">
        <v>86</v>
      </c>
      <c r="B400" s="959" t="s">
        <v>528</v>
      </c>
      <c r="C400" s="959" t="s">
        <v>824</v>
      </c>
      <c r="D400" s="940">
        <f>VLOOKUP($B400,'Análise Física Detalhada'!$E$382:$V$481,18,0)</f>
        <v>32009.072017000006</v>
      </c>
      <c r="E400" s="941">
        <f>VLOOKUP($B400,'Análise Física Detalhada'!$E$382:$P$480,12,0)</f>
        <v>0.125</v>
      </c>
      <c r="F400" s="942">
        <f t="shared" si="71"/>
        <v>4001.1340021250007</v>
      </c>
      <c r="G400" s="943">
        <f>SUMIF('[2]Despesas Indiretas'!$B$5:$B$9944,$B400,'[2]Despesas Indiretas'!$H$5:$H$9944)</f>
        <v>0</v>
      </c>
      <c r="H400" s="943">
        <f>SUMIF('[3]Despesas Indiretas'!$B$5:$B$9999,$B400,'[3]Despesas Indiretas'!$H$5:$H$9999)</f>
        <v>0</v>
      </c>
      <c r="I400" s="943">
        <f>SUMIF([4]Comprometimento!$B$167:$B$308,$B400,[4]Comprometimento!$E$167:$E$308)</f>
        <v>0</v>
      </c>
      <c r="J400" s="943"/>
      <c r="K400" s="938">
        <f t="shared" si="70"/>
        <v>0</v>
      </c>
      <c r="L400" s="944">
        <f t="shared" si="63"/>
        <v>0</v>
      </c>
      <c r="M400" s="938">
        <f t="shared" si="64"/>
        <v>-4001.1340021250007</v>
      </c>
      <c r="N400" s="944">
        <v>0</v>
      </c>
      <c r="O400" s="938">
        <v>-2627.6466666666665</v>
      </c>
      <c r="P400" s="938">
        <f t="shared" si="65"/>
        <v>-1373.4873354583342</v>
      </c>
      <c r="Q400" s="944">
        <f t="shared" ref="Q400:Q465" si="75">IF($D400=0,0,IF(($F400/$D400)&lt;20%,1,IF($D400=0,0,IF(($F400/$D400)=1,$L400,IF(($F400/$D400)=0,1,IF($L400&lt;1,(+$L400*($F400/$D400))+(1-((1-$L400)/2))*(1-($F400/$D400)),(+$L400*($F400/$D400))+(1+(($L400-1)/2))*(1-($F400/$D400))))))))</f>
        <v>1</v>
      </c>
      <c r="R400" s="939">
        <f t="shared" ref="R400:R465" si="76">IF($Q400="","",$Q400*$D400)</f>
        <v>32009.072017000006</v>
      </c>
    </row>
    <row r="401" spans="1:18" s="130" customFormat="1" ht="21.95" customHeight="1" x14ac:dyDescent="0.2">
      <c r="A401" s="393" t="s">
        <v>86</v>
      </c>
      <c r="B401" s="959" t="s">
        <v>529</v>
      </c>
      <c r="C401" s="959" t="s">
        <v>732</v>
      </c>
      <c r="D401" s="940">
        <f>VLOOKUP($B401,'Análise Física Detalhada'!$E$382:$V$481,18,0)</f>
        <v>58991.078236458343</v>
      </c>
      <c r="E401" s="941">
        <f>VLOOKUP($B401,'Análise Física Detalhada'!$E$382:$P$480,12,0)</f>
        <v>0.125</v>
      </c>
      <c r="F401" s="942">
        <f t="shared" si="71"/>
        <v>7373.8847795572929</v>
      </c>
      <c r="G401" s="943">
        <f>SUMIF('[2]Despesas Indiretas'!$B$5:$B$9944,$B401,'[2]Despesas Indiretas'!$H$5:$H$9944)</f>
        <v>0</v>
      </c>
      <c r="H401" s="943">
        <f>SUMIF('[3]Despesas Indiretas'!$B$5:$B$9999,$B401,'[3]Despesas Indiretas'!$H$5:$H$9999)</f>
        <v>0</v>
      </c>
      <c r="I401" s="943">
        <f>SUMIF([4]Comprometimento!$B$167:$B$308,$B401,[4]Comprometimento!$E$167:$E$308)</f>
        <v>0</v>
      </c>
      <c r="J401" s="943"/>
      <c r="K401" s="938">
        <f t="shared" si="70"/>
        <v>0</v>
      </c>
      <c r="L401" s="944">
        <f t="shared" ref="L401:L466" si="77">IF($F401=0,0,$K401/$F401)</f>
        <v>0</v>
      </c>
      <c r="M401" s="938">
        <f t="shared" si="64"/>
        <v>-7373.8847795572929</v>
      </c>
      <c r="N401" s="944">
        <v>0</v>
      </c>
      <c r="O401" s="938">
        <v>-4842.6180555555557</v>
      </c>
      <c r="P401" s="938">
        <f t="shared" si="65"/>
        <v>-2531.2667240017372</v>
      </c>
      <c r="Q401" s="944">
        <f t="shared" si="75"/>
        <v>1</v>
      </c>
      <c r="R401" s="939">
        <f t="shared" si="76"/>
        <v>58991.078236458343</v>
      </c>
    </row>
    <row r="402" spans="1:18" s="130" customFormat="1" ht="21.95" customHeight="1" x14ac:dyDescent="0.2">
      <c r="A402" s="393" t="s">
        <v>86</v>
      </c>
      <c r="B402" s="959" t="s">
        <v>530</v>
      </c>
      <c r="C402" s="959" t="s">
        <v>385</v>
      </c>
      <c r="D402" s="940">
        <f>VLOOKUP($B402,'Análise Física Detalhada'!$E$382:$V$481,18,0)</f>
        <v>47192.862589166674</v>
      </c>
      <c r="E402" s="941">
        <f>VLOOKUP($B402,'Análise Física Detalhada'!$E$382:$P$480,12,0)</f>
        <v>0.125</v>
      </c>
      <c r="F402" s="942">
        <f t="shared" si="71"/>
        <v>5899.1078236458343</v>
      </c>
      <c r="G402" s="943">
        <f>SUMIF('[2]Despesas Indiretas'!$B$5:$B$9944,$B402,'[2]Despesas Indiretas'!$H$5:$H$9944)</f>
        <v>0</v>
      </c>
      <c r="H402" s="943">
        <f>SUMIF('[3]Despesas Indiretas'!$B$5:$B$9999,$B402,'[3]Despesas Indiretas'!$H$5:$H$9999)</f>
        <v>0</v>
      </c>
      <c r="I402" s="943">
        <f>SUMIF([4]Comprometimento!$B$167:$B$308,$B402,[4]Comprometimento!$E$167:$E$308)</f>
        <v>0</v>
      </c>
      <c r="J402" s="943"/>
      <c r="K402" s="938">
        <f t="shared" ref="K402:K467" si="78">SUM($G402:$I402)-$J402</f>
        <v>0</v>
      </c>
      <c r="L402" s="944">
        <f t="shared" si="77"/>
        <v>0</v>
      </c>
      <c r="M402" s="938">
        <f t="shared" ref="M402:M467" si="79">$K402-$F402</f>
        <v>-5899.1078236458343</v>
      </c>
      <c r="N402" s="944">
        <v>0</v>
      </c>
      <c r="O402" s="938">
        <v>-3874.0944444444449</v>
      </c>
      <c r="P402" s="938">
        <f t="shared" ref="P402:P467" si="80">$M402-$O402</f>
        <v>-2025.0133792013894</v>
      </c>
      <c r="Q402" s="944">
        <f t="shared" si="75"/>
        <v>1</v>
      </c>
      <c r="R402" s="939">
        <f t="shared" si="76"/>
        <v>47192.862589166674</v>
      </c>
    </row>
    <row r="403" spans="1:18" s="130" customFormat="1" ht="21.95" customHeight="1" x14ac:dyDescent="0.2">
      <c r="A403" s="393" t="s">
        <v>86</v>
      </c>
      <c r="B403" s="959" t="s">
        <v>531</v>
      </c>
      <c r="C403" s="959" t="s">
        <v>438</v>
      </c>
      <c r="D403" s="940">
        <f>VLOOKUP($B403,'Análise Física Detalhada'!$E$382:$V$481,18,0)</f>
        <v>242487.28989427208</v>
      </c>
      <c r="E403" s="941">
        <f>VLOOKUP($B403,'Análise Física Detalhada'!$E$382:$P$480,12,0)</f>
        <v>0.125</v>
      </c>
      <c r="F403" s="942">
        <f t="shared" si="71"/>
        <v>30310.91123678401</v>
      </c>
      <c r="G403" s="943">
        <f>SUMIF('[2]Despesas Indiretas'!$B$5:$B$9944,$B403,'[2]Despesas Indiretas'!$H$5:$H$9944)</f>
        <v>0</v>
      </c>
      <c r="H403" s="943">
        <f>SUMIF('[3]Despesas Indiretas'!$B$5:$B$9999,$B403,'[3]Despesas Indiretas'!$H$5:$H$9999)</f>
        <v>0</v>
      </c>
      <c r="I403" s="943">
        <f>SUMIF([4]Comprometimento!$B$167:$B$308,$B403,[4]Comprometimento!$E$167:$E$308)</f>
        <v>0</v>
      </c>
      <c r="J403" s="943"/>
      <c r="K403" s="938">
        <f t="shared" si="78"/>
        <v>0</v>
      </c>
      <c r="L403" s="944">
        <f t="shared" si="77"/>
        <v>0</v>
      </c>
      <c r="M403" s="938">
        <f t="shared" si="79"/>
        <v>-30310.91123678401</v>
      </c>
      <c r="N403" s="944">
        <v>0</v>
      </c>
      <c r="O403" s="938">
        <v>-19905.947871944445</v>
      </c>
      <c r="P403" s="938">
        <f t="shared" si="80"/>
        <v>-10404.963364839565</v>
      </c>
      <c r="Q403" s="944">
        <f t="shared" si="75"/>
        <v>1</v>
      </c>
      <c r="R403" s="939">
        <f t="shared" si="76"/>
        <v>242487.28989427208</v>
      </c>
    </row>
    <row r="404" spans="1:18" s="130" customFormat="1" ht="21.95" customHeight="1" x14ac:dyDescent="0.2">
      <c r="A404" s="393" t="s">
        <v>86</v>
      </c>
      <c r="B404" s="959" t="s">
        <v>533</v>
      </c>
      <c r="C404" s="959" t="s">
        <v>532</v>
      </c>
      <c r="D404" s="940">
        <f>VLOOKUP($B404,'Análise Física Detalhada'!$E$382:$V$481,18,0)</f>
        <v>63004.123306728128</v>
      </c>
      <c r="E404" s="941">
        <f>VLOOKUP($B404,'Análise Física Detalhada'!$E$382:$P$480,12,0)</f>
        <v>0.125</v>
      </c>
      <c r="F404" s="942">
        <f t="shared" si="71"/>
        <v>7875.515413341016</v>
      </c>
      <c r="G404" s="943">
        <f>SUMIF('[2]Despesas Indiretas'!$B$5:$B$9944,$B404,'[2]Despesas Indiretas'!$H$5:$H$9944)</f>
        <v>0</v>
      </c>
      <c r="H404" s="943">
        <f>SUMIF('[3]Despesas Indiretas'!$B$5:$B$9999,$B404,'[3]Despesas Indiretas'!$H$5:$H$9999)</f>
        <v>0</v>
      </c>
      <c r="I404" s="943">
        <f>SUMIF([4]Comprometimento!$B$167:$B$308,$B404,[4]Comprometimento!$E$167:$E$308)</f>
        <v>0</v>
      </c>
      <c r="J404" s="943"/>
      <c r="K404" s="938">
        <f t="shared" si="78"/>
        <v>0</v>
      </c>
      <c r="L404" s="944">
        <f t="shared" si="77"/>
        <v>0</v>
      </c>
      <c r="M404" s="938">
        <f t="shared" si="79"/>
        <v>-7875.515413341016</v>
      </c>
      <c r="N404" s="944">
        <v>0</v>
      </c>
      <c r="O404" s="938">
        <v>-5172.0516766388882</v>
      </c>
      <c r="P404" s="938">
        <f t="shared" si="80"/>
        <v>-2703.4637367021278</v>
      </c>
      <c r="Q404" s="944">
        <f t="shared" si="75"/>
        <v>1</v>
      </c>
      <c r="R404" s="939">
        <f t="shared" si="76"/>
        <v>63004.123306728128</v>
      </c>
    </row>
    <row r="405" spans="1:18" s="130" customFormat="1" ht="21.95" customHeight="1" x14ac:dyDescent="0.2">
      <c r="A405" s="393" t="s">
        <v>86</v>
      </c>
      <c r="B405" s="959" t="s">
        <v>534</v>
      </c>
      <c r="C405" s="959" t="s">
        <v>160</v>
      </c>
      <c r="D405" s="940">
        <f>VLOOKUP($B405,'Análise Física Detalhada'!$E$382:$V$481,18,0)</f>
        <v>78281.784891342002</v>
      </c>
      <c r="E405" s="941">
        <f>VLOOKUP($B405,'Análise Física Detalhada'!$E$382:$P$480,12,0)</f>
        <v>0</v>
      </c>
      <c r="F405" s="942">
        <f t="shared" si="71"/>
        <v>0</v>
      </c>
      <c r="G405" s="943">
        <f>SUMIF('[2]Despesas Indiretas'!$B$5:$B$9944,$B405,'[2]Despesas Indiretas'!$H$5:$H$9944)</f>
        <v>0</v>
      </c>
      <c r="H405" s="943">
        <f>SUMIF('[3]Despesas Indiretas'!$B$5:$B$9999,$B405,'[3]Despesas Indiretas'!$H$5:$H$9999)</f>
        <v>0</v>
      </c>
      <c r="I405" s="943">
        <f>SUMIF([4]Comprometimento!$B$167:$B$308,$B405,[4]Comprometimento!$E$167:$E$308)</f>
        <v>0</v>
      </c>
      <c r="J405" s="943"/>
      <c r="K405" s="938">
        <f t="shared" si="78"/>
        <v>0</v>
      </c>
      <c r="L405" s="944">
        <f t="shared" si="77"/>
        <v>0</v>
      </c>
      <c r="M405" s="938">
        <f t="shared" si="79"/>
        <v>0</v>
      </c>
      <c r="N405" s="944">
        <v>0</v>
      </c>
      <c r="O405" s="938">
        <v>0</v>
      </c>
      <c r="P405" s="938">
        <f t="shared" si="80"/>
        <v>0</v>
      </c>
      <c r="Q405" s="944">
        <f t="shared" si="75"/>
        <v>1</v>
      </c>
      <c r="R405" s="939">
        <f t="shared" si="76"/>
        <v>78281.784891342002</v>
      </c>
    </row>
    <row r="406" spans="1:18" s="130" customFormat="1" ht="21.95" customHeight="1" x14ac:dyDescent="0.2">
      <c r="A406" s="393" t="s">
        <v>86</v>
      </c>
      <c r="B406" s="959" t="s">
        <v>733</v>
      </c>
      <c r="C406" s="959" t="s">
        <v>444</v>
      </c>
      <c r="D406" s="940">
        <f>VLOOKUP($B406,'Análise Física Detalhada'!$E$382:$V$481,18,0)</f>
        <v>121553.7841288905</v>
      </c>
      <c r="E406" s="941">
        <f>VLOOKUP($B406,'Análise Física Detalhada'!$E$382:$P$480,12,0)</f>
        <v>0.125</v>
      </c>
      <c r="F406" s="942">
        <f t="shared" si="71"/>
        <v>15194.223016111313</v>
      </c>
      <c r="G406" s="943">
        <f>SUMIF('[2]Despesas Indiretas'!$B$5:$B$9944,$B406,'[2]Despesas Indiretas'!$H$5:$H$9944)</f>
        <v>232</v>
      </c>
      <c r="H406" s="943">
        <f>SUMIF('[3]Despesas Indiretas'!$B$5:$B$9999,$B406,'[3]Despesas Indiretas'!$H$5:$H$9999)</f>
        <v>0</v>
      </c>
      <c r="I406" s="943">
        <f>SUMIF([4]Comprometimento!$B$167:$B$308,$B406,[4]Comprometimento!$E$167:$E$308)</f>
        <v>0</v>
      </c>
      <c r="J406" s="943"/>
      <c r="K406" s="938">
        <f t="shared" si="78"/>
        <v>232</v>
      </c>
      <c r="L406" s="944">
        <f t="shared" si="77"/>
        <v>1.5268961088302902E-2</v>
      </c>
      <c r="M406" s="938">
        <f t="shared" si="79"/>
        <v>-14962.223016111313</v>
      </c>
      <c r="N406" s="944">
        <v>1.7437606860124227E-2</v>
      </c>
      <c r="O406" s="938">
        <v>-9804.4334740277773</v>
      </c>
      <c r="P406" s="938">
        <f t="shared" si="80"/>
        <v>-5157.7895420835357</v>
      </c>
      <c r="Q406" s="944">
        <f t="shared" si="75"/>
        <v>1</v>
      </c>
      <c r="R406" s="939">
        <f t="shared" si="76"/>
        <v>121553.7841288905</v>
      </c>
    </row>
    <row r="407" spans="1:18" s="130" customFormat="1" ht="21.95" customHeight="1" x14ac:dyDescent="0.2">
      <c r="A407" s="393" t="s">
        <v>86</v>
      </c>
      <c r="B407" s="959" t="s">
        <v>2153</v>
      </c>
      <c r="C407" s="959" t="s">
        <v>2154</v>
      </c>
      <c r="D407" s="940">
        <f>VLOOKUP($B407,'Análise Física Detalhada'!$E$382:$V$481,18,0)</f>
        <v>61555.907725000005</v>
      </c>
      <c r="E407" s="941">
        <f>VLOOKUP($B407,'Análise Física Detalhada'!$E$382:$P$480,12,0)</f>
        <v>0.125</v>
      </c>
      <c r="F407" s="942">
        <f t="shared" si="71"/>
        <v>7694.4884656250006</v>
      </c>
      <c r="G407" s="943">
        <f>SUMIF('[2]Despesas Indiretas'!$B$5:$B$9944,$B407,'[2]Despesas Indiretas'!$H$5:$H$9944)</f>
        <v>27457.200000000004</v>
      </c>
      <c r="H407" s="943">
        <f>SUMIF('[3]Despesas Indiretas'!$B$5:$B$9999,$B407,'[3]Despesas Indiretas'!$H$5:$H$9999)</f>
        <v>44.85</v>
      </c>
      <c r="I407" s="943">
        <f>SUMIF([4]Comprometimento!$B$167:$B$308,$B407,[4]Comprometimento!$E$167:$E$308)</f>
        <v>0</v>
      </c>
      <c r="J407" s="943"/>
      <c r="K407" s="938">
        <f t="shared" si="78"/>
        <v>27502.050000000003</v>
      </c>
      <c r="L407" s="944">
        <f t="shared" si="77"/>
        <v>3.574253197319738</v>
      </c>
      <c r="M407" s="938">
        <f t="shared" si="79"/>
        <v>19807.561534375003</v>
      </c>
      <c r="N407" s="944">
        <v>2.1248240377321155</v>
      </c>
      <c r="O407" s="938">
        <v>5683.9233333333341</v>
      </c>
      <c r="P407" s="938">
        <f t="shared" si="80"/>
        <v>14123.638201041669</v>
      </c>
      <c r="Q407" s="944">
        <f t="shared" si="75"/>
        <v>1</v>
      </c>
      <c r="R407" s="939">
        <f t="shared" si="76"/>
        <v>61555.907725000005</v>
      </c>
    </row>
    <row r="408" spans="1:18" s="155" customFormat="1" ht="21.95" customHeight="1" x14ac:dyDescent="0.2">
      <c r="A408" s="393" t="s">
        <v>86</v>
      </c>
      <c r="B408" s="967" t="s">
        <v>535</v>
      </c>
      <c r="C408" s="967" t="s">
        <v>536</v>
      </c>
      <c r="D408" s="940">
        <f>VLOOKUP($B408,'Análise Física Detalhada'!$E$382:$V$481,18,0)</f>
        <v>0</v>
      </c>
      <c r="E408" s="941">
        <f>VLOOKUP($B408,'Análise Física Detalhada'!$E$382:$P$480,12,0)</f>
        <v>0</v>
      </c>
      <c r="F408" s="942">
        <f t="shared" si="71"/>
        <v>0</v>
      </c>
      <c r="G408" s="943">
        <f>SUMIF('[2]Despesas Indiretas'!$B$5:$B$9944,$B408,'[2]Despesas Indiretas'!$H$5:$H$9944)</f>
        <v>0</v>
      </c>
      <c r="H408" s="943">
        <f>SUMIF('[3]Despesas Indiretas'!$B$5:$B$9999,$B408,'[3]Despesas Indiretas'!$H$5:$H$9999)</f>
        <v>0</v>
      </c>
      <c r="I408" s="943">
        <f>SUMIF([4]Comprometimento!$B$167:$B$308,$B408,[4]Comprometimento!$E$167:$E$308)</f>
        <v>0</v>
      </c>
      <c r="J408" s="943"/>
      <c r="K408" s="938">
        <f t="shared" si="78"/>
        <v>0</v>
      </c>
      <c r="L408" s="944">
        <f t="shared" si="77"/>
        <v>0</v>
      </c>
      <c r="M408" s="938">
        <f t="shared" si="79"/>
        <v>0</v>
      </c>
      <c r="N408" s="944">
        <v>0</v>
      </c>
      <c r="O408" s="938">
        <v>0</v>
      </c>
      <c r="P408" s="938">
        <f t="shared" si="80"/>
        <v>0</v>
      </c>
      <c r="Q408" s="944">
        <f t="shared" si="75"/>
        <v>0</v>
      </c>
      <c r="R408" s="939">
        <f t="shared" si="76"/>
        <v>0</v>
      </c>
    </row>
    <row r="409" spans="1:18" s="130" customFormat="1" ht="21.95" customHeight="1" x14ac:dyDescent="0.2">
      <c r="A409" s="393" t="s">
        <v>86</v>
      </c>
      <c r="B409" s="959" t="s">
        <v>537</v>
      </c>
      <c r="C409" s="959" t="s">
        <v>825</v>
      </c>
      <c r="D409" s="940">
        <f>VLOOKUP($B409,'Análise Física Detalhada'!$E$382:$V$481,18,0)</f>
        <v>98399.19088063926</v>
      </c>
      <c r="E409" s="941">
        <f>VLOOKUP($B409,'Análise Física Detalhada'!$E$382:$P$480,12,0)</f>
        <v>0.125</v>
      </c>
      <c r="F409" s="942">
        <f t="shared" si="71"/>
        <v>12299.898860079908</v>
      </c>
      <c r="G409" s="943">
        <f>SUMIF('[2]Despesas Indiretas'!$B$5:$B$9944,$B409,'[2]Despesas Indiretas'!$H$5:$H$9944)</f>
        <v>0</v>
      </c>
      <c r="H409" s="943">
        <f>SUMIF('[3]Despesas Indiretas'!$B$5:$B$9999,$B409,'[3]Despesas Indiretas'!$H$5:$H$9999)</f>
        <v>0</v>
      </c>
      <c r="I409" s="943">
        <f>SUMIF([4]Comprometimento!$B$167:$B$308,$B409,[4]Comprometimento!$E$167:$E$308)</f>
        <v>0</v>
      </c>
      <c r="J409" s="943"/>
      <c r="K409" s="938">
        <f t="shared" si="78"/>
        <v>0</v>
      </c>
      <c r="L409" s="944">
        <f t="shared" si="77"/>
        <v>0</v>
      </c>
      <c r="M409" s="938">
        <f t="shared" si="79"/>
        <v>-12299.898860079908</v>
      </c>
      <c r="N409" s="944">
        <v>0</v>
      </c>
      <c r="O409" s="938">
        <v>-8077.6570399444445</v>
      </c>
      <c r="P409" s="938">
        <f t="shared" si="80"/>
        <v>-4222.2418201354631</v>
      </c>
      <c r="Q409" s="944">
        <f t="shared" si="75"/>
        <v>1</v>
      </c>
      <c r="R409" s="939">
        <f t="shared" si="76"/>
        <v>98399.19088063926</v>
      </c>
    </row>
    <row r="410" spans="1:18" s="130" customFormat="1" ht="21.95" customHeight="1" x14ac:dyDescent="0.2">
      <c r="A410" s="393" t="s">
        <v>86</v>
      </c>
      <c r="B410" s="959" t="s">
        <v>538</v>
      </c>
      <c r="C410" s="959" t="s">
        <v>826</v>
      </c>
      <c r="D410" s="940">
        <f>VLOOKUP($B410,'Análise Física Detalhada'!$E$382:$V$481,18,0)</f>
        <v>106456.36675457995</v>
      </c>
      <c r="E410" s="941">
        <f>VLOOKUP($B410,'Análise Física Detalhada'!$E$382:$P$480,12,0)</f>
        <v>0.125</v>
      </c>
      <c r="F410" s="942">
        <f t="shared" si="71"/>
        <v>13307.045844322494</v>
      </c>
      <c r="G410" s="943">
        <f>SUMIF('[2]Despesas Indiretas'!$B$5:$B$9944,$B410,'[2]Despesas Indiretas'!$H$5:$H$9944)</f>
        <v>3700</v>
      </c>
      <c r="H410" s="943">
        <f>SUMIF('[3]Despesas Indiretas'!$B$5:$B$9999,$B410,'[3]Despesas Indiretas'!$H$5:$H$9999)</f>
        <v>0</v>
      </c>
      <c r="I410" s="943">
        <f>SUMIF([4]Comprometimento!$B$167:$B$308,$B410,[4]Comprometimento!$E$167:$E$308)</f>
        <v>0</v>
      </c>
      <c r="J410" s="943"/>
      <c r="K410" s="938">
        <f t="shared" si="78"/>
        <v>3700</v>
      </c>
      <c r="L410" s="944">
        <f t="shared" si="77"/>
        <v>0.27804818915376472</v>
      </c>
      <c r="M410" s="938">
        <f t="shared" si="79"/>
        <v>-9607.0458443224943</v>
      </c>
      <c r="N410" s="944">
        <v>0</v>
      </c>
      <c r="O410" s="938">
        <v>-8739.0761312777777</v>
      </c>
      <c r="P410" s="938">
        <f t="shared" si="80"/>
        <v>-867.96971304471663</v>
      </c>
      <c r="Q410" s="944">
        <f t="shared" si="75"/>
        <v>1</v>
      </c>
      <c r="R410" s="939">
        <f t="shared" si="76"/>
        <v>106456.36675457995</v>
      </c>
    </row>
    <row r="411" spans="1:18" s="130" customFormat="1" ht="21.95" customHeight="1" x14ac:dyDescent="0.2">
      <c r="A411" s="393" t="s">
        <v>86</v>
      </c>
      <c r="B411" s="959" t="s">
        <v>539</v>
      </c>
      <c r="C411" s="959" t="s">
        <v>163</v>
      </c>
      <c r="D411" s="940">
        <f>VLOOKUP($B411,'Análise Física Detalhada'!$E$382:$V$481,18,0)</f>
        <v>39921.140097796975</v>
      </c>
      <c r="E411" s="941">
        <f>VLOOKUP($B411,'Análise Física Detalhada'!$E$382:$P$480,12,0)</f>
        <v>0.125</v>
      </c>
      <c r="F411" s="942">
        <f t="shared" si="71"/>
        <v>4990.1425122246219</v>
      </c>
      <c r="G411" s="943">
        <f>SUMIF('[2]Despesas Indiretas'!$B$5:$B$9944,$B411,'[2]Despesas Indiretas'!$H$5:$H$9944)</f>
        <v>0</v>
      </c>
      <c r="H411" s="943">
        <f>SUMIF('[3]Despesas Indiretas'!$B$5:$B$9999,$B411,'[3]Despesas Indiretas'!$H$5:$H$9999)</f>
        <v>0</v>
      </c>
      <c r="I411" s="943">
        <f>SUMIF([4]Comprometimento!$B$167:$B$308,$B411,[4]Comprometimento!$E$167:$E$308)</f>
        <v>0</v>
      </c>
      <c r="J411" s="943"/>
      <c r="K411" s="938">
        <f t="shared" si="78"/>
        <v>0</v>
      </c>
      <c r="L411" s="944">
        <f t="shared" si="77"/>
        <v>0</v>
      </c>
      <c r="M411" s="938">
        <f t="shared" si="79"/>
        <v>-4990.1425122246219</v>
      </c>
      <c r="N411" s="944">
        <v>0</v>
      </c>
      <c r="O411" s="938">
        <v>-3277.1537597777779</v>
      </c>
      <c r="P411" s="938">
        <f t="shared" si="80"/>
        <v>-1712.988752446844</v>
      </c>
      <c r="Q411" s="944">
        <f t="shared" si="75"/>
        <v>1</v>
      </c>
      <c r="R411" s="939">
        <f t="shared" si="76"/>
        <v>39921.140097796975</v>
      </c>
    </row>
    <row r="412" spans="1:18" s="130" customFormat="1" ht="21.95" customHeight="1" x14ac:dyDescent="0.2">
      <c r="A412" s="393" t="s">
        <v>86</v>
      </c>
      <c r="B412" s="959" t="s">
        <v>540</v>
      </c>
      <c r="C412" s="959" t="s">
        <v>162</v>
      </c>
      <c r="D412" s="940">
        <f>VLOOKUP($B412,'Análise Física Detalhada'!$E$382:$V$481,18,0)</f>
        <v>33930.755122312919</v>
      </c>
      <c r="E412" s="941">
        <f>VLOOKUP($B412,'Análise Física Detalhada'!$E$382:$P$480,12,0)</f>
        <v>0.125</v>
      </c>
      <c r="F412" s="942">
        <f t="shared" si="71"/>
        <v>4241.3443902891149</v>
      </c>
      <c r="G412" s="943">
        <f>SUMIF('[2]Despesas Indiretas'!$B$5:$B$9944,$B412,'[2]Despesas Indiretas'!$H$5:$H$9944)</f>
        <v>0</v>
      </c>
      <c r="H412" s="943">
        <f>SUMIF('[3]Despesas Indiretas'!$B$5:$B$9999,$B412,'[3]Despesas Indiretas'!$H$5:$H$9999)</f>
        <v>0</v>
      </c>
      <c r="I412" s="943">
        <f>SUMIF([4]Comprometimento!$B$167:$B$308,$B412,[4]Comprometimento!$E$167:$E$308)</f>
        <v>0</v>
      </c>
      <c r="J412" s="943"/>
      <c r="K412" s="938">
        <f t="shared" si="78"/>
        <v>0</v>
      </c>
      <c r="L412" s="944">
        <f t="shared" si="77"/>
        <v>0</v>
      </c>
      <c r="M412" s="938">
        <f t="shared" si="79"/>
        <v>-4241.3443902891149</v>
      </c>
      <c r="N412" s="944">
        <v>0</v>
      </c>
      <c r="O412" s="938">
        <v>-2785.3989502499999</v>
      </c>
      <c r="P412" s="938">
        <f t="shared" si="80"/>
        <v>-1455.9454400391151</v>
      </c>
      <c r="Q412" s="944">
        <f t="shared" si="75"/>
        <v>1</v>
      </c>
      <c r="R412" s="939">
        <f t="shared" si="76"/>
        <v>33930.755122312919</v>
      </c>
    </row>
    <row r="413" spans="1:18" s="130" customFormat="1" ht="21.95" customHeight="1" x14ac:dyDescent="0.2">
      <c r="A413" s="393" t="s">
        <v>86</v>
      </c>
      <c r="B413" s="959" t="s">
        <v>541</v>
      </c>
      <c r="C413" s="959" t="s">
        <v>2155</v>
      </c>
      <c r="D413" s="940">
        <f>VLOOKUP($B413,'Análise Física Detalhada'!$E$382:$V$481,18,0)</f>
        <v>34035.559990714806</v>
      </c>
      <c r="E413" s="941">
        <f>VLOOKUP($B413,'Análise Física Detalhada'!$E$382:$P$480,12,0)</f>
        <v>0</v>
      </c>
      <c r="F413" s="942">
        <f t="shared" si="71"/>
        <v>0</v>
      </c>
      <c r="G413" s="943">
        <f>SUMIF('[2]Despesas Indiretas'!$B$5:$B$9944,$B413,'[2]Despesas Indiretas'!$H$5:$H$9944)</f>
        <v>0</v>
      </c>
      <c r="H413" s="943">
        <f>SUMIF('[3]Despesas Indiretas'!$B$5:$B$9999,$B413,'[3]Despesas Indiretas'!$H$5:$H$9999)</f>
        <v>0</v>
      </c>
      <c r="I413" s="943">
        <f>SUMIF([4]Comprometimento!$B$167:$B$308,$B413,[4]Comprometimento!$E$167:$E$308)</f>
        <v>0</v>
      </c>
      <c r="J413" s="943"/>
      <c r="K413" s="938">
        <f t="shared" si="78"/>
        <v>0</v>
      </c>
      <c r="L413" s="944">
        <f t="shared" si="77"/>
        <v>0</v>
      </c>
      <c r="M413" s="938">
        <f t="shared" si="79"/>
        <v>0</v>
      </c>
      <c r="N413" s="944">
        <v>0</v>
      </c>
      <c r="O413" s="938">
        <v>0</v>
      </c>
      <c r="P413" s="938">
        <f t="shared" si="80"/>
        <v>0</v>
      </c>
      <c r="Q413" s="944">
        <f t="shared" si="75"/>
        <v>1</v>
      </c>
      <c r="R413" s="939">
        <f t="shared" si="76"/>
        <v>34035.559990714806</v>
      </c>
    </row>
    <row r="414" spans="1:18" s="130" customFormat="1" ht="21.95" customHeight="1" x14ac:dyDescent="0.2">
      <c r="A414" s="393" t="s">
        <v>86</v>
      </c>
      <c r="B414" s="959" t="s">
        <v>542</v>
      </c>
      <c r="C414" s="959" t="s">
        <v>2348</v>
      </c>
      <c r="D414" s="940">
        <f>VLOOKUP($B414,'Análise Física Detalhada'!$E$382:$V$481,18,0)</f>
        <v>28284.202380000002</v>
      </c>
      <c r="E414" s="941">
        <f>VLOOKUP($B414,'Análise Física Detalhada'!$E$382:$P$480,12,0)</f>
        <v>0.75</v>
      </c>
      <c r="F414" s="942">
        <f t="shared" si="71"/>
        <v>21213.151785000002</v>
      </c>
      <c r="G414" s="943">
        <f>SUMIF('[2]Despesas Indiretas'!$B$5:$B$9944,$B414,'[2]Despesas Indiretas'!$H$5:$H$9944)</f>
        <v>0</v>
      </c>
      <c r="H414" s="943">
        <f>SUMIF('[3]Despesas Indiretas'!$B$5:$B$9999,$B414,'[3]Despesas Indiretas'!$H$5:$H$9999)</f>
        <v>0</v>
      </c>
      <c r="I414" s="943">
        <f>SUMIF([4]Comprometimento!$B$167:$B$308,$B414,[4]Comprometimento!$E$167:$E$308)</f>
        <v>0</v>
      </c>
      <c r="J414" s="943"/>
      <c r="K414" s="938">
        <f t="shared" si="78"/>
        <v>0</v>
      </c>
      <c r="L414" s="944">
        <f t="shared" si="77"/>
        <v>0</v>
      </c>
      <c r="M414" s="938">
        <f t="shared" si="79"/>
        <v>-21213.151785000002</v>
      </c>
      <c r="N414" s="944">
        <v>0</v>
      </c>
      <c r="O414" s="938">
        <v>-14081.2</v>
      </c>
      <c r="P414" s="938">
        <f t="shared" si="80"/>
        <v>-7131.9517850000011</v>
      </c>
      <c r="Q414" s="944">
        <f t="shared" si="75"/>
        <v>0.125</v>
      </c>
      <c r="R414" s="939">
        <f t="shared" si="76"/>
        <v>3535.5252975000003</v>
      </c>
    </row>
    <row r="415" spans="1:18" s="130" customFormat="1" ht="21.95" customHeight="1" x14ac:dyDescent="0.2">
      <c r="A415" s="393" t="s">
        <v>86</v>
      </c>
      <c r="B415" s="959" t="s">
        <v>543</v>
      </c>
      <c r="C415" s="959" t="s">
        <v>545</v>
      </c>
      <c r="D415" s="940">
        <f>VLOOKUP($B415,'Análise Física Detalhada'!$E$382:$V$481,18,0)</f>
        <v>61555.907725000005</v>
      </c>
      <c r="E415" s="941">
        <f>VLOOKUP($B415,'Análise Física Detalhada'!$E$382:$P$480,12,0)</f>
        <v>0.125</v>
      </c>
      <c r="F415" s="942">
        <f t="shared" si="71"/>
        <v>7694.4884656250006</v>
      </c>
      <c r="G415" s="943">
        <f>SUMIF('[2]Despesas Indiretas'!$B$5:$B$9944,$B415,'[2]Despesas Indiretas'!$H$5:$H$9944)</f>
        <v>0</v>
      </c>
      <c r="H415" s="943">
        <f>SUMIF('[3]Despesas Indiretas'!$B$5:$B$9999,$B415,'[3]Despesas Indiretas'!$H$5:$H$9999)</f>
        <v>0</v>
      </c>
      <c r="I415" s="943">
        <f>SUMIF([4]Comprometimento!$B$167:$B$308,$B415,[4]Comprometimento!$E$167:$E$308)</f>
        <v>0</v>
      </c>
      <c r="J415" s="943"/>
      <c r="K415" s="938">
        <f t="shared" si="78"/>
        <v>0</v>
      </c>
      <c r="L415" s="944">
        <f t="shared" si="77"/>
        <v>0</v>
      </c>
      <c r="M415" s="938">
        <f t="shared" si="79"/>
        <v>-7694.4884656250006</v>
      </c>
      <c r="N415" s="944">
        <v>0</v>
      </c>
      <c r="O415" s="938">
        <v>-5053.1666666666661</v>
      </c>
      <c r="P415" s="938">
        <f t="shared" si="80"/>
        <v>-2641.3217989583345</v>
      </c>
      <c r="Q415" s="944">
        <f t="shared" si="75"/>
        <v>1</v>
      </c>
      <c r="R415" s="939">
        <f t="shared" si="76"/>
        <v>61555.907725000005</v>
      </c>
    </row>
    <row r="416" spans="1:18" s="130" customFormat="1" ht="21.95" customHeight="1" x14ac:dyDescent="0.2">
      <c r="A416" s="393" t="s">
        <v>86</v>
      </c>
      <c r="B416" s="959" t="s">
        <v>544</v>
      </c>
      <c r="C416" s="959" t="s">
        <v>421</v>
      </c>
      <c r="D416" s="940">
        <f>VLOOKUP($B416,'Análise Física Detalhada'!$E$382:$V$481,18,0)</f>
        <v>44970.63276438645</v>
      </c>
      <c r="E416" s="941">
        <f>VLOOKUP($B416,'Análise Física Detalhada'!$E$382:$P$480,12,0)</f>
        <v>0.125</v>
      </c>
      <c r="F416" s="942">
        <f t="shared" si="71"/>
        <v>5621.3290955483062</v>
      </c>
      <c r="G416" s="943">
        <f>SUMIF('[2]Despesas Indiretas'!$B$5:$B$9944,$B416,'[2]Despesas Indiretas'!$H$5:$H$9944)</f>
        <v>0</v>
      </c>
      <c r="H416" s="943">
        <f>SUMIF('[3]Despesas Indiretas'!$B$5:$B$9999,$B416,'[3]Despesas Indiretas'!$H$5:$H$9999)</f>
        <v>0</v>
      </c>
      <c r="I416" s="943">
        <f>SUMIF([4]Comprometimento!$B$167:$B$308,$B416,[4]Comprometimento!$E$167:$E$308)</f>
        <v>0</v>
      </c>
      <c r="J416" s="943"/>
      <c r="K416" s="938">
        <f t="shared" si="78"/>
        <v>0</v>
      </c>
      <c r="L416" s="944">
        <f t="shared" si="77"/>
        <v>0</v>
      </c>
      <c r="M416" s="938">
        <f t="shared" si="79"/>
        <v>-5621.3290955483062</v>
      </c>
      <c r="N416" s="944">
        <v>0</v>
      </c>
      <c r="O416" s="938">
        <v>-3691.6700746111114</v>
      </c>
      <c r="P416" s="938">
        <f t="shared" si="80"/>
        <v>-1929.6590209371948</v>
      </c>
      <c r="Q416" s="944">
        <f t="shared" si="75"/>
        <v>1</v>
      </c>
      <c r="R416" s="939">
        <f t="shared" si="76"/>
        <v>44970.63276438645</v>
      </c>
    </row>
    <row r="417" spans="1:18" s="130" customFormat="1" ht="21.95" customHeight="1" x14ac:dyDescent="0.2">
      <c r="A417" s="393" t="s">
        <v>86</v>
      </c>
      <c r="B417" s="967" t="s">
        <v>546</v>
      </c>
      <c r="C417" s="967" t="s">
        <v>547</v>
      </c>
      <c r="D417" s="940">
        <f>VLOOKUP($B417,'Análise Física Detalhada'!$E$382:$V$481,18,0)</f>
        <v>0</v>
      </c>
      <c r="E417" s="941">
        <f>VLOOKUP($B417,'Análise Física Detalhada'!$E$382:$P$480,12,0)</f>
        <v>0</v>
      </c>
      <c r="F417" s="942">
        <f t="shared" si="71"/>
        <v>0</v>
      </c>
      <c r="G417" s="943">
        <f>SUMIF('[2]Despesas Indiretas'!$B$5:$B$9944,$B417,'[2]Despesas Indiretas'!$H$5:$H$9944)</f>
        <v>0</v>
      </c>
      <c r="H417" s="943">
        <f>SUMIF('[3]Despesas Indiretas'!$B$5:$B$9999,$B417,'[3]Despesas Indiretas'!$H$5:$H$9999)</f>
        <v>0</v>
      </c>
      <c r="I417" s="943">
        <f>SUMIF([4]Comprometimento!$B$167:$B$308,$B417,[4]Comprometimento!$E$167:$E$308)</f>
        <v>0</v>
      </c>
      <c r="J417" s="943"/>
      <c r="K417" s="938">
        <f t="shared" si="78"/>
        <v>0</v>
      </c>
      <c r="L417" s="944">
        <f t="shared" si="77"/>
        <v>0</v>
      </c>
      <c r="M417" s="938">
        <f t="shared" si="79"/>
        <v>0</v>
      </c>
      <c r="N417" s="944">
        <v>0</v>
      </c>
      <c r="O417" s="938">
        <v>0</v>
      </c>
      <c r="P417" s="938">
        <f t="shared" si="80"/>
        <v>0</v>
      </c>
      <c r="Q417" s="944">
        <f t="shared" si="75"/>
        <v>0</v>
      </c>
      <c r="R417" s="939">
        <f t="shared" si="76"/>
        <v>0</v>
      </c>
    </row>
    <row r="418" spans="1:18" s="130" customFormat="1" ht="21.95" customHeight="1" x14ac:dyDescent="0.2">
      <c r="A418" s="393" t="s">
        <v>86</v>
      </c>
      <c r="B418" s="959" t="s">
        <v>548</v>
      </c>
      <c r="C418" s="959" t="s">
        <v>156</v>
      </c>
      <c r="D418" s="940">
        <f>VLOOKUP($B418,'Análise Física Detalhada'!$E$382:$V$481,18,0)</f>
        <v>5565.6799901354179</v>
      </c>
      <c r="E418" s="941">
        <f>VLOOKUP($B418,'Análise Física Detalhada'!$E$382:$P$480,12,0)</f>
        <v>0.125</v>
      </c>
      <c r="F418" s="942">
        <f t="shared" si="71"/>
        <v>695.70999876692724</v>
      </c>
      <c r="G418" s="943">
        <f>SUMIF('[2]Despesas Indiretas'!$B$5:$B$9944,$B418,'[2]Despesas Indiretas'!$H$5:$H$9944)</f>
        <v>277</v>
      </c>
      <c r="H418" s="943">
        <f>SUMIF('[3]Despesas Indiretas'!$B$5:$B$9999,$B418,'[3]Despesas Indiretas'!$H$5:$H$9999)</f>
        <v>0</v>
      </c>
      <c r="I418" s="943">
        <f>SUMIF([4]Comprometimento!$B$167:$B$308,$B418,[4]Comprometimento!$E$167:$E$308)</f>
        <v>0</v>
      </c>
      <c r="J418" s="943"/>
      <c r="K418" s="938">
        <f t="shared" si="78"/>
        <v>277</v>
      </c>
      <c r="L418" s="944">
        <f t="shared" si="77"/>
        <v>0.39815440412090292</v>
      </c>
      <c r="M418" s="938">
        <f t="shared" si="79"/>
        <v>-418.70999876692724</v>
      </c>
      <c r="N418" s="944">
        <v>0.41226509574154879</v>
      </c>
      <c r="O418" s="938">
        <v>-268.53048611111114</v>
      </c>
      <c r="P418" s="938">
        <f t="shared" si="80"/>
        <v>-150.1795126558161</v>
      </c>
      <c r="Q418" s="944">
        <f t="shared" si="75"/>
        <v>1</v>
      </c>
      <c r="R418" s="939">
        <f t="shared" si="76"/>
        <v>5565.6799901354179</v>
      </c>
    </row>
    <row r="419" spans="1:18" s="130" customFormat="1" ht="21.95" customHeight="1" x14ac:dyDescent="0.2">
      <c r="A419" s="393" t="s">
        <v>86</v>
      </c>
      <c r="B419" s="959" t="s">
        <v>549</v>
      </c>
      <c r="C419" s="959" t="s">
        <v>550</v>
      </c>
      <c r="D419" s="940">
        <f>VLOOKUP($B419,'Análise Física Detalhada'!$E$382:$V$481,18,0)</f>
        <v>44125.326520870833</v>
      </c>
      <c r="E419" s="941">
        <f>VLOOKUP($B419,'Análise Física Detalhada'!$E$382:$P$480,12,0)</f>
        <v>0.125</v>
      </c>
      <c r="F419" s="942">
        <f t="shared" si="71"/>
        <v>5515.6658151088541</v>
      </c>
      <c r="G419" s="943">
        <f>SUMIF('[2]Despesas Indiretas'!$B$5:$B$9944,$B419,'[2]Despesas Indiretas'!$H$5:$H$9944)</f>
        <v>1072.2</v>
      </c>
      <c r="H419" s="943">
        <f>SUMIF('[3]Despesas Indiretas'!$B$5:$B$9999,$B419,'[3]Despesas Indiretas'!$H$5:$H$9999)</f>
        <v>0</v>
      </c>
      <c r="I419" s="943">
        <f>SUMIF([4]Comprometimento!$B$167:$B$308,$B419,[4]Comprometimento!$E$167:$E$308)</f>
        <v>0</v>
      </c>
      <c r="J419" s="943"/>
      <c r="K419" s="938">
        <f t="shared" si="78"/>
        <v>1072.2</v>
      </c>
      <c r="L419" s="944">
        <f t="shared" si="77"/>
        <v>0.19439176265229183</v>
      </c>
      <c r="M419" s="938">
        <f t="shared" si="79"/>
        <v>-4443.4658151088543</v>
      </c>
      <c r="N419" s="944">
        <v>0.29600155193916133</v>
      </c>
      <c r="O419" s="938">
        <v>-2550.0783055555557</v>
      </c>
      <c r="P419" s="938">
        <f t="shared" si="80"/>
        <v>-1893.3875095532985</v>
      </c>
      <c r="Q419" s="944">
        <f t="shared" si="75"/>
        <v>1</v>
      </c>
      <c r="R419" s="939">
        <f t="shared" si="76"/>
        <v>44125.326520870833</v>
      </c>
    </row>
    <row r="420" spans="1:18" s="130" customFormat="1" ht="21.95" customHeight="1" x14ac:dyDescent="0.2">
      <c r="A420" s="393" t="s">
        <v>86</v>
      </c>
      <c r="B420" s="959" t="s">
        <v>551</v>
      </c>
      <c r="C420" s="959" t="s">
        <v>2156</v>
      </c>
      <c r="D420" s="940">
        <f>VLOOKUP($B420,'Análise Física Detalhada'!$E$382:$V$481,18,0)</f>
        <v>119138.38160635126</v>
      </c>
      <c r="E420" s="941">
        <f>VLOOKUP($B420,'Análise Física Detalhada'!$E$382:$P$480,12,0)</f>
        <v>0.125</v>
      </c>
      <c r="F420" s="942">
        <f t="shared" si="71"/>
        <v>14892.297700793908</v>
      </c>
      <c r="G420" s="943">
        <f>SUMIF('[2]Despesas Indiretas'!$B$5:$B$9944,$B420,'[2]Despesas Indiretas'!$H$5:$H$9944)</f>
        <v>4679.37</v>
      </c>
      <c r="H420" s="943">
        <f>SUMIF('[3]Despesas Indiretas'!$B$5:$B$9999,$B420,'[3]Despesas Indiretas'!$H$5:$H$9999)</f>
        <v>1.4200000000000002</v>
      </c>
      <c r="I420" s="943">
        <f>SUMIF([4]Comprometimento!$B$167:$B$308,$B420,[4]Comprometimento!$E$167:$E$308)</f>
        <v>0</v>
      </c>
      <c r="J420" s="943"/>
      <c r="K420" s="938">
        <f t="shared" si="78"/>
        <v>4680.79</v>
      </c>
      <c r="L420" s="944">
        <f t="shared" si="77"/>
        <v>0.31430945674356664</v>
      </c>
      <c r="M420" s="938">
        <f t="shared" si="79"/>
        <v>-10211.507700793907</v>
      </c>
      <c r="N420" s="944">
        <v>0.29483388085680889</v>
      </c>
      <c r="O420" s="938">
        <v>-6896.6314249999996</v>
      </c>
      <c r="P420" s="938">
        <f t="shared" si="80"/>
        <v>-3314.8762757939076</v>
      </c>
      <c r="Q420" s="944">
        <f t="shared" si="75"/>
        <v>1</v>
      </c>
      <c r="R420" s="939">
        <f t="shared" si="76"/>
        <v>119138.38160635126</v>
      </c>
    </row>
    <row r="421" spans="1:18" s="155" customFormat="1" ht="21.95" customHeight="1" x14ac:dyDescent="0.2">
      <c r="A421" s="393" t="s">
        <v>86</v>
      </c>
      <c r="B421" s="959" t="s">
        <v>552</v>
      </c>
      <c r="C421" s="959" t="s">
        <v>553</v>
      </c>
      <c r="D421" s="940">
        <f>VLOOKUP($B421,'Análise Física Detalhada'!$E$382:$V$481,18,0)</f>
        <v>26475.195912522504</v>
      </c>
      <c r="E421" s="941">
        <f>VLOOKUP($B421,'Análise Física Detalhada'!$E$382:$P$480,12,0)</f>
        <v>0.125</v>
      </c>
      <c r="F421" s="942">
        <f t="shared" ref="F421" si="81">E421*D421</f>
        <v>3309.399489065313</v>
      </c>
      <c r="G421" s="943">
        <f>SUMIF('[2]Despesas Indiretas'!$B$5:$B$9944,$B421,'[2]Despesas Indiretas'!$H$5:$H$9944)</f>
        <v>1861.56</v>
      </c>
      <c r="H421" s="943">
        <f>SUMIF('[3]Despesas Indiretas'!$B$5:$B$9999,$B421,'[3]Despesas Indiretas'!$H$5:$H$9999)</f>
        <v>0</v>
      </c>
      <c r="I421" s="943">
        <f>SUMIF([4]Comprometimento!$B$167:$B$308,$B421,[4]Comprometimento!$E$167:$E$308)</f>
        <v>0</v>
      </c>
      <c r="J421" s="943"/>
      <c r="K421" s="938">
        <f t="shared" si="78"/>
        <v>1861.56</v>
      </c>
      <c r="L421" s="944">
        <f t="shared" si="77"/>
        <v>0.56250688566032503</v>
      </c>
      <c r="M421" s="938">
        <f t="shared" si="79"/>
        <v>-1447.839489065313</v>
      </c>
      <c r="N421" s="944">
        <v>0.43480921871309369</v>
      </c>
      <c r="O421" s="938">
        <v>-1228.3669833333333</v>
      </c>
      <c r="P421" s="938">
        <f t="shared" si="80"/>
        <v>-219.47250573197971</v>
      </c>
      <c r="Q421" s="944">
        <f t="shared" si="75"/>
        <v>1</v>
      </c>
      <c r="R421" s="939">
        <f t="shared" si="76"/>
        <v>26475.195912522504</v>
      </c>
    </row>
    <row r="422" spans="1:18" s="155" customFormat="1" ht="21.95" customHeight="1" x14ac:dyDescent="0.2">
      <c r="A422" s="393" t="s">
        <v>86</v>
      </c>
      <c r="B422" s="959" t="s">
        <v>554</v>
      </c>
      <c r="C422" s="959" t="s">
        <v>555</v>
      </c>
      <c r="D422" s="940"/>
      <c r="E422" s="941"/>
      <c r="F422" s="942"/>
      <c r="G422" s="943">
        <f>SUMIF('[2]Despesas Indiretas'!$B$5:$B$9944,$B422,'[2]Despesas Indiretas'!$H$5:$H$9944)</f>
        <v>2229.6800000000003</v>
      </c>
      <c r="H422" s="943">
        <f>SUMIF('[3]Despesas Indiretas'!$B$5:$B$9999,$B422,'[3]Despesas Indiretas'!$H$5:$H$9999)</f>
        <v>0</v>
      </c>
      <c r="I422" s="943">
        <f>SUMIF([4]Comprometimento!$B$167:$B$308,$B422,[4]Comprometimento!$E$167:$E$308)</f>
        <v>0</v>
      </c>
      <c r="J422" s="943"/>
      <c r="K422" s="938">
        <f t="shared" si="78"/>
        <v>2229.6800000000003</v>
      </c>
      <c r="L422" s="944">
        <f t="shared" si="77"/>
        <v>0</v>
      </c>
      <c r="M422" s="938">
        <f t="shared" si="79"/>
        <v>2229.6800000000003</v>
      </c>
      <c r="N422" s="944">
        <v>0</v>
      </c>
      <c r="O422" s="938">
        <v>1218.9000000000001</v>
      </c>
      <c r="P422" s="938">
        <f t="shared" si="80"/>
        <v>1010.7800000000002</v>
      </c>
      <c r="Q422" s="944">
        <f t="shared" si="75"/>
        <v>0</v>
      </c>
      <c r="R422" s="939">
        <f t="shared" si="76"/>
        <v>0</v>
      </c>
    </row>
    <row r="423" spans="1:18" s="155" customFormat="1" ht="21.95" customHeight="1" x14ac:dyDescent="0.2">
      <c r="A423" s="393" t="s">
        <v>86</v>
      </c>
      <c r="B423" s="959" t="s">
        <v>2188</v>
      </c>
      <c r="C423" s="959" t="s">
        <v>2189</v>
      </c>
      <c r="D423" s="940"/>
      <c r="E423" s="941"/>
      <c r="F423" s="942"/>
      <c r="G423" s="943">
        <f>SUMIF('[2]Despesas Indiretas'!$B$5:$B$9944,$B423,'[2]Despesas Indiretas'!$H$5:$H$9944)</f>
        <v>16476.77</v>
      </c>
      <c r="H423" s="943">
        <f>SUMIF('[3]Despesas Indiretas'!$B$5:$B$9999,$B423,'[3]Despesas Indiretas'!$H$5:$H$9999)</f>
        <v>1232.1300000000001</v>
      </c>
      <c r="I423" s="943">
        <f>SUMIF([4]Comprometimento!$B$167:$B$308,$B423,[4]Comprometimento!$E$167:$E$308)</f>
        <v>0</v>
      </c>
      <c r="J423" s="943"/>
      <c r="K423" s="938">
        <f t="shared" si="78"/>
        <v>17708.900000000001</v>
      </c>
      <c r="L423" s="944">
        <f t="shared" si="77"/>
        <v>0</v>
      </c>
      <c r="M423" s="938">
        <f t="shared" si="79"/>
        <v>17708.900000000001</v>
      </c>
      <c r="N423" s="944">
        <v>0</v>
      </c>
      <c r="O423" s="938">
        <v>8418.32</v>
      </c>
      <c r="P423" s="938">
        <f t="shared" si="80"/>
        <v>9290.5800000000017</v>
      </c>
      <c r="Q423" s="944">
        <f t="shared" si="75"/>
        <v>0</v>
      </c>
      <c r="R423" s="939">
        <f t="shared" si="76"/>
        <v>0</v>
      </c>
    </row>
    <row r="424" spans="1:18" s="130" customFormat="1" ht="21.95" customHeight="1" x14ac:dyDescent="0.2">
      <c r="A424" s="393" t="s">
        <v>86</v>
      </c>
      <c r="B424" s="959" t="s">
        <v>2190</v>
      </c>
      <c r="C424" s="959" t="s">
        <v>2191</v>
      </c>
      <c r="D424" s="940"/>
      <c r="E424" s="941"/>
      <c r="F424" s="942"/>
      <c r="G424" s="943">
        <f>SUMIF('[2]Despesas Indiretas'!$B$5:$B$9944,$B424,'[2]Despesas Indiretas'!$H$5:$H$9944)</f>
        <v>44429.19</v>
      </c>
      <c r="H424" s="943">
        <f>SUMIF('[3]Despesas Indiretas'!$B$5:$B$9999,$B424,'[3]Despesas Indiretas'!$H$5:$H$9999)</f>
        <v>11578</v>
      </c>
      <c r="I424" s="943">
        <f>SUMIF([4]Comprometimento!$B$167:$B$308,$B424,[4]Comprometimento!$E$167:$E$308)</f>
        <v>0</v>
      </c>
      <c r="J424" s="943"/>
      <c r="K424" s="938">
        <f t="shared" si="78"/>
        <v>56007.19</v>
      </c>
      <c r="L424" s="944">
        <f t="shared" si="77"/>
        <v>0</v>
      </c>
      <c r="M424" s="938">
        <f t="shared" si="79"/>
        <v>56007.19</v>
      </c>
      <c r="N424" s="944">
        <v>0</v>
      </c>
      <c r="O424" s="938">
        <v>29076.19</v>
      </c>
      <c r="P424" s="938">
        <f t="shared" si="80"/>
        <v>26931.000000000004</v>
      </c>
      <c r="Q424" s="944">
        <f t="shared" si="75"/>
        <v>0</v>
      </c>
      <c r="R424" s="939">
        <f t="shared" si="76"/>
        <v>0</v>
      </c>
    </row>
    <row r="425" spans="1:18" s="130" customFormat="1" ht="21.95" customHeight="1" x14ac:dyDescent="0.2">
      <c r="A425" s="393" t="s">
        <v>91</v>
      </c>
      <c r="B425" s="161" t="s">
        <v>91</v>
      </c>
      <c r="C425" s="161" t="s">
        <v>164</v>
      </c>
      <c r="D425" s="163">
        <f>VLOOKUP($B425,'Análise Física Detalhada'!$E$382:$V$481,18,0)</f>
        <v>169096.11182949186</v>
      </c>
      <c r="E425" s="530">
        <f>F425/D425</f>
        <v>2.9612169542798224E-2</v>
      </c>
      <c r="F425" s="163">
        <f>SUM(F426:F445)</f>
        <v>5007.3027325228813</v>
      </c>
      <c r="G425" s="163">
        <f>SUM(G426:G445)</f>
        <v>5668.43</v>
      </c>
      <c r="H425" s="163">
        <f t="shared" ref="H425:K425" si="82">SUM(H426:H445)</f>
        <v>0</v>
      </c>
      <c r="I425" s="163">
        <f t="shared" si="82"/>
        <v>0</v>
      </c>
      <c r="J425" s="163">
        <f t="shared" si="82"/>
        <v>0</v>
      </c>
      <c r="K425" s="163">
        <f t="shared" si="82"/>
        <v>5668.43</v>
      </c>
      <c r="L425" s="538">
        <f t="shared" si="77"/>
        <v>1.1320326137229606</v>
      </c>
      <c r="M425" s="1000">
        <f t="shared" si="79"/>
        <v>661.12726747711895</v>
      </c>
      <c r="N425" s="538">
        <v>1.2922065038825596</v>
      </c>
      <c r="O425" s="1000">
        <v>931.300088777778</v>
      </c>
      <c r="P425" s="1000">
        <f t="shared" si="80"/>
        <v>-270.17282130065905</v>
      </c>
      <c r="Q425" s="538">
        <f t="shared" si="75"/>
        <v>1</v>
      </c>
      <c r="R425" s="1000">
        <f t="shared" si="76"/>
        <v>169096.11182949186</v>
      </c>
    </row>
    <row r="426" spans="1:18" s="130" customFormat="1" ht="21.95" customHeight="1" x14ac:dyDescent="0.2">
      <c r="A426" s="393" t="s">
        <v>91</v>
      </c>
      <c r="B426" s="959" t="s">
        <v>92</v>
      </c>
      <c r="C426" s="959" t="s">
        <v>828</v>
      </c>
      <c r="D426" s="940">
        <f>VLOOKUP($B426,'Análise Física Detalhada'!$E$382:$V$481,18,0)</f>
        <v>1852.3812240000002</v>
      </c>
      <c r="E426" s="941">
        <f>VLOOKUP($B426,'Análise Física Detalhada'!$E$382:$P$480,12,0)</f>
        <v>0</v>
      </c>
      <c r="F426" s="942">
        <f t="shared" si="71"/>
        <v>0</v>
      </c>
      <c r="G426" s="943">
        <f>SUMIF('[2]Despesas Indiretas'!$B$5:$B$9944,$B426,'[2]Despesas Indiretas'!$H$5:$H$9944)</f>
        <v>0</v>
      </c>
      <c r="H426" s="943">
        <f>SUMIF('[3]Despesas Indiretas'!$B$5:$B$9999,$B426,'[3]Despesas Indiretas'!$H$5:$H$9999)</f>
        <v>0</v>
      </c>
      <c r="I426" s="943">
        <f>SUMIF([4]Comprometimento!$B$167:$B$308,$B426,[4]Comprometimento!$E$167:$E$308)</f>
        <v>0</v>
      </c>
      <c r="J426" s="943"/>
      <c r="K426" s="938">
        <f t="shared" si="78"/>
        <v>0</v>
      </c>
      <c r="L426" s="944">
        <f t="shared" si="77"/>
        <v>0</v>
      </c>
      <c r="M426" s="938">
        <f t="shared" si="79"/>
        <v>0</v>
      </c>
      <c r="N426" s="944">
        <v>0</v>
      </c>
      <c r="O426" s="938">
        <v>0</v>
      </c>
      <c r="P426" s="938">
        <f t="shared" si="80"/>
        <v>0</v>
      </c>
      <c r="Q426" s="944">
        <f t="shared" si="75"/>
        <v>1</v>
      </c>
      <c r="R426" s="939">
        <f t="shared" si="76"/>
        <v>1852.3812240000002</v>
      </c>
    </row>
    <row r="427" spans="1:18" s="130" customFormat="1" ht="21.95" customHeight="1" x14ac:dyDescent="0.2">
      <c r="A427" s="393" t="s">
        <v>91</v>
      </c>
      <c r="B427" s="959" t="s">
        <v>93</v>
      </c>
      <c r="C427" s="959" t="s">
        <v>2157</v>
      </c>
      <c r="D427" s="940">
        <f>VLOOKUP($B427,'Análise Física Detalhada'!$E$382:$V$481,18,0)</f>
        <v>2161.1114280000002</v>
      </c>
      <c r="E427" s="941">
        <f>VLOOKUP($B427,'Análise Física Detalhada'!$E$382:$P$480,12,0)</f>
        <v>0</v>
      </c>
      <c r="F427" s="942">
        <f t="shared" si="71"/>
        <v>0</v>
      </c>
      <c r="G427" s="943">
        <f>SUMIF('[2]Despesas Indiretas'!$B$5:$B$9944,$B427,'[2]Despesas Indiretas'!$H$5:$H$9944)</f>
        <v>0</v>
      </c>
      <c r="H427" s="943">
        <f>SUMIF('[3]Despesas Indiretas'!$B$5:$B$9999,$B427,'[3]Despesas Indiretas'!$H$5:$H$9999)</f>
        <v>0</v>
      </c>
      <c r="I427" s="943">
        <f>SUMIF([4]Comprometimento!$B$167:$B$308,$B427,[4]Comprometimento!$E$167:$E$308)</f>
        <v>0</v>
      </c>
      <c r="J427" s="943"/>
      <c r="K427" s="938">
        <f t="shared" si="78"/>
        <v>0</v>
      </c>
      <c r="L427" s="944">
        <f t="shared" si="77"/>
        <v>0</v>
      </c>
      <c r="M427" s="938">
        <f t="shared" si="79"/>
        <v>0</v>
      </c>
      <c r="N427" s="944">
        <v>0</v>
      </c>
      <c r="O427" s="938">
        <v>0</v>
      </c>
      <c r="P427" s="938">
        <f t="shared" si="80"/>
        <v>0</v>
      </c>
      <c r="Q427" s="944">
        <f t="shared" si="75"/>
        <v>1</v>
      </c>
      <c r="R427" s="939">
        <f t="shared" si="76"/>
        <v>2161.1114280000002</v>
      </c>
    </row>
    <row r="428" spans="1:18" s="130" customFormat="1" ht="21.95" customHeight="1" x14ac:dyDescent="0.2">
      <c r="A428" s="393" t="s">
        <v>91</v>
      </c>
      <c r="B428" s="959" t="s">
        <v>165</v>
      </c>
      <c r="C428" s="959" t="s">
        <v>465</v>
      </c>
      <c r="D428" s="940">
        <f>VLOOKUP($B428,'Análise Física Detalhada'!$E$382:$V$481,18,0)</f>
        <v>1389.2859180000003</v>
      </c>
      <c r="E428" s="941">
        <f>VLOOKUP($B428,'Análise Física Detalhada'!$E$382:$P$480,12,0)</f>
        <v>0</v>
      </c>
      <c r="F428" s="942">
        <f t="shared" si="71"/>
        <v>0</v>
      </c>
      <c r="G428" s="943">
        <f>SUMIF('[2]Despesas Indiretas'!$B$5:$B$9944,$B428,'[2]Despesas Indiretas'!$H$5:$H$9944)</f>
        <v>0</v>
      </c>
      <c r="H428" s="943">
        <f>SUMIF('[3]Despesas Indiretas'!$B$5:$B$9999,$B428,'[3]Despesas Indiretas'!$H$5:$H$9999)</f>
        <v>0</v>
      </c>
      <c r="I428" s="943">
        <f>SUMIF([4]Comprometimento!$B$167:$B$308,$B428,[4]Comprometimento!$E$167:$E$308)</f>
        <v>0</v>
      </c>
      <c r="J428" s="943"/>
      <c r="K428" s="938">
        <f t="shared" si="78"/>
        <v>0</v>
      </c>
      <c r="L428" s="944">
        <f t="shared" si="77"/>
        <v>0</v>
      </c>
      <c r="M428" s="938">
        <f t="shared" si="79"/>
        <v>0</v>
      </c>
      <c r="N428" s="944">
        <v>0</v>
      </c>
      <c r="O428" s="938">
        <v>0</v>
      </c>
      <c r="P428" s="938">
        <f t="shared" si="80"/>
        <v>0</v>
      </c>
      <c r="Q428" s="944">
        <f t="shared" si="75"/>
        <v>1</v>
      </c>
      <c r="R428" s="939">
        <f t="shared" si="76"/>
        <v>1389.2859180000003</v>
      </c>
    </row>
    <row r="429" spans="1:18" s="130" customFormat="1" ht="21.95" customHeight="1" x14ac:dyDescent="0.2">
      <c r="A429" s="393" t="s">
        <v>91</v>
      </c>
      <c r="B429" s="959" t="s">
        <v>166</v>
      </c>
      <c r="C429" s="959" t="s">
        <v>829</v>
      </c>
      <c r="D429" s="940">
        <f>VLOOKUP($B429,'Análise Física Detalhada'!$E$382:$V$481,18,0)</f>
        <v>771.82551000000012</v>
      </c>
      <c r="E429" s="941">
        <f>VLOOKUP($B429,'Análise Física Detalhada'!$E$382:$P$480,12,0)</f>
        <v>0</v>
      </c>
      <c r="F429" s="942">
        <f t="shared" si="71"/>
        <v>0</v>
      </c>
      <c r="G429" s="943">
        <f>SUMIF('[2]Despesas Indiretas'!$B$5:$B$9944,$B429,'[2]Despesas Indiretas'!$H$5:$H$9944)</f>
        <v>70</v>
      </c>
      <c r="H429" s="943">
        <f>SUMIF('[3]Despesas Indiretas'!$B$5:$B$9999,$B429,'[3]Despesas Indiretas'!$H$5:$H$9999)</f>
        <v>0</v>
      </c>
      <c r="I429" s="943">
        <f>SUMIF([4]Comprometimento!$B$167:$B$308,$B429,[4]Comprometimento!$E$167:$E$308)</f>
        <v>0</v>
      </c>
      <c r="J429" s="943"/>
      <c r="K429" s="938">
        <f t="shared" si="78"/>
        <v>70</v>
      </c>
      <c r="L429" s="944">
        <f t="shared" si="77"/>
        <v>0</v>
      </c>
      <c r="M429" s="938">
        <f t="shared" si="79"/>
        <v>70</v>
      </c>
      <c r="N429" s="944">
        <v>0</v>
      </c>
      <c r="O429" s="938">
        <v>0</v>
      </c>
      <c r="P429" s="938">
        <f t="shared" si="80"/>
        <v>70</v>
      </c>
      <c r="Q429" s="944">
        <f t="shared" si="75"/>
        <v>1</v>
      </c>
      <c r="R429" s="939">
        <f t="shared" si="76"/>
        <v>771.82551000000012</v>
      </c>
    </row>
    <row r="430" spans="1:18" s="130" customFormat="1" ht="21.95" customHeight="1" x14ac:dyDescent="0.2">
      <c r="A430" s="393" t="s">
        <v>91</v>
      </c>
      <c r="B430" s="959" t="s">
        <v>167</v>
      </c>
      <c r="C430" s="959" t="s">
        <v>830</v>
      </c>
      <c r="D430" s="940">
        <f>VLOOKUP($B430,'Análise Física Detalhada'!$E$382:$V$481,18,0)</f>
        <v>669.49231173505427</v>
      </c>
      <c r="E430" s="941">
        <f>VLOOKUP($B430,'Análise Física Detalhada'!$E$382:$P$480,12,0)</f>
        <v>0.125</v>
      </c>
      <c r="F430" s="942">
        <f t="shared" si="71"/>
        <v>83.686538966881784</v>
      </c>
      <c r="G430" s="943">
        <f>SUMIF('[2]Despesas Indiretas'!$B$5:$B$9944,$B430,'[2]Despesas Indiretas'!$H$5:$H$9944)</f>
        <v>0</v>
      </c>
      <c r="H430" s="943">
        <f>SUMIF('[3]Despesas Indiretas'!$B$5:$B$9999,$B430,'[3]Despesas Indiretas'!$H$5:$H$9999)</f>
        <v>0</v>
      </c>
      <c r="I430" s="943">
        <f>SUMIF([4]Comprometimento!$B$167:$B$308,$B430,[4]Comprometimento!$E$167:$E$308)</f>
        <v>0</v>
      </c>
      <c r="J430" s="943"/>
      <c r="K430" s="938">
        <f t="shared" si="78"/>
        <v>0</v>
      </c>
      <c r="L430" s="944">
        <f t="shared" si="77"/>
        <v>0</v>
      </c>
      <c r="M430" s="938">
        <f t="shared" si="79"/>
        <v>-83.686538966881784</v>
      </c>
      <c r="N430" s="944">
        <v>0</v>
      </c>
      <c r="O430" s="938">
        <v>-54.959082861111114</v>
      </c>
      <c r="P430" s="938">
        <f t="shared" si="80"/>
        <v>-28.727456105770671</v>
      </c>
      <c r="Q430" s="944">
        <f t="shared" si="75"/>
        <v>1</v>
      </c>
      <c r="R430" s="939">
        <f t="shared" si="76"/>
        <v>669.49231173505427</v>
      </c>
    </row>
    <row r="431" spans="1:18" s="130" customFormat="1" ht="21.95" customHeight="1" x14ac:dyDescent="0.2">
      <c r="A431" s="393" t="s">
        <v>91</v>
      </c>
      <c r="B431" s="959" t="s">
        <v>168</v>
      </c>
      <c r="C431" s="959" t="s">
        <v>169</v>
      </c>
      <c r="D431" s="940">
        <f>VLOOKUP($B431,'Análise Física Detalhada'!$E$382:$V$481,18,0)</f>
        <v>30665.706664763467</v>
      </c>
      <c r="E431" s="941">
        <f>VLOOKUP($B431,'Análise Física Detalhada'!$E$382:$P$480,12,0)</f>
        <v>0.125</v>
      </c>
      <c r="F431" s="942">
        <f t="shared" si="71"/>
        <v>3833.2133330954334</v>
      </c>
      <c r="G431" s="943">
        <f>SUMIF('[2]Despesas Indiretas'!$B$5:$B$9944,$B431,'[2]Despesas Indiretas'!$H$5:$H$9944)</f>
        <v>4518.43</v>
      </c>
      <c r="H431" s="943">
        <f>SUMIF('[3]Despesas Indiretas'!$B$5:$B$9999,$B431,'[3]Despesas Indiretas'!$H$5:$H$9999)</f>
        <v>0</v>
      </c>
      <c r="I431" s="943">
        <f>SUMIF([4]Comprometimento!$B$167:$B$308,$B431,[4]Comprometimento!$E$167:$E$308)</f>
        <v>0</v>
      </c>
      <c r="J431" s="943"/>
      <c r="K431" s="938">
        <f t="shared" si="78"/>
        <v>4518.43</v>
      </c>
      <c r="L431" s="944">
        <f t="shared" si="77"/>
        <v>1.1787577698816032</v>
      </c>
      <c r="M431" s="938">
        <f t="shared" si="79"/>
        <v>685.21666690456686</v>
      </c>
      <c r="N431" s="944">
        <v>1.4929993073372783</v>
      </c>
      <c r="O431" s="938">
        <v>1241.0611160833337</v>
      </c>
      <c r="P431" s="938">
        <f t="shared" si="80"/>
        <v>-555.84444917876681</v>
      </c>
      <c r="Q431" s="944">
        <f t="shared" si="75"/>
        <v>1</v>
      </c>
      <c r="R431" s="939">
        <f t="shared" si="76"/>
        <v>30665.706664763467</v>
      </c>
    </row>
    <row r="432" spans="1:18" s="130" customFormat="1" ht="21.95" customHeight="1" x14ac:dyDescent="0.2">
      <c r="A432" s="393" t="s">
        <v>91</v>
      </c>
      <c r="B432" s="959" t="s">
        <v>170</v>
      </c>
      <c r="C432" s="959" t="s">
        <v>556</v>
      </c>
      <c r="D432" s="940">
        <f>VLOOKUP($B432,'Análise Física Detalhada'!$E$382:$V$481,18,0)</f>
        <v>6155.5907725000006</v>
      </c>
      <c r="E432" s="941">
        <f>VLOOKUP($B432,'Análise Física Detalhada'!$E$382:$P$480,12,0)</f>
        <v>0.125</v>
      </c>
      <c r="F432" s="942">
        <f t="shared" si="71"/>
        <v>769.44884656250008</v>
      </c>
      <c r="G432" s="943">
        <f>SUMIF('[2]Despesas Indiretas'!$B$5:$B$9944,$B432,'[2]Despesas Indiretas'!$H$5:$H$9944)</f>
        <v>1080</v>
      </c>
      <c r="H432" s="943">
        <f>SUMIF('[3]Despesas Indiretas'!$B$5:$B$9999,$B432,'[3]Despesas Indiretas'!$H$5:$H$9999)</f>
        <v>0</v>
      </c>
      <c r="I432" s="943">
        <f>SUMIF([4]Comprometimento!$B$167:$B$308,$B432,[4]Comprometimento!$E$167:$E$308)</f>
        <v>0</v>
      </c>
      <c r="J432" s="943"/>
      <c r="K432" s="938">
        <f t="shared" si="78"/>
        <v>1080</v>
      </c>
      <c r="L432" s="944">
        <f t="shared" si="77"/>
        <v>1.4036020780652048</v>
      </c>
      <c r="M432" s="938">
        <f t="shared" si="79"/>
        <v>310.55115343749992</v>
      </c>
      <c r="N432" s="944">
        <v>0.71242455226095847</v>
      </c>
      <c r="O432" s="938">
        <v>-145.31666666666666</v>
      </c>
      <c r="P432" s="938">
        <f t="shared" si="80"/>
        <v>455.86782010416658</v>
      </c>
      <c r="Q432" s="944">
        <f t="shared" si="75"/>
        <v>1</v>
      </c>
      <c r="R432" s="939">
        <f t="shared" si="76"/>
        <v>6155.5907725000006</v>
      </c>
    </row>
    <row r="433" spans="1:18" s="130" customFormat="1" ht="21.95" customHeight="1" x14ac:dyDescent="0.2">
      <c r="A433" s="393" t="s">
        <v>91</v>
      </c>
      <c r="B433" s="959" t="s">
        <v>171</v>
      </c>
      <c r="C433" s="959" t="s">
        <v>381</v>
      </c>
      <c r="D433" s="940">
        <f>VLOOKUP($B433,'Análise Física Detalhada'!$E$382:$V$481,18,0)</f>
        <v>615.55907725000009</v>
      </c>
      <c r="E433" s="941">
        <f>VLOOKUP($B433,'Análise Física Detalhada'!$E$382:$P$480,12,0)</f>
        <v>0.125</v>
      </c>
      <c r="F433" s="942">
        <f t="shared" si="71"/>
        <v>76.944884656250011</v>
      </c>
      <c r="G433" s="943">
        <f>SUMIF('[2]Despesas Indiretas'!$B$5:$B$9944,$B433,'[2]Despesas Indiretas'!$H$5:$H$9944)</f>
        <v>0</v>
      </c>
      <c r="H433" s="943">
        <f>SUMIF('[3]Despesas Indiretas'!$B$5:$B$9999,$B433,'[3]Despesas Indiretas'!$H$5:$H$9999)</f>
        <v>0</v>
      </c>
      <c r="I433" s="943">
        <f>SUMIF([4]Comprometimento!$B$167:$B$308,$B433,[4]Comprometimento!$E$167:$E$308)</f>
        <v>0</v>
      </c>
      <c r="J433" s="943"/>
      <c r="K433" s="938">
        <f t="shared" si="78"/>
        <v>0</v>
      </c>
      <c r="L433" s="944">
        <f t="shared" si="77"/>
        <v>0</v>
      </c>
      <c r="M433" s="938">
        <f t="shared" si="79"/>
        <v>-76.944884656250011</v>
      </c>
      <c r="N433" s="944">
        <v>0</v>
      </c>
      <c r="O433" s="938">
        <v>-50.531666666666666</v>
      </c>
      <c r="P433" s="938">
        <f t="shared" si="80"/>
        <v>-26.413217989583345</v>
      </c>
      <c r="Q433" s="944">
        <f t="shared" si="75"/>
        <v>1</v>
      </c>
      <c r="R433" s="939">
        <f t="shared" si="76"/>
        <v>615.55907725000009</v>
      </c>
    </row>
    <row r="434" spans="1:18" s="130" customFormat="1" ht="21.95" customHeight="1" x14ac:dyDescent="0.2">
      <c r="A434" s="393" t="s">
        <v>91</v>
      </c>
      <c r="B434" s="959" t="s">
        <v>172</v>
      </c>
      <c r="C434" s="959" t="s">
        <v>174</v>
      </c>
      <c r="D434" s="940">
        <f>VLOOKUP($B434,'Análise Física Detalhada'!$E$382:$V$481,18,0)</f>
        <v>718.15225679166679</v>
      </c>
      <c r="E434" s="941">
        <f>VLOOKUP($B434,'Análise Física Detalhada'!$E$382:$P$480,12,0)</f>
        <v>0.125</v>
      </c>
      <c r="F434" s="942">
        <f t="shared" si="71"/>
        <v>89.769032098958348</v>
      </c>
      <c r="G434" s="943">
        <f>SUMIF('[2]Despesas Indiretas'!$B$5:$B$9944,$B434,'[2]Despesas Indiretas'!$H$5:$H$9944)</f>
        <v>0</v>
      </c>
      <c r="H434" s="943">
        <f>SUMIF('[3]Despesas Indiretas'!$B$5:$B$9999,$B434,'[3]Despesas Indiretas'!$H$5:$H$9999)</f>
        <v>0</v>
      </c>
      <c r="I434" s="943">
        <f>SUMIF([4]Comprometimento!$B$167:$B$308,$B434,[4]Comprometimento!$E$167:$E$308)</f>
        <v>0</v>
      </c>
      <c r="J434" s="943"/>
      <c r="K434" s="938">
        <f t="shared" si="78"/>
        <v>0</v>
      </c>
      <c r="L434" s="944">
        <f t="shared" si="77"/>
        <v>0</v>
      </c>
      <c r="M434" s="938">
        <f t="shared" si="79"/>
        <v>-89.769032098958348</v>
      </c>
      <c r="N434" s="944">
        <v>0</v>
      </c>
      <c r="O434" s="938">
        <v>-58.953611111111115</v>
      </c>
      <c r="P434" s="938">
        <f t="shared" si="80"/>
        <v>-30.815420987847233</v>
      </c>
      <c r="Q434" s="944">
        <f t="shared" si="75"/>
        <v>1</v>
      </c>
      <c r="R434" s="939">
        <f t="shared" si="76"/>
        <v>718.15225679166679</v>
      </c>
    </row>
    <row r="435" spans="1:18" s="130" customFormat="1" ht="21.95" customHeight="1" x14ac:dyDescent="0.2">
      <c r="A435" s="393" t="s">
        <v>91</v>
      </c>
      <c r="B435" s="959" t="s">
        <v>173</v>
      </c>
      <c r="C435" s="959" t="s">
        <v>2349</v>
      </c>
      <c r="D435" s="940">
        <f>VLOOKUP($B435,'Análise Física Detalhada'!$E$382:$V$481,18,0)</f>
        <v>6174.604080000001</v>
      </c>
      <c r="E435" s="941">
        <f>VLOOKUP($B435,'Análise Física Detalhada'!$E$382:$P$480,12,0)</f>
        <v>0</v>
      </c>
      <c r="F435" s="942">
        <f t="shared" si="71"/>
        <v>0</v>
      </c>
      <c r="G435" s="943">
        <f>SUMIF('[2]Despesas Indiretas'!$B$5:$B$9944,$B435,'[2]Despesas Indiretas'!$H$5:$H$9944)</f>
        <v>0</v>
      </c>
      <c r="H435" s="943">
        <f>SUMIF('[3]Despesas Indiretas'!$B$5:$B$9999,$B435,'[3]Despesas Indiretas'!$H$5:$H$9999)</f>
        <v>0</v>
      </c>
      <c r="I435" s="943">
        <f>SUMIF([4]Comprometimento!$B$167:$B$308,$B435,[4]Comprometimento!$E$167:$E$308)</f>
        <v>0</v>
      </c>
      <c r="J435" s="943"/>
      <c r="K435" s="938">
        <f t="shared" si="78"/>
        <v>0</v>
      </c>
      <c r="L435" s="944">
        <f t="shared" si="77"/>
        <v>0</v>
      </c>
      <c r="M435" s="938">
        <f t="shared" si="79"/>
        <v>0</v>
      </c>
      <c r="N435" s="944">
        <v>0</v>
      </c>
      <c r="O435" s="938">
        <v>0</v>
      </c>
      <c r="P435" s="938">
        <f t="shared" si="80"/>
        <v>0</v>
      </c>
      <c r="Q435" s="944">
        <f t="shared" si="75"/>
        <v>1</v>
      </c>
      <c r="R435" s="939">
        <f t="shared" si="76"/>
        <v>6174.604080000001</v>
      </c>
    </row>
    <row r="436" spans="1:18" s="130" customFormat="1" ht="21.95" customHeight="1" x14ac:dyDescent="0.2">
      <c r="A436" s="393" t="s">
        <v>91</v>
      </c>
      <c r="B436" s="959" t="s">
        <v>175</v>
      </c>
      <c r="C436" s="959" t="s">
        <v>474</v>
      </c>
      <c r="D436" s="940">
        <f>VLOOKUP($B436,'Análise Física Detalhada'!$E$382:$V$481,18,0)</f>
        <v>1832.5195808760004</v>
      </c>
      <c r="E436" s="941">
        <f>VLOOKUP($B436,'Análise Física Detalhada'!$E$382:$P$480,12,0)</f>
        <v>0</v>
      </c>
      <c r="F436" s="942">
        <f t="shared" si="71"/>
        <v>0</v>
      </c>
      <c r="G436" s="943">
        <f>SUMIF('[2]Despesas Indiretas'!$B$5:$B$9944,$B436,'[2]Despesas Indiretas'!$H$5:$H$9944)</f>
        <v>0</v>
      </c>
      <c r="H436" s="943">
        <f>SUMIF('[3]Despesas Indiretas'!$B$5:$B$9999,$B436,'[3]Despesas Indiretas'!$H$5:$H$9999)</f>
        <v>0</v>
      </c>
      <c r="I436" s="943">
        <f>SUMIF([4]Comprometimento!$B$167:$B$308,$B436,[4]Comprometimento!$E$167:$E$308)</f>
        <v>0</v>
      </c>
      <c r="J436" s="943"/>
      <c r="K436" s="938">
        <f t="shared" si="78"/>
        <v>0</v>
      </c>
      <c r="L436" s="944">
        <f t="shared" si="77"/>
        <v>0</v>
      </c>
      <c r="M436" s="938">
        <f t="shared" si="79"/>
        <v>0</v>
      </c>
      <c r="N436" s="944">
        <v>0</v>
      </c>
      <c r="O436" s="938">
        <v>0</v>
      </c>
      <c r="P436" s="938">
        <f t="shared" si="80"/>
        <v>0</v>
      </c>
      <c r="Q436" s="944">
        <f t="shared" si="75"/>
        <v>1</v>
      </c>
      <c r="R436" s="939">
        <f t="shared" si="76"/>
        <v>1832.5195808760004</v>
      </c>
    </row>
    <row r="437" spans="1:18" s="130" customFormat="1" ht="21.95" customHeight="1" x14ac:dyDescent="0.2">
      <c r="A437" s="393" t="s">
        <v>91</v>
      </c>
      <c r="B437" s="959" t="s">
        <v>176</v>
      </c>
      <c r="C437" s="959" t="s">
        <v>502</v>
      </c>
      <c r="D437" s="940">
        <f>VLOOKUP($B437,'Análise Física Detalhada'!$E$382:$V$481,18,0)</f>
        <v>360.18523800000003</v>
      </c>
      <c r="E437" s="941">
        <f>VLOOKUP($B437,'Análise Física Detalhada'!$E$382:$P$480,12,0)</f>
        <v>0</v>
      </c>
      <c r="F437" s="942">
        <f t="shared" si="71"/>
        <v>0</v>
      </c>
      <c r="G437" s="943">
        <f>SUMIF('[2]Despesas Indiretas'!$B$5:$B$9944,$B437,'[2]Despesas Indiretas'!$H$5:$H$9944)</f>
        <v>0</v>
      </c>
      <c r="H437" s="943">
        <f>SUMIF('[3]Despesas Indiretas'!$B$5:$B$9999,$B437,'[3]Despesas Indiretas'!$H$5:$H$9999)</f>
        <v>0</v>
      </c>
      <c r="I437" s="943">
        <f>SUMIF([4]Comprometimento!$B$167:$B$308,$B437,[4]Comprometimento!$E$167:$E$308)</f>
        <v>0</v>
      </c>
      <c r="J437" s="943"/>
      <c r="K437" s="938">
        <f t="shared" si="78"/>
        <v>0</v>
      </c>
      <c r="L437" s="944">
        <f t="shared" si="77"/>
        <v>0</v>
      </c>
      <c r="M437" s="938">
        <f t="shared" si="79"/>
        <v>0</v>
      </c>
      <c r="N437" s="944">
        <v>0</v>
      </c>
      <c r="O437" s="938">
        <v>0</v>
      </c>
      <c r="P437" s="938">
        <f t="shared" si="80"/>
        <v>0</v>
      </c>
      <c r="Q437" s="944">
        <f t="shared" si="75"/>
        <v>1</v>
      </c>
      <c r="R437" s="939">
        <f t="shared" si="76"/>
        <v>360.18523800000003</v>
      </c>
    </row>
    <row r="438" spans="1:18" s="130" customFormat="1" ht="21.95" customHeight="1" x14ac:dyDescent="0.2">
      <c r="A438" s="393" t="s">
        <v>91</v>
      </c>
      <c r="B438" s="959" t="s">
        <v>177</v>
      </c>
      <c r="C438" s="959" t="s">
        <v>2158</v>
      </c>
      <c r="D438" s="940">
        <f>VLOOKUP($B438,'Análise Física Detalhada'!$E$382:$V$481,18,0)</f>
        <v>67920.644880000007</v>
      </c>
      <c r="E438" s="941">
        <f>VLOOKUP($B438,'Análise Física Detalhada'!$E$382:$P$480,12,0)</f>
        <v>0</v>
      </c>
      <c r="F438" s="942">
        <f t="shared" si="71"/>
        <v>0</v>
      </c>
      <c r="G438" s="943">
        <f>SUMIF('[2]Despesas Indiretas'!$B$5:$B$9944,$B438,'[2]Despesas Indiretas'!$H$5:$H$9944)</f>
        <v>0</v>
      </c>
      <c r="H438" s="943">
        <f>SUMIF('[3]Despesas Indiretas'!$B$5:$B$9999,$B438,'[3]Despesas Indiretas'!$H$5:$H$9999)</f>
        <v>0</v>
      </c>
      <c r="I438" s="943">
        <f>SUMIF([4]Comprometimento!$B$167:$B$308,$B438,[4]Comprometimento!$E$167:$E$308)</f>
        <v>0</v>
      </c>
      <c r="J438" s="943"/>
      <c r="K438" s="938">
        <f t="shared" si="78"/>
        <v>0</v>
      </c>
      <c r="L438" s="944">
        <f t="shared" si="77"/>
        <v>0</v>
      </c>
      <c r="M438" s="938">
        <f t="shared" si="79"/>
        <v>0</v>
      </c>
      <c r="N438" s="944">
        <v>0</v>
      </c>
      <c r="O438" s="938">
        <v>0</v>
      </c>
      <c r="P438" s="938">
        <f t="shared" si="80"/>
        <v>0</v>
      </c>
      <c r="Q438" s="944">
        <f t="shared" si="75"/>
        <v>1</v>
      </c>
      <c r="R438" s="939">
        <f t="shared" si="76"/>
        <v>67920.644880000007</v>
      </c>
    </row>
    <row r="439" spans="1:18" s="130" customFormat="1" ht="21.95" customHeight="1" x14ac:dyDescent="0.2">
      <c r="A439" s="393" t="s">
        <v>91</v>
      </c>
      <c r="B439" s="959" t="s">
        <v>178</v>
      </c>
      <c r="C439" s="959" t="s">
        <v>488</v>
      </c>
      <c r="D439" s="940">
        <f>VLOOKUP($B439,'Análise Física Detalhada'!$E$382:$V$481,18,0)</f>
        <v>20376.193464000004</v>
      </c>
      <c r="E439" s="941">
        <f>VLOOKUP($B439,'Análise Física Detalhada'!$E$382:$P$480,12,0)</f>
        <v>0</v>
      </c>
      <c r="F439" s="942">
        <f t="shared" si="71"/>
        <v>0</v>
      </c>
      <c r="G439" s="943">
        <f>SUMIF('[2]Despesas Indiretas'!$B$5:$B$9944,$B439,'[2]Despesas Indiretas'!$H$5:$H$9944)</f>
        <v>0</v>
      </c>
      <c r="H439" s="943">
        <f>SUMIF('[3]Despesas Indiretas'!$B$5:$B$9999,$B439,'[3]Despesas Indiretas'!$H$5:$H$9999)</f>
        <v>0</v>
      </c>
      <c r="I439" s="943">
        <f>SUMIF([4]Comprometimento!$B$167:$B$308,$B439,[4]Comprometimento!$E$167:$E$308)</f>
        <v>0</v>
      </c>
      <c r="J439" s="943"/>
      <c r="K439" s="938">
        <f t="shared" si="78"/>
        <v>0</v>
      </c>
      <c r="L439" s="944">
        <f t="shared" si="77"/>
        <v>0</v>
      </c>
      <c r="M439" s="938">
        <f t="shared" si="79"/>
        <v>0</v>
      </c>
      <c r="N439" s="944">
        <v>0</v>
      </c>
      <c r="O439" s="938">
        <v>0</v>
      </c>
      <c r="P439" s="938">
        <f t="shared" si="80"/>
        <v>0</v>
      </c>
      <c r="Q439" s="944">
        <f t="shared" si="75"/>
        <v>1</v>
      </c>
      <c r="R439" s="939">
        <f t="shared" si="76"/>
        <v>20376.193464000004</v>
      </c>
    </row>
    <row r="440" spans="1:18" s="130" customFormat="1" ht="21.95" customHeight="1" x14ac:dyDescent="0.2">
      <c r="A440" s="393" t="s">
        <v>91</v>
      </c>
      <c r="B440" s="967" t="s">
        <v>557</v>
      </c>
      <c r="C440" s="967" t="s">
        <v>558</v>
      </c>
      <c r="D440" s="940">
        <f>VLOOKUP($B440,'Análise Física Detalhada'!$E$382:$V$481,18,0)</f>
        <v>0</v>
      </c>
      <c r="E440" s="941">
        <f>VLOOKUP($B440,'Análise Física Detalhada'!$E$382:$P$480,12,0)</f>
        <v>0</v>
      </c>
      <c r="F440" s="942">
        <f t="shared" si="71"/>
        <v>0</v>
      </c>
      <c r="G440" s="943">
        <f>SUMIF('[2]Despesas Indiretas'!$B$5:$B$9944,$B440,'[2]Despesas Indiretas'!$H$5:$H$9944)</f>
        <v>0</v>
      </c>
      <c r="H440" s="943">
        <f>SUMIF('[3]Despesas Indiretas'!$B$5:$B$9999,$B440,'[3]Despesas Indiretas'!$H$5:$H$9999)</f>
        <v>0</v>
      </c>
      <c r="I440" s="943">
        <f>SUMIF([4]Comprometimento!$B$167:$B$308,$B440,[4]Comprometimento!$E$167:$E$308)</f>
        <v>0</v>
      </c>
      <c r="J440" s="943"/>
      <c r="K440" s="938">
        <f t="shared" si="78"/>
        <v>0</v>
      </c>
      <c r="L440" s="944">
        <f t="shared" si="77"/>
        <v>0</v>
      </c>
      <c r="M440" s="938">
        <f t="shared" si="79"/>
        <v>0</v>
      </c>
      <c r="N440" s="944">
        <v>0</v>
      </c>
      <c r="O440" s="938">
        <v>0</v>
      </c>
      <c r="P440" s="938">
        <f t="shared" si="80"/>
        <v>0</v>
      </c>
      <c r="Q440" s="944">
        <f t="shared" si="75"/>
        <v>0</v>
      </c>
      <c r="R440" s="939">
        <f t="shared" si="76"/>
        <v>0</v>
      </c>
    </row>
    <row r="441" spans="1:18" s="130" customFormat="1" ht="21.95" customHeight="1" x14ac:dyDescent="0.2">
      <c r="A441" s="393" t="s">
        <v>91</v>
      </c>
      <c r="B441" s="959" t="s">
        <v>559</v>
      </c>
      <c r="C441" s="959" t="s">
        <v>463</v>
      </c>
      <c r="D441" s="940">
        <f>VLOOKUP($B441,'Análise Física Detalhada'!$E$382:$V$481,18,0)</f>
        <v>2610.0154356228004</v>
      </c>
      <c r="E441" s="941">
        <f>VLOOKUP($B441,'Análise Física Detalhada'!$E$382:$P$480,12,0)</f>
        <v>0</v>
      </c>
      <c r="F441" s="942">
        <f t="shared" si="71"/>
        <v>0</v>
      </c>
      <c r="G441" s="943">
        <f>SUMIF('[2]Despesas Indiretas'!$B$5:$B$9944,$B441,'[2]Despesas Indiretas'!$H$5:$H$9944)</f>
        <v>0</v>
      </c>
      <c r="H441" s="943">
        <f>SUMIF('[3]Despesas Indiretas'!$B$5:$B$9999,$B441,'[3]Despesas Indiretas'!$H$5:$H$9999)</f>
        <v>0</v>
      </c>
      <c r="I441" s="943">
        <f>SUMIF([4]Comprometimento!$B$167:$B$308,$B441,[4]Comprometimento!$E$167:$E$308)</f>
        <v>0</v>
      </c>
      <c r="J441" s="943"/>
      <c r="K441" s="938">
        <f t="shared" si="78"/>
        <v>0</v>
      </c>
      <c r="L441" s="944">
        <f t="shared" si="77"/>
        <v>0</v>
      </c>
      <c r="M441" s="938">
        <f t="shared" si="79"/>
        <v>0</v>
      </c>
      <c r="N441" s="944">
        <v>0</v>
      </c>
      <c r="O441" s="938">
        <v>0</v>
      </c>
      <c r="P441" s="938">
        <f t="shared" si="80"/>
        <v>0</v>
      </c>
      <c r="Q441" s="944">
        <f t="shared" si="75"/>
        <v>1</v>
      </c>
      <c r="R441" s="939">
        <f t="shared" si="76"/>
        <v>2610.0154356228004</v>
      </c>
    </row>
    <row r="442" spans="1:18" s="130" customFormat="1" ht="21.95" customHeight="1" x14ac:dyDescent="0.2">
      <c r="A442" s="393" t="s">
        <v>91</v>
      </c>
      <c r="B442" s="959" t="s">
        <v>560</v>
      </c>
      <c r="C442" s="959" t="s">
        <v>462</v>
      </c>
      <c r="D442" s="940">
        <f>VLOOKUP($B442,'Análise Física Detalhada'!$E$382:$V$481,18,0)</f>
        <v>13378.308840000002</v>
      </c>
      <c r="E442" s="941">
        <f>VLOOKUP($B442,'Análise Física Detalhada'!$E$382:$P$480,12,0)</f>
        <v>0</v>
      </c>
      <c r="F442" s="942">
        <f t="shared" si="71"/>
        <v>0</v>
      </c>
      <c r="G442" s="943">
        <f>SUMIF('[2]Despesas Indiretas'!$B$5:$B$9944,$B442,'[2]Despesas Indiretas'!$H$5:$H$9944)</f>
        <v>0</v>
      </c>
      <c r="H442" s="943">
        <f>SUMIF('[3]Despesas Indiretas'!$B$5:$B$9999,$B442,'[3]Despesas Indiretas'!$H$5:$H$9999)</f>
        <v>0</v>
      </c>
      <c r="I442" s="943">
        <f>SUMIF([4]Comprometimento!$B$167:$B$308,$B442,[4]Comprometimento!$E$167:$E$308)</f>
        <v>0</v>
      </c>
      <c r="J442" s="943"/>
      <c r="K442" s="938">
        <f t="shared" si="78"/>
        <v>0</v>
      </c>
      <c r="L442" s="944">
        <f t="shared" si="77"/>
        <v>0</v>
      </c>
      <c r="M442" s="938">
        <f t="shared" si="79"/>
        <v>0</v>
      </c>
      <c r="N442" s="944">
        <v>0</v>
      </c>
      <c r="O442" s="938">
        <v>0</v>
      </c>
      <c r="P442" s="938">
        <f t="shared" si="80"/>
        <v>0</v>
      </c>
      <c r="Q442" s="944">
        <f t="shared" si="75"/>
        <v>1</v>
      </c>
      <c r="R442" s="939">
        <f t="shared" si="76"/>
        <v>13378.308840000002</v>
      </c>
    </row>
    <row r="443" spans="1:18" s="130" customFormat="1" ht="21.95" customHeight="1" x14ac:dyDescent="0.2">
      <c r="A443" s="393" t="s">
        <v>91</v>
      </c>
      <c r="B443" s="959" t="s">
        <v>561</v>
      </c>
      <c r="C443" s="959" t="s">
        <v>461</v>
      </c>
      <c r="D443" s="940">
        <f>VLOOKUP($B443,'Análise Física Detalhada'!$E$382:$V$481,18,0)</f>
        <v>1413.4286199528003</v>
      </c>
      <c r="E443" s="941">
        <f>VLOOKUP($B443,'Análise Física Detalhada'!$E$382:$P$480,12,0)</f>
        <v>0</v>
      </c>
      <c r="F443" s="942">
        <f t="shared" si="71"/>
        <v>0</v>
      </c>
      <c r="G443" s="943">
        <f>SUMIF('[2]Despesas Indiretas'!$B$5:$B$9944,$B443,'[2]Despesas Indiretas'!$H$5:$H$9944)</f>
        <v>0</v>
      </c>
      <c r="H443" s="943">
        <f>SUMIF('[3]Despesas Indiretas'!$B$5:$B$9999,$B443,'[3]Despesas Indiretas'!$H$5:$H$9999)</f>
        <v>0</v>
      </c>
      <c r="I443" s="943">
        <f>SUMIF([4]Comprometimento!$B$167:$B$308,$B443,[4]Comprometimento!$E$167:$E$308)</f>
        <v>0</v>
      </c>
      <c r="J443" s="943"/>
      <c r="K443" s="938">
        <f t="shared" si="78"/>
        <v>0</v>
      </c>
      <c r="L443" s="944">
        <f t="shared" si="77"/>
        <v>0</v>
      </c>
      <c r="M443" s="938">
        <f t="shared" si="79"/>
        <v>0</v>
      </c>
      <c r="N443" s="944">
        <v>0</v>
      </c>
      <c r="O443" s="938">
        <v>0</v>
      </c>
      <c r="P443" s="938">
        <f t="shared" si="80"/>
        <v>0</v>
      </c>
      <c r="Q443" s="944">
        <f t="shared" si="75"/>
        <v>1</v>
      </c>
      <c r="R443" s="939">
        <f t="shared" si="76"/>
        <v>1413.4286199528003</v>
      </c>
    </row>
    <row r="444" spans="1:18" s="130" customFormat="1" ht="21.95" customHeight="1" x14ac:dyDescent="0.2">
      <c r="A444" s="393" t="s">
        <v>91</v>
      </c>
      <c r="B444" s="959" t="s">
        <v>562</v>
      </c>
      <c r="C444" s="959" t="s">
        <v>2159</v>
      </c>
      <c r="D444" s="940">
        <f>VLOOKUP($B444,'Análise Física Detalhada'!$E$382:$V$481,18,0)</f>
        <v>6792.0644880000009</v>
      </c>
      <c r="E444" s="941">
        <f>VLOOKUP($B444,'Análise Física Detalhada'!$E$382:$P$480,12,0)</f>
        <v>0</v>
      </c>
      <c r="F444" s="942">
        <f t="shared" si="71"/>
        <v>0</v>
      </c>
      <c r="G444" s="943">
        <f>SUMIF('[2]Despesas Indiretas'!$B$5:$B$9944,$B444,'[2]Despesas Indiretas'!$H$5:$H$9944)</f>
        <v>0</v>
      </c>
      <c r="H444" s="943">
        <f>SUMIF('[3]Despesas Indiretas'!$B$5:$B$9999,$B444,'[3]Despesas Indiretas'!$H$5:$H$9999)</f>
        <v>0</v>
      </c>
      <c r="I444" s="943">
        <f>SUMIF([4]Comprometimento!$B$167:$B$308,$B444,[4]Comprometimento!$E$167:$E$308)</f>
        <v>0</v>
      </c>
      <c r="J444" s="943"/>
      <c r="K444" s="938">
        <f t="shared" si="78"/>
        <v>0</v>
      </c>
      <c r="L444" s="944">
        <f t="shared" si="77"/>
        <v>0</v>
      </c>
      <c r="M444" s="938">
        <f t="shared" si="79"/>
        <v>0</v>
      </c>
      <c r="N444" s="944">
        <v>0</v>
      </c>
      <c r="O444" s="938">
        <v>0</v>
      </c>
      <c r="P444" s="938">
        <f t="shared" si="80"/>
        <v>0</v>
      </c>
      <c r="Q444" s="944">
        <f t="shared" si="75"/>
        <v>1</v>
      </c>
      <c r="R444" s="939">
        <f t="shared" si="76"/>
        <v>6792.0644880000009</v>
      </c>
    </row>
    <row r="445" spans="1:18" s="130" customFormat="1" ht="21.95" customHeight="1" x14ac:dyDescent="0.2">
      <c r="A445" s="393" t="s">
        <v>91</v>
      </c>
      <c r="B445" s="959" t="s">
        <v>563</v>
      </c>
      <c r="C445" s="959" t="s">
        <v>431</v>
      </c>
      <c r="D445" s="940">
        <f>VLOOKUP($B445,'Análise Física Detalhada'!$E$382:$V$481,18,0)</f>
        <v>3239.0420400000003</v>
      </c>
      <c r="E445" s="941">
        <f>VLOOKUP($B445,'Análise Física Detalhada'!$E$382:$P$480,12,0)</f>
        <v>4.7619047619047616E-2</v>
      </c>
      <c r="F445" s="942">
        <f t="shared" ref="F445:F474" si="83">E445*D445</f>
        <v>154.24009714285714</v>
      </c>
      <c r="G445" s="943">
        <f>SUMIF('[2]Despesas Indiretas'!$B$5:$B$9944,$B445,'[2]Despesas Indiretas'!$H$5:$H$9944)</f>
        <v>0</v>
      </c>
      <c r="H445" s="943">
        <f>SUMIF('[3]Despesas Indiretas'!$B$5:$B$9999,$B445,'[3]Despesas Indiretas'!$H$5:$H$9999)</f>
        <v>0</v>
      </c>
      <c r="I445" s="943">
        <f>SUMIF([4]Comprometimento!$B$167:$B$308,$B445,[4]Comprometimento!$E$167:$E$308)</f>
        <v>0</v>
      </c>
      <c r="J445" s="943"/>
      <c r="K445" s="938">
        <f t="shared" si="78"/>
        <v>0</v>
      </c>
      <c r="L445" s="944">
        <f t="shared" si="77"/>
        <v>0</v>
      </c>
      <c r="M445" s="938">
        <f t="shared" si="79"/>
        <v>-154.24009714285714</v>
      </c>
      <c r="N445" s="944">
        <v>0</v>
      </c>
      <c r="O445" s="938">
        <v>0</v>
      </c>
      <c r="P445" s="938">
        <f t="shared" si="80"/>
        <v>-154.24009714285714</v>
      </c>
      <c r="Q445" s="944">
        <f t="shared" si="75"/>
        <v>1</v>
      </c>
      <c r="R445" s="939">
        <f t="shared" si="76"/>
        <v>3239.0420400000003</v>
      </c>
    </row>
    <row r="446" spans="1:18" s="130" customFormat="1" ht="21.95" customHeight="1" x14ac:dyDescent="0.2">
      <c r="A446" s="393" t="s">
        <v>95</v>
      </c>
      <c r="B446" s="161" t="s">
        <v>95</v>
      </c>
      <c r="C446" s="161" t="s">
        <v>564</v>
      </c>
      <c r="D446" s="163">
        <f>VLOOKUP($B446,'Análise Física Detalhada'!$E$382:$V$481,18,0)</f>
        <v>319377.48576056288</v>
      </c>
      <c r="E446" s="530">
        <f>F446/D446</f>
        <v>0.16125337010391749</v>
      </c>
      <c r="F446" s="163">
        <f>SUM(F447:F472)</f>
        <v>51500.695914206684</v>
      </c>
      <c r="G446" s="163">
        <f>SUM(G447:G472)</f>
        <v>43302.14</v>
      </c>
      <c r="H446" s="163">
        <f t="shared" ref="H446:K446" si="84">SUM(H447:H472)</f>
        <v>4273.3799999999992</v>
      </c>
      <c r="I446" s="163">
        <f t="shared" si="84"/>
        <v>0</v>
      </c>
      <c r="J446" s="163">
        <f t="shared" si="84"/>
        <v>0</v>
      </c>
      <c r="K446" s="163">
        <f t="shared" si="84"/>
        <v>47575.520000000004</v>
      </c>
      <c r="L446" s="538">
        <f t="shared" si="77"/>
        <v>0.92378402185583086</v>
      </c>
      <c r="M446" s="1000">
        <f t="shared" si="79"/>
        <v>-3925.1759142066803</v>
      </c>
      <c r="N446" s="538">
        <v>0.93163259107645946</v>
      </c>
      <c r="O446" s="1000">
        <v>-2492.1536520277878</v>
      </c>
      <c r="P446" s="1000">
        <f t="shared" si="80"/>
        <v>-1433.0222621788926</v>
      </c>
      <c r="Q446" s="538">
        <f t="shared" si="75"/>
        <v>1</v>
      </c>
      <c r="R446" s="1000">
        <f t="shared" si="76"/>
        <v>319377.48576056288</v>
      </c>
    </row>
    <row r="447" spans="1:18" s="130" customFormat="1" ht="21.95" customHeight="1" x14ac:dyDescent="0.2">
      <c r="A447" s="393" t="s">
        <v>95</v>
      </c>
      <c r="B447" s="967" t="s">
        <v>565</v>
      </c>
      <c r="C447" s="967" t="s">
        <v>566</v>
      </c>
      <c r="D447" s="940">
        <f>VLOOKUP($B447,'Análise Física Detalhada'!$E$382:$V$481,18,0)</f>
        <v>0</v>
      </c>
      <c r="E447" s="941">
        <f>VLOOKUP($B447,'Análise Física Detalhada'!$E$382:$P$480,12,0)</f>
        <v>0</v>
      </c>
      <c r="F447" s="942">
        <f t="shared" si="83"/>
        <v>0</v>
      </c>
      <c r="G447" s="943">
        <f>SUMIF('[2]Despesas Indiretas'!$B$5:$B$9944,$B447,'[2]Despesas Indiretas'!$H$5:$H$9944)</f>
        <v>0</v>
      </c>
      <c r="H447" s="943">
        <f>SUMIF('[3]Despesas Indiretas'!$B$5:$B$9999,$B447,'[3]Despesas Indiretas'!$H$5:$H$9999)</f>
        <v>0</v>
      </c>
      <c r="I447" s="943">
        <f>SUMIF([4]Comprometimento!$B$167:$B$308,$B447,[4]Comprometimento!$E$167:$E$308)</f>
        <v>0</v>
      </c>
      <c r="J447" s="943"/>
      <c r="K447" s="938">
        <f t="shared" si="78"/>
        <v>0</v>
      </c>
      <c r="L447" s="944">
        <f t="shared" si="77"/>
        <v>0</v>
      </c>
      <c r="M447" s="938">
        <f t="shared" si="79"/>
        <v>0</v>
      </c>
      <c r="N447" s="944">
        <v>0</v>
      </c>
      <c r="O447" s="938">
        <v>0</v>
      </c>
      <c r="P447" s="938">
        <f t="shared" si="80"/>
        <v>0</v>
      </c>
      <c r="Q447" s="944">
        <f t="shared" si="75"/>
        <v>0</v>
      </c>
      <c r="R447" s="939">
        <f t="shared" si="76"/>
        <v>0</v>
      </c>
    </row>
    <row r="448" spans="1:18" s="130" customFormat="1" ht="21.95" customHeight="1" x14ac:dyDescent="0.2">
      <c r="A448" s="393" t="s">
        <v>95</v>
      </c>
      <c r="B448" s="959" t="s">
        <v>567</v>
      </c>
      <c r="C448" s="959" t="s">
        <v>831</v>
      </c>
      <c r="D448" s="940">
        <f>VLOOKUP($B448,'Análise Física Detalhada'!$E$382:$V$481,18,0)</f>
        <v>22570.499499166668</v>
      </c>
      <c r="E448" s="941">
        <f>VLOOKUP($B448,'Análise Física Detalhada'!$E$382:$P$480,12,0)</f>
        <v>0.125</v>
      </c>
      <c r="F448" s="942">
        <f t="shared" si="83"/>
        <v>2821.3124373958335</v>
      </c>
      <c r="G448" s="943">
        <f>SUMIF('[2]Despesas Indiretas'!$B$5:$B$9944,$B448,'[2]Despesas Indiretas'!$H$5:$H$9944)</f>
        <v>723.20999999999992</v>
      </c>
      <c r="H448" s="943">
        <f>SUMIF('[3]Despesas Indiretas'!$B$5:$B$9999,$B448,'[3]Despesas Indiretas'!$H$5:$H$9999)</f>
        <v>0</v>
      </c>
      <c r="I448" s="943">
        <f>SUMIF([4]Comprometimento!$B$167:$B$308,$B448,[4]Comprometimento!$E$167:$E$308)</f>
        <v>0</v>
      </c>
      <c r="J448" s="943"/>
      <c r="K448" s="938">
        <f t="shared" si="78"/>
        <v>723.20999999999992</v>
      </c>
      <c r="L448" s="944">
        <f t="shared" si="77"/>
        <v>0.2563381461811961</v>
      </c>
      <c r="M448" s="938">
        <f t="shared" si="79"/>
        <v>-2098.1024373958335</v>
      </c>
      <c r="N448" s="944">
        <v>2.1680374442668713E-2</v>
      </c>
      <c r="O448" s="938">
        <v>-1812.6577777777777</v>
      </c>
      <c r="P448" s="938">
        <f t="shared" si="80"/>
        <v>-285.44465961805577</v>
      </c>
      <c r="Q448" s="944">
        <f t="shared" si="75"/>
        <v>1</v>
      </c>
      <c r="R448" s="939">
        <f t="shared" si="76"/>
        <v>22570.499499166668</v>
      </c>
    </row>
    <row r="449" spans="1:18" s="130" customFormat="1" ht="21.95" customHeight="1" x14ac:dyDescent="0.2">
      <c r="A449" s="393" t="s">
        <v>95</v>
      </c>
      <c r="B449" s="959" t="s">
        <v>568</v>
      </c>
      <c r="C449" s="959" t="s">
        <v>832</v>
      </c>
      <c r="D449" s="940">
        <f>VLOOKUP($B449,'Análise Física Detalhada'!$E$382:$V$481,18,0)</f>
        <v>20313.449549250003</v>
      </c>
      <c r="E449" s="941">
        <f>VLOOKUP($B449,'Análise Física Detalhada'!$E$382:$P$480,12,0)</f>
        <v>0.125</v>
      </c>
      <c r="F449" s="942">
        <f t="shared" ref="F449" si="85">E449*D449</f>
        <v>2539.1811936562503</v>
      </c>
      <c r="G449" s="943">
        <f>SUMIF('[2]Despesas Indiretas'!$B$5:$B$9944,$B449,'[2]Despesas Indiretas'!$H$5:$H$9944)</f>
        <v>13006.210000000001</v>
      </c>
      <c r="H449" s="943">
        <f>SUMIF('[3]Despesas Indiretas'!$B$5:$B$9999,$B449,'[3]Despesas Indiretas'!$H$5:$H$9999)</f>
        <v>0</v>
      </c>
      <c r="I449" s="943">
        <f>SUMIF([4]Comprometimento!$B$167:$B$308,$B449,[4]Comprometimento!$E$167:$E$308)</f>
        <v>0</v>
      </c>
      <c r="J449" s="943"/>
      <c r="K449" s="938">
        <f t="shared" si="78"/>
        <v>13006.210000000001</v>
      </c>
      <c r="L449" s="944">
        <f t="shared" si="77"/>
        <v>5.1222063366308772</v>
      </c>
      <c r="M449" s="938">
        <f t="shared" si="79"/>
        <v>10467.028806343751</v>
      </c>
      <c r="N449" s="944">
        <v>7.7996156025774424</v>
      </c>
      <c r="O449" s="938">
        <v>11338.665000000001</v>
      </c>
      <c r="P449" s="938">
        <f t="shared" si="80"/>
        <v>-871.63619365624982</v>
      </c>
      <c r="Q449" s="944">
        <f t="shared" si="75"/>
        <v>1</v>
      </c>
      <c r="R449" s="939">
        <f t="shared" si="76"/>
        <v>20313.449549250003</v>
      </c>
    </row>
    <row r="450" spans="1:18" s="130" customFormat="1" ht="21.95" customHeight="1" x14ac:dyDescent="0.2">
      <c r="A450" s="393" t="s">
        <v>95</v>
      </c>
      <c r="B450" s="959" t="s">
        <v>569</v>
      </c>
      <c r="C450" s="959" t="s">
        <v>2362</v>
      </c>
      <c r="D450" s="945">
        <f>VLOOKUP($B450,'Análise Física Detalhada'!$E$382:$V$481,18,0)</f>
        <v>22570.499499166668</v>
      </c>
      <c r="E450" s="946">
        <f>VLOOKUP($B450,'Análise Física Detalhada'!$E$382:$P$480,12,0)</f>
        <v>0.125</v>
      </c>
      <c r="F450" s="945">
        <f t="shared" si="83"/>
        <v>2821.3124373958335</v>
      </c>
      <c r="G450" s="945">
        <f>SUMIF('[2]Despesas Indiretas'!$B$5:$B$9944,$B450,'[2]Despesas Indiretas'!$H$5:$H$9944)</f>
        <v>291.02999999999997</v>
      </c>
      <c r="H450" s="945">
        <f>SUMIF('[3]Despesas Indiretas'!$B$5:$B$9999,$B450,'[3]Despesas Indiretas'!$H$5:$H$9999)</f>
        <v>0</v>
      </c>
      <c r="I450" s="943">
        <f>SUMIF([4]Comprometimento!$B$167:$B$308,$B450,[4]Comprometimento!$E$167:$E$308)</f>
        <v>0</v>
      </c>
      <c r="J450" s="945"/>
      <c r="K450" s="945">
        <f t="shared" si="78"/>
        <v>291.02999999999997</v>
      </c>
      <c r="L450" s="947">
        <f t="shared" si="77"/>
        <v>0.1031541193887163</v>
      </c>
      <c r="M450" s="948">
        <f t="shared" si="79"/>
        <v>-2530.2824373958338</v>
      </c>
      <c r="N450" s="947">
        <v>0</v>
      </c>
      <c r="O450" s="948">
        <v>-1852.8277777777778</v>
      </c>
      <c r="P450" s="948">
        <f t="shared" si="80"/>
        <v>-677.45465961805598</v>
      </c>
      <c r="Q450" s="947">
        <f t="shared" si="75"/>
        <v>1</v>
      </c>
      <c r="R450" s="948">
        <f t="shared" si="76"/>
        <v>22570.499499166668</v>
      </c>
    </row>
    <row r="451" spans="1:18" s="130" customFormat="1" ht="21.95" customHeight="1" x14ac:dyDescent="0.2">
      <c r="A451" s="393" t="s">
        <v>95</v>
      </c>
      <c r="B451" s="959" t="s">
        <v>570</v>
      </c>
      <c r="C451" s="959" t="s">
        <v>833</v>
      </c>
      <c r="D451" s="940">
        <f>VLOOKUP($B451,'Análise Física Detalhada'!$E$382:$V$481,18,0)</f>
        <v>9028.1997996666687</v>
      </c>
      <c r="E451" s="941">
        <f>VLOOKUP($B451,'Análise Física Detalhada'!$E$382:$P$480,12,0)</f>
        <v>0.125</v>
      </c>
      <c r="F451" s="942">
        <f t="shared" si="83"/>
        <v>1128.5249749583336</v>
      </c>
      <c r="G451" s="943">
        <f>SUMIF('[2]Despesas Indiretas'!$B$5:$B$9944,$B451,'[2]Despesas Indiretas'!$H$5:$H$9944)</f>
        <v>119.99</v>
      </c>
      <c r="H451" s="943">
        <f>SUMIF('[3]Despesas Indiretas'!$B$5:$B$9999,$B451,'[3]Despesas Indiretas'!$H$5:$H$9999)</f>
        <v>0</v>
      </c>
      <c r="I451" s="943">
        <f>SUMIF([4]Comprometimento!$B$167:$B$308,$B451,[4]Comprometimento!$E$167:$E$308)</f>
        <v>0</v>
      </c>
      <c r="J451" s="943"/>
      <c r="K451" s="938">
        <f t="shared" si="78"/>
        <v>119.99</v>
      </c>
      <c r="L451" s="944">
        <f t="shared" si="77"/>
        <v>0.10632462963828529</v>
      </c>
      <c r="M451" s="938">
        <f t="shared" si="79"/>
        <v>-1008.5349749583336</v>
      </c>
      <c r="N451" s="944">
        <v>0</v>
      </c>
      <c r="O451" s="938">
        <v>-741.13111111111107</v>
      </c>
      <c r="P451" s="938">
        <f t="shared" si="80"/>
        <v>-267.40386384722251</v>
      </c>
      <c r="Q451" s="944">
        <f t="shared" si="75"/>
        <v>1</v>
      </c>
      <c r="R451" s="939">
        <f t="shared" si="76"/>
        <v>9028.1997996666687</v>
      </c>
    </row>
    <row r="452" spans="1:18" s="130" customFormat="1" ht="21.95" customHeight="1" x14ac:dyDescent="0.2">
      <c r="A452" s="393" t="s">
        <v>95</v>
      </c>
      <c r="B452" s="959" t="s">
        <v>571</v>
      </c>
      <c r="C452" s="959" t="s">
        <v>834</v>
      </c>
      <c r="D452" s="940">
        <f>VLOOKUP($B452,'Análise Física Detalhada'!$E$382:$V$481,18,0)</f>
        <v>11035.620025122551</v>
      </c>
      <c r="E452" s="941">
        <f>VLOOKUP($B452,'Análise Física Detalhada'!$E$382:$P$480,12,0)</f>
        <v>0.125</v>
      </c>
      <c r="F452" s="942">
        <f t="shared" si="83"/>
        <v>1379.4525031403189</v>
      </c>
      <c r="G452" s="943">
        <f>SUMIF('[2]Despesas Indiretas'!$B$5:$B$9944,$B452,'[2]Despesas Indiretas'!$H$5:$H$9944)</f>
        <v>2507.2600000000002</v>
      </c>
      <c r="H452" s="943">
        <f>SUMIF('[3]Despesas Indiretas'!$B$5:$B$9999,$B452,'[3]Despesas Indiretas'!$H$5:$H$9999)</f>
        <v>0</v>
      </c>
      <c r="I452" s="943">
        <f>SUMIF([4]Comprometimento!$B$167:$B$308,$B452,[4]Comprometimento!$E$167:$E$308)</f>
        <v>0</v>
      </c>
      <c r="J452" s="943"/>
      <c r="K452" s="938">
        <f t="shared" si="78"/>
        <v>2507.2600000000002</v>
      </c>
      <c r="L452" s="944">
        <f t="shared" si="77"/>
        <v>1.8175761719176495</v>
      </c>
      <c r="M452" s="938">
        <f t="shared" si="79"/>
        <v>1127.8074968596814</v>
      </c>
      <c r="N452" s="944">
        <v>1.9088406479241815</v>
      </c>
      <c r="O452" s="938">
        <v>823.33838633333335</v>
      </c>
      <c r="P452" s="938">
        <f t="shared" si="80"/>
        <v>304.469110526348</v>
      </c>
      <c r="Q452" s="944">
        <f t="shared" si="75"/>
        <v>1</v>
      </c>
      <c r="R452" s="939">
        <f t="shared" si="76"/>
        <v>11035.620025122551</v>
      </c>
    </row>
    <row r="453" spans="1:18" s="130" customFormat="1" ht="21.95" customHeight="1" x14ac:dyDescent="0.2">
      <c r="A453" s="393" t="s">
        <v>95</v>
      </c>
      <c r="B453" s="959" t="s">
        <v>572</v>
      </c>
      <c r="C453" s="959" t="s">
        <v>445</v>
      </c>
      <c r="D453" s="940">
        <f>VLOOKUP($B453,'Análise Física Detalhada'!$E$382:$V$481,18,0)</f>
        <v>3693.3544635000003</v>
      </c>
      <c r="E453" s="941">
        <f>VLOOKUP($B453,'Análise Física Detalhada'!$E$382:$P$480,12,0)</f>
        <v>0.125</v>
      </c>
      <c r="F453" s="942">
        <f t="shared" si="83"/>
        <v>461.66930793750004</v>
      </c>
      <c r="G453" s="943">
        <f>SUMIF('[2]Despesas Indiretas'!$B$5:$B$9944,$B453,'[2]Despesas Indiretas'!$H$5:$H$9944)</f>
        <v>631.50000000000011</v>
      </c>
      <c r="H453" s="943">
        <f>SUMIF('[3]Despesas Indiretas'!$B$5:$B$9999,$B453,'[3]Despesas Indiretas'!$H$5:$H$9999)</f>
        <v>0</v>
      </c>
      <c r="I453" s="943">
        <f>SUMIF([4]Comprometimento!$B$167:$B$308,$B453,[4]Comprometimento!$E$167:$E$308)</f>
        <v>0</v>
      </c>
      <c r="J453" s="943"/>
      <c r="K453" s="938">
        <f t="shared" si="78"/>
        <v>631.50000000000011</v>
      </c>
      <c r="L453" s="944">
        <f t="shared" si="77"/>
        <v>1.3678622103366929</v>
      </c>
      <c r="M453" s="938">
        <f t="shared" si="79"/>
        <v>169.83069206250008</v>
      </c>
      <c r="N453" s="944">
        <v>1.244104357003859</v>
      </c>
      <c r="O453" s="938">
        <v>74.010000000000048</v>
      </c>
      <c r="P453" s="938">
        <f t="shared" si="80"/>
        <v>95.820692062500029</v>
      </c>
      <c r="Q453" s="944">
        <f t="shared" si="75"/>
        <v>1</v>
      </c>
      <c r="R453" s="939">
        <f t="shared" si="76"/>
        <v>3693.3544635000003</v>
      </c>
    </row>
    <row r="454" spans="1:18" s="130" customFormat="1" ht="21.95" customHeight="1" x14ac:dyDescent="0.2">
      <c r="A454" s="393" t="s">
        <v>95</v>
      </c>
      <c r="B454" s="959" t="s">
        <v>573</v>
      </c>
      <c r="C454" s="959" t="s">
        <v>835</v>
      </c>
      <c r="D454" s="940">
        <f>VLOOKUP($B454,'Análise Física Detalhada'!$E$382:$V$481,18,0)</f>
        <v>23473.319479133337</v>
      </c>
      <c r="E454" s="941">
        <f>VLOOKUP($B454,'Análise Física Detalhada'!$E$382:$P$480,12,0)</f>
        <v>0.125</v>
      </c>
      <c r="F454" s="942">
        <f t="shared" si="83"/>
        <v>2934.1649348916671</v>
      </c>
      <c r="G454" s="943">
        <f>SUMIF('[2]Despesas Indiretas'!$B$5:$B$9944,$B454,'[2]Despesas Indiretas'!$H$5:$H$9944)</f>
        <v>184.8</v>
      </c>
      <c r="H454" s="943">
        <f>SUMIF('[3]Despesas Indiretas'!$B$5:$B$9999,$B454,'[3]Despesas Indiretas'!$H$5:$H$9999)</f>
        <v>0</v>
      </c>
      <c r="I454" s="943">
        <f>SUMIF([4]Comprometimento!$B$167:$B$308,$B454,[4]Comprometimento!$E$167:$E$308)</f>
        <v>0</v>
      </c>
      <c r="J454" s="943"/>
      <c r="K454" s="938">
        <f t="shared" si="78"/>
        <v>184.8</v>
      </c>
      <c r="L454" s="944">
        <f t="shared" si="77"/>
        <v>6.2982144528566875E-2</v>
      </c>
      <c r="M454" s="938">
        <f t="shared" si="79"/>
        <v>-2749.364934891667</v>
      </c>
      <c r="N454" s="944">
        <v>9.3412310174076724E-2</v>
      </c>
      <c r="O454" s="938">
        <v>-1746.9408888888888</v>
      </c>
      <c r="P454" s="938">
        <f t="shared" si="80"/>
        <v>-1002.4240460027781</v>
      </c>
      <c r="Q454" s="944">
        <f t="shared" si="75"/>
        <v>1</v>
      </c>
      <c r="R454" s="939">
        <f t="shared" si="76"/>
        <v>23473.319479133337</v>
      </c>
    </row>
    <row r="455" spans="1:18" s="130" customFormat="1" ht="21.95" customHeight="1" x14ac:dyDescent="0.2">
      <c r="A455" s="393" t="s">
        <v>95</v>
      </c>
      <c r="B455" s="959" t="s">
        <v>574</v>
      </c>
      <c r="C455" s="959" t="s">
        <v>437</v>
      </c>
      <c r="D455" s="940">
        <f>VLOOKUP($B455,'Análise Física Detalhada'!$E$382:$V$481,18,0)</f>
        <v>5201.2382384495559</v>
      </c>
      <c r="E455" s="941">
        <f>VLOOKUP($B455,'Análise Física Detalhada'!$E$382:$P$480,12,0)</f>
        <v>0.125</v>
      </c>
      <c r="F455" s="942">
        <f t="shared" si="83"/>
        <v>650.15477980619448</v>
      </c>
      <c r="G455" s="943">
        <f>SUMIF('[2]Despesas Indiretas'!$B$5:$B$9944,$B455,'[2]Despesas Indiretas'!$H$5:$H$9944)</f>
        <v>533</v>
      </c>
      <c r="H455" s="943">
        <f>SUMIF('[3]Despesas Indiretas'!$B$5:$B$9999,$B455,'[3]Despesas Indiretas'!$H$5:$H$9999)</f>
        <v>309.7</v>
      </c>
      <c r="I455" s="943">
        <f>SUMIF([4]Comprometimento!$B$167:$B$308,$B455,[4]Comprometimento!$E$167:$E$308)</f>
        <v>0</v>
      </c>
      <c r="J455" s="943"/>
      <c r="K455" s="938">
        <f t="shared" si="78"/>
        <v>842.7</v>
      </c>
      <c r="L455" s="944">
        <f t="shared" si="77"/>
        <v>1.2961528949324985</v>
      </c>
      <c r="M455" s="938">
        <f t="shared" si="79"/>
        <v>192.54522019380556</v>
      </c>
      <c r="N455" s="944">
        <v>1.2483218711272597</v>
      </c>
      <c r="O455" s="938">
        <v>106.02678713888884</v>
      </c>
      <c r="P455" s="938">
        <f t="shared" si="80"/>
        <v>86.518433054916727</v>
      </c>
      <c r="Q455" s="944">
        <f t="shared" si="75"/>
        <v>1</v>
      </c>
      <c r="R455" s="939">
        <f t="shared" si="76"/>
        <v>5201.2382384495559</v>
      </c>
    </row>
    <row r="456" spans="1:18" s="130" customFormat="1" ht="21.95" customHeight="1" x14ac:dyDescent="0.2">
      <c r="A456" s="393" t="s">
        <v>95</v>
      </c>
      <c r="B456" s="959" t="s">
        <v>575</v>
      </c>
      <c r="C456" s="959" t="s">
        <v>439</v>
      </c>
      <c r="D456" s="940">
        <f>VLOOKUP($B456,'Análise Física Detalhada'!$E$382:$V$481,18,0)</f>
        <v>36933.544635000006</v>
      </c>
      <c r="E456" s="941">
        <f>VLOOKUP($B456,'Análise Física Detalhada'!$E$382:$P$480,12,0)</f>
        <v>0.125</v>
      </c>
      <c r="F456" s="942">
        <f t="shared" si="83"/>
        <v>4616.6930793750007</v>
      </c>
      <c r="G456" s="943">
        <f>SUMIF('[2]Despesas Indiretas'!$B$5:$B$9944,$B456,'[2]Despesas Indiretas'!$H$5:$H$9944)</f>
        <v>0</v>
      </c>
      <c r="H456" s="943">
        <f>SUMIF('[3]Despesas Indiretas'!$B$5:$B$9999,$B456,'[3]Despesas Indiretas'!$H$5:$H$9999)</f>
        <v>0</v>
      </c>
      <c r="I456" s="943">
        <f>SUMIF([4]Comprometimento!$B$167:$B$308,$B456,[4]Comprometimento!$E$167:$E$308)</f>
        <v>0</v>
      </c>
      <c r="J456" s="943"/>
      <c r="K456" s="938">
        <f t="shared" si="78"/>
        <v>0</v>
      </c>
      <c r="L456" s="944">
        <f t="shared" si="77"/>
        <v>0</v>
      </c>
      <c r="M456" s="938">
        <f t="shared" si="79"/>
        <v>-4616.6930793750007</v>
      </c>
      <c r="N456" s="944">
        <v>0</v>
      </c>
      <c r="O456" s="938">
        <v>-3031.9</v>
      </c>
      <c r="P456" s="938">
        <f t="shared" si="80"/>
        <v>-1584.7930793750006</v>
      </c>
      <c r="Q456" s="944">
        <f t="shared" si="75"/>
        <v>1</v>
      </c>
      <c r="R456" s="939">
        <f t="shared" si="76"/>
        <v>36933.544635000006</v>
      </c>
    </row>
    <row r="457" spans="1:18" s="130" customFormat="1" ht="21.95" customHeight="1" x14ac:dyDescent="0.2">
      <c r="A457" s="393" t="s">
        <v>95</v>
      </c>
      <c r="B457" s="959" t="s">
        <v>836</v>
      </c>
      <c r="C457" s="959" t="s">
        <v>433</v>
      </c>
      <c r="D457" s="940">
        <f>VLOOKUP($B457,'Análise Física Detalhada'!$E$382:$V$481,18,0)</f>
        <v>86178.270815000011</v>
      </c>
      <c r="E457" s="941">
        <f>VLOOKUP($B457,'Análise Física Detalhada'!$E$382:$P$480,12,0)</f>
        <v>0.125</v>
      </c>
      <c r="F457" s="942">
        <f t="shared" si="83"/>
        <v>10772.283851875001</v>
      </c>
      <c r="G457" s="943">
        <f>SUMIF('[2]Despesas Indiretas'!$B$5:$B$9944,$B457,'[2]Despesas Indiretas'!$H$5:$H$9944)</f>
        <v>6560.7000000000007</v>
      </c>
      <c r="H457" s="943">
        <f>SUMIF('[3]Despesas Indiretas'!$B$5:$B$9999,$B457,'[3]Despesas Indiretas'!$H$5:$H$9999)</f>
        <v>3525</v>
      </c>
      <c r="I457" s="943">
        <f>SUMIF([4]Comprometimento!$B$167:$B$308,$B457,[4]Comprometimento!$E$167:$E$308)</f>
        <v>0</v>
      </c>
      <c r="J457" s="943"/>
      <c r="K457" s="938">
        <f t="shared" si="78"/>
        <v>10085.700000000001</v>
      </c>
      <c r="L457" s="944">
        <f t="shared" si="77"/>
        <v>0.93626385441416904</v>
      </c>
      <c r="M457" s="938">
        <f t="shared" si="79"/>
        <v>-686.58385187500062</v>
      </c>
      <c r="N457" s="944">
        <v>0.4237865930368982</v>
      </c>
      <c r="O457" s="938">
        <v>-4076.3833333333323</v>
      </c>
      <c r="P457" s="938">
        <f t="shared" si="80"/>
        <v>3389.7994814583317</v>
      </c>
      <c r="Q457" s="944">
        <f t="shared" si="75"/>
        <v>1</v>
      </c>
      <c r="R457" s="939">
        <f t="shared" si="76"/>
        <v>86178.270815000011</v>
      </c>
    </row>
    <row r="458" spans="1:18" s="130" customFormat="1" ht="21.95" customHeight="1" x14ac:dyDescent="0.2">
      <c r="A458" s="393" t="s">
        <v>95</v>
      </c>
      <c r="B458" s="967" t="s">
        <v>576</v>
      </c>
      <c r="C458" s="967" t="s">
        <v>117</v>
      </c>
      <c r="D458" s="940">
        <f>VLOOKUP($B458,'Análise Física Detalhada'!$E$382:$V$481,18,0)</f>
        <v>0</v>
      </c>
      <c r="E458" s="941">
        <f>VLOOKUP($B458,'Análise Física Detalhada'!$E$382:$P$480,12,0)</f>
        <v>0</v>
      </c>
      <c r="F458" s="942">
        <f t="shared" si="83"/>
        <v>0</v>
      </c>
      <c r="G458" s="943">
        <f>SUMIF('[2]Despesas Indiretas'!$B$5:$B$9944,$B458,'[2]Despesas Indiretas'!$H$5:$H$9944)</f>
        <v>0</v>
      </c>
      <c r="H458" s="943">
        <f>SUMIF('[3]Despesas Indiretas'!$B$5:$B$9999,$B458,'[3]Despesas Indiretas'!$H$5:$H$9999)</f>
        <v>0</v>
      </c>
      <c r="I458" s="943">
        <f>SUMIF([4]Comprometimento!$B$167:$B$308,$B458,[4]Comprometimento!$E$167:$E$308)</f>
        <v>0</v>
      </c>
      <c r="J458" s="943"/>
      <c r="K458" s="938">
        <f t="shared" si="78"/>
        <v>0</v>
      </c>
      <c r="L458" s="944">
        <f t="shared" si="77"/>
        <v>0</v>
      </c>
      <c r="M458" s="938">
        <f t="shared" si="79"/>
        <v>0</v>
      </c>
      <c r="N458" s="944">
        <v>0</v>
      </c>
      <c r="O458" s="938">
        <v>0</v>
      </c>
      <c r="P458" s="938">
        <f t="shared" si="80"/>
        <v>0</v>
      </c>
      <c r="Q458" s="944">
        <f t="shared" si="75"/>
        <v>0</v>
      </c>
      <c r="R458" s="939">
        <f t="shared" si="76"/>
        <v>0</v>
      </c>
    </row>
    <row r="459" spans="1:18" s="130" customFormat="1" ht="21.95" customHeight="1" x14ac:dyDescent="0.2">
      <c r="A459" s="393" t="s">
        <v>95</v>
      </c>
      <c r="B459" s="959" t="s">
        <v>577</v>
      </c>
      <c r="C459" s="959" t="s">
        <v>578</v>
      </c>
      <c r="D459" s="940">
        <f>VLOOKUP($B459,'Análise Física Detalhada'!$E$382:$V$481,18,0)</f>
        <v>463.09530600000005</v>
      </c>
      <c r="E459" s="941">
        <f>VLOOKUP($B459,'Análise Física Detalhada'!$E$382:$P$480,12,0)</f>
        <v>0</v>
      </c>
      <c r="F459" s="942">
        <f t="shared" si="83"/>
        <v>0</v>
      </c>
      <c r="G459" s="943">
        <f>SUMIF('[2]Despesas Indiretas'!$B$5:$B$9944,$B459,'[2]Despesas Indiretas'!$H$5:$H$9944)</f>
        <v>0</v>
      </c>
      <c r="H459" s="943">
        <f>SUMIF('[3]Despesas Indiretas'!$B$5:$B$9999,$B459,'[3]Despesas Indiretas'!$H$5:$H$9999)</f>
        <v>0</v>
      </c>
      <c r="I459" s="943">
        <f>SUMIF([4]Comprometimento!$B$167:$B$308,$B459,[4]Comprometimento!$E$167:$E$308)</f>
        <v>0</v>
      </c>
      <c r="J459" s="943"/>
      <c r="K459" s="938">
        <f t="shared" si="78"/>
        <v>0</v>
      </c>
      <c r="L459" s="944">
        <f t="shared" si="77"/>
        <v>0</v>
      </c>
      <c r="M459" s="938">
        <f t="shared" si="79"/>
        <v>0</v>
      </c>
      <c r="N459" s="944">
        <v>0</v>
      </c>
      <c r="O459" s="938">
        <v>0</v>
      </c>
      <c r="P459" s="938">
        <f t="shared" si="80"/>
        <v>0</v>
      </c>
      <c r="Q459" s="944">
        <f t="shared" si="75"/>
        <v>1</v>
      </c>
      <c r="R459" s="939">
        <f t="shared" si="76"/>
        <v>463.09530600000005</v>
      </c>
    </row>
    <row r="460" spans="1:18" s="130" customFormat="1" ht="21.95" customHeight="1" x14ac:dyDescent="0.2">
      <c r="A460" s="393" t="s">
        <v>95</v>
      </c>
      <c r="B460" s="959" t="s">
        <v>579</v>
      </c>
      <c r="C460" s="959" t="s">
        <v>432</v>
      </c>
      <c r="D460" s="940">
        <f>VLOOKUP($B460,'Análise Física Detalhada'!$E$382:$V$481,18,0)</f>
        <v>5145.5034000000005</v>
      </c>
      <c r="E460" s="941">
        <f>VLOOKUP($B460,'Análise Física Detalhada'!$E$382:$P$480,12,0)</f>
        <v>0</v>
      </c>
      <c r="F460" s="942">
        <f t="shared" si="83"/>
        <v>0</v>
      </c>
      <c r="G460" s="943">
        <f>SUMIF('[2]Despesas Indiretas'!$B$5:$B$9944,$B460,'[2]Despesas Indiretas'!$H$5:$H$9944)</f>
        <v>0</v>
      </c>
      <c r="H460" s="943">
        <f>SUMIF('[3]Despesas Indiretas'!$B$5:$B$9999,$B460,'[3]Despesas Indiretas'!$H$5:$H$9999)</f>
        <v>0</v>
      </c>
      <c r="I460" s="943">
        <f>SUMIF([4]Comprometimento!$B$167:$B$308,$B460,[4]Comprometimento!$E$167:$E$308)</f>
        <v>0</v>
      </c>
      <c r="J460" s="943"/>
      <c r="K460" s="938">
        <f t="shared" si="78"/>
        <v>0</v>
      </c>
      <c r="L460" s="944">
        <f t="shared" si="77"/>
        <v>0</v>
      </c>
      <c r="M460" s="938">
        <f t="shared" si="79"/>
        <v>0</v>
      </c>
      <c r="N460" s="944">
        <v>0</v>
      </c>
      <c r="O460" s="938">
        <v>0</v>
      </c>
      <c r="P460" s="938">
        <f t="shared" si="80"/>
        <v>0</v>
      </c>
      <c r="Q460" s="944">
        <f t="shared" si="75"/>
        <v>1</v>
      </c>
      <c r="R460" s="939">
        <f t="shared" si="76"/>
        <v>5145.5034000000005</v>
      </c>
    </row>
    <row r="461" spans="1:18" s="130" customFormat="1" ht="21.95" customHeight="1" x14ac:dyDescent="0.2">
      <c r="A461" s="393" t="s">
        <v>95</v>
      </c>
      <c r="B461" s="959" t="s">
        <v>580</v>
      </c>
      <c r="C461" s="959" t="s">
        <v>837</v>
      </c>
      <c r="D461" s="940">
        <f>VLOOKUP($B461,'Análise Física Detalhada'!$E$382:$V$481,18,0)</f>
        <v>1646.5610880000004</v>
      </c>
      <c r="E461" s="941">
        <f>VLOOKUP($B461,'Análise Física Detalhada'!$E$382:$P$480,12,0)</f>
        <v>0</v>
      </c>
      <c r="F461" s="942">
        <f t="shared" si="83"/>
        <v>0</v>
      </c>
      <c r="G461" s="943">
        <f>SUMIF('[2]Despesas Indiretas'!$B$5:$B$9944,$B461,'[2]Despesas Indiretas'!$H$5:$H$9944)</f>
        <v>0</v>
      </c>
      <c r="H461" s="943">
        <f>SUMIF('[3]Despesas Indiretas'!$B$5:$B$9999,$B461,'[3]Despesas Indiretas'!$H$5:$H$9999)</f>
        <v>0</v>
      </c>
      <c r="I461" s="943">
        <f>SUMIF([4]Comprometimento!$B$167:$B$308,$B461,[4]Comprometimento!$E$167:$E$308)</f>
        <v>0</v>
      </c>
      <c r="J461" s="943"/>
      <c r="K461" s="938">
        <f t="shared" si="78"/>
        <v>0</v>
      </c>
      <c r="L461" s="944">
        <f t="shared" si="77"/>
        <v>0</v>
      </c>
      <c r="M461" s="938">
        <f t="shared" si="79"/>
        <v>0</v>
      </c>
      <c r="N461" s="944">
        <v>0</v>
      </c>
      <c r="O461" s="938">
        <v>0</v>
      </c>
      <c r="P461" s="938">
        <f t="shared" si="80"/>
        <v>0</v>
      </c>
      <c r="Q461" s="944">
        <f t="shared" si="75"/>
        <v>1</v>
      </c>
      <c r="R461" s="939">
        <f t="shared" si="76"/>
        <v>1646.5610880000004</v>
      </c>
    </row>
    <row r="462" spans="1:18" s="130" customFormat="1" ht="21.95" customHeight="1" x14ac:dyDescent="0.2">
      <c r="A462" s="393" t="s">
        <v>95</v>
      </c>
      <c r="B462" s="959" t="s">
        <v>581</v>
      </c>
      <c r="C462" s="959" t="s">
        <v>515</v>
      </c>
      <c r="D462" s="940">
        <f>VLOOKUP($B462,'Análise Física Detalhada'!$E$382:$V$481,18,0)</f>
        <v>6389.3568099024014</v>
      </c>
      <c r="E462" s="941">
        <f>VLOOKUP($B462,'Análise Física Detalhada'!$E$382:$P$480,12,0)</f>
        <v>0</v>
      </c>
      <c r="F462" s="942">
        <f t="shared" si="83"/>
        <v>0</v>
      </c>
      <c r="G462" s="943">
        <f>SUMIF('[2]Despesas Indiretas'!$B$5:$B$9944,$B462,'[2]Despesas Indiretas'!$H$5:$H$9944)</f>
        <v>0</v>
      </c>
      <c r="H462" s="943">
        <f>SUMIF('[3]Despesas Indiretas'!$B$5:$B$9999,$B462,'[3]Despesas Indiretas'!$H$5:$H$9999)</f>
        <v>0</v>
      </c>
      <c r="I462" s="943">
        <f>SUMIF([4]Comprometimento!$B$167:$B$308,$B462,[4]Comprometimento!$E$167:$E$308)</f>
        <v>0</v>
      </c>
      <c r="J462" s="943"/>
      <c r="K462" s="938">
        <f t="shared" si="78"/>
        <v>0</v>
      </c>
      <c r="L462" s="944">
        <f t="shared" si="77"/>
        <v>0</v>
      </c>
      <c r="M462" s="938">
        <f t="shared" si="79"/>
        <v>0</v>
      </c>
      <c r="N462" s="944">
        <v>0</v>
      </c>
      <c r="O462" s="938">
        <v>0</v>
      </c>
      <c r="P462" s="938">
        <f t="shared" si="80"/>
        <v>0</v>
      </c>
      <c r="Q462" s="944">
        <f t="shared" si="75"/>
        <v>1</v>
      </c>
      <c r="R462" s="939">
        <f t="shared" si="76"/>
        <v>6389.3568099024014</v>
      </c>
    </row>
    <row r="463" spans="1:18" s="130" customFormat="1" ht="21.95" customHeight="1" x14ac:dyDescent="0.2">
      <c r="A463" s="393" t="s">
        <v>95</v>
      </c>
      <c r="B463" s="959" t="s">
        <v>582</v>
      </c>
      <c r="C463" s="959" t="s">
        <v>422</v>
      </c>
      <c r="D463" s="940">
        <f>VLOOKUP($B463,'Análise Física Detalhada'!$E$382:$V$481,18,0)</f>
        <v>26393.170290670168</v>
      </c>
      <c r="E463" s="941">
        <f>VLOOKUP($B463,'Análise Física Detalhada'!$E$382:$P$480,12,0)</f>
        <v>7.5999999999999998E-2</v>
      </c>
      <c r="F463" s="942">
        <f t="shared" si="83"/>
        <v>2005.8809420909326</v>
      </c>
      <c r="G463" s="943">
        <f>SUMIF('[2]Despesas Indiretas'!$B$5:$B$9944,$B463,'[2]Despesas Indiretas'!$H$5:$H$9944)</f>
        <v>1980</v>
      </c>
      <c r="H463" s="943">
        <f>SUMIF('[3]Despesas Indiretas'!$B$5:$B$9999,$B463,'[3]Despesas Indiretas'!$H$5:$H$9999)</f>
        <v>0</v>
      </c>
      <c r="I463" s="943">
        <f>SUMIF([4]Comprometimento!$B$167:$B$308,$B463,[4]Comprometimento!$E$167:$E$308)</f>
        <v>0</v>
      </c>
      <c r="J463" s="943"/>
      <c r="K463" s="938">
        <f t="shared" si="78"/>
        <v>1980</v>
      </c>
      <c r="L463" s="944">
        <f t="shared" si="77"/>
        <v>0.98709746847489643</v>
      </c>
      <c r="M463" s="938">
        <f t="shared" si="79"/>
        <v>-25.880942090932649</v>
      </c>
      <c r="N463" s="944">
        <v>0</v>
      </c>
      <c r="O463" s="938">
        <v>1540</v>
      </c>
      <c r="P463" s="938">
        <f t="shared" si="80"/>
        <v>-1565.8809420909326</v>
      </c>
      <c r="Q463" s="944">
        <f t="shared" si="75"/>
        <v>1</v>
      </c>
      <c r="R463" s="939">
        <f t="shared" si="76"/>
        <v>26393.170290670168</v>
      </c>
    </row>
    <row r="464" spans="1:18" s="130" customFormat="1" ht="21.95" customHeight="1" x14ac:dyDescent="0.2">
      <c r="A464" s="393" t="s">
        <v>95</v>
      </c>
      <c r="B464" s="959" t="s">
        <v>583</v>
      </c>
      <c r="C464" s="959" t="s">
        <v>387</v>
      </c>
      <c r="D464" s="940">
        <f>VLOOKUP($B464,'Análise Física Detalhada'!$E$382:$V$481,18,0)</f>
        <v>7203.7047600000014</v>
      </c>
      <c r="E464" s="941">
        <f>VLOOKUP($B464,'Análise Física Detalhada'!$E$382:$P$480,12,0)</f>
        <v>0</v>
      </c>
      <c r="F464" s="942">
        <f t="shared" si="83"/>
        <v>0</v>
      </c>
      <c r="G464" s="943">
        <f>SUMIF('[2]Despesas Indiretas'!$B$5:$B$9944,$B464,'[2]Despesas Indiretas'!$H$5:$H$9944)</f>
        <v>0</v>
      </c>
      <c r="H464" s="943">
        <f>SUMIF('[3]Despesas Indiretas'!$B$5:$B$9999,$B464,'[3]Despesas Indiretas'!$H$5:$H$9999)</f>
        <v>0</v>
      </c>
      <c r="I464" s="943">
        <f>SUMIF([4]Comprometimento!$B$167:$B$308,$B464,[4]Comprometimento!$E$167:$E$308)</f>
        <v>0</v>
      </c>
      <c r="J464" s="943"/>
      <c r="K464" s="938">
        <f t="shared" si="78"/>
        <v>0</v>
      </c>
      <c r="L464" s="944">
        <f t="shared" si="77"/>
        <v>0</v>
      </c>
      <c r="M464" s="938">
        <f t="shared" si="79"/>
        <v>0</v>
      </c>
      <c r="N464" s="944">
        <v>0</v>
      </c>
      <c r="O464" s="938">
        <v>0</v>
      </c>
      <c r="P464" s="938">
        <f t="shared" si="80"/>
        <v>0</v>
      </c>
      <c r="Q464" s="944">
        <f t="shared" si="75"/>
        <v>1</v>
      </c>
      <c r="R464" s="939">
        <f t="shared" si="76"/>
        <v>7203.7047600000014</v>
      </c>
    </row>
    <row r="465" spans="1:18" s="130" customFormat="1" ht="21.95" customHeight="1" x14ac:dyDescent="0.2">
      <c r="A465" s="393" t="s">
        <v>95</v>
      </c>
      <c r="B465" s="959" t="s">
        <v>584</v>
      </c>
      <c r="C465" s="959" t="s">
        <v>441</v>
      </c>
      <c r="D465" s="940">
        <f>VLOOKUP($B465,'Análise Física Detalhada'!$E$382:$V$481,18,0)</f>
        <v>3043.5005100000003</v>
      </c>
      <c r="E465" s="941">
        <f>VLOOKUP($B465,'Análise Física Detalhada'!$E$382:$P$480,12,0)</f>
        <v>0.5</v>
      </c>
      <c r="F465" s="942">
        <f t="shared" si="83"/>
        <v>1521.7502550000002</v>
      </c>
      <c r="G465" s="943">
        <f>SUMIF('[2]Despesas Indiretas'!$B$5:$B$9944,$B465,'[2]Despesas Indiretas'!$H$5:$H$9944)</f>
        <v>0</v>
      </c>
      <c r="H465" s="943">
        <f>SUMIF('[3]Despesas Indiretas'!$B$5:$B$9999,$B465,'[3]Despesas Indiretas'!$H$5:$H$9999)</f>
        <v>0</v>
      </c>
      <c r="I465" s="943">
        <f>SUMIF([4]Comprometimento!$B$167:$B$308,$B465,[4]Comprometimento!$E$167:$E$308)</f>
        <v>0</v>
      </c>
      <c r="J465" s="943"/>
      <c r="K465" s="938">
        <f t="shared" si="78"/>
        <v>0</v>
      </c>
      <c r="L465" s="944">
        <f t="shared" si="77"/>
        <v>0</v>
      </c>
      <c r="M465" s="938">
        <f t="shared" si="79"/>
        <v>-1521.7502550000002</v>
      </c>
      <c r="N465" s="944">
        <v>0</v>
      </c>
      <c r="O465" s="938">
        <v>-1508.7</v>
      </c>
      <c r="P465" s="938">
        <f t="shared" si="80"/>
        <v>-13.050255000000107</v>
      </c>
      <c r="Q465" s="944">
        <f t="shared" si="75"/>
        <v>0.25</v>
      </c>
      <c r="R465" s="939">
        <f t="shared" si="76"/>
        <v>760.87512750000008</v>
      </c>
    </row>
    <row r="466" spans="1:18" s="130" customFormat="1" ht="21.95" customHeight="1" x14ac:dyDescent="0.2">
      <c r="A466" s="393" t="s">
        <v>95</v>
      </c>
      <c r="B466" s="959" t="s">
        <v>585</v>
      </c>
      <c r="C466" s="959" t="s">
        <v>69</v>
      </c>
      <c r="D466" s="940">
        <f>VLOOKUP($B466,'Análise Física Detalhada'!$E$382:$V$481,18,0)</f>
        <v>8500</v>
      </c>
      <c r="E466" s="941">
        <f>VLOOKUP($B466,'Análise Física Detalhada'!$E$382:$P$480,12,0)</f>
        <v>1</v>
      </c>
      <c r="F466" s="942">
        <f t="shared" si="83"/>
        <v>8500</v>
      </c>
      <c r="G466" s="943">
        <f>SUMIF('[2]Despesas Indiretas'!$B$5:$B$9944,$B466,'[2]Despesas Indiretas'!$H$5:$H$9944)</f>
        <v>8270.9</v>
      </c>
      <c r="H466" s="943">
        <f>SUMIF('[3]Despesas Indiretas'!$B$5:$B$9999,$B466,'[3]Despesas Indiretas'!$H$5:$H$9999)</f>
        <v>232.5</v>
      </c>
      <c r="I466" s="943">
        <f>SUMIF([4]Comprometimento!$B$167:$B$308,$B466,[4]Comprometimento!$E$167:$E$308)</f>
        <v>0</v>
      </c>
      <c r="J466" s="943"/>
      <c r="K466" s="938">
        <f t="shared" si="78"/>
        <v>8503.4</v>
      </c>
      <c r="L466" s="944">
        <f t="shared" si="77"/>
        <v>1.0004</v>
      </c>
      <c r="M466" s="938">
        <f t="shared" si="79"/>
        <v>3.3999999999996362</v>
      </c>
      <c r="N466" s="944">
        <v>0.99994117647058822</v>
      </c>
      <c r="O466" s="938">
        <v>-0.5</v>
      </c>
      <c r="P466" s="938">
        <f t="shared" si="80"/>
        <v>3.8999999999996362</v>
      </c>
      <c r="Q466" s="944">
        <f t="shared" ref="Q466:Q476" si="86">IF($D466=0,0,IF(($F466/$D466)&lt;20%,1,IF($D466=0,0,IF(($F466/$D466)=1,$L466,IF(($F466/$D466)=0,1,IF($L466&lt;1,(+$L466*($F466/$D466))+(1-((1-$L466)/2))*(1-($F466/$D466)),(+$L466*($F466/$D466))+(1+(($L466-1)/2))*(1-($F466/$D466))))))))</f>
        <v>1.0004</v>
      </c>
      <c r="R466" s="939">
        <f t="shared" ref="R466:R474" si="87">IF($Q466="","",$Q466*$D466)</f>
        <v>8503.4</v>
      </c>
    </row>
    <row r="467" spans="1:18" s="130" customFormat="1" ht="21.95" customHeight="1" x14ac:dyDescent="0.2">
      <c r="A467" s="393" t="s">
        <v>95</v>
      </c>
      <c r="B467" s="959" t="s">
        <v>586</v>
      </c>
      <c r="C467" s="959" t="s">
        <v>377</v>
      </c>
      <c r="D467" s="940">
        <f>VLOOKUP($B467,'Análise Física Detalhada'!$E$382:$V$481,18,0)</f>
        <v>5500</v>
      </c>
      <c r="E467" s="941">
        <f>VLOOKUP($B467,'Análise Física Detalhada'!$E$382:$P$480,12,0)</f>
        <v>1</v>
      </c>
      <c r="F467" s="942">
        <f t="shared" si="83"/>
        <v>5500</v>
      </c>
      <c r="G467" s="943">
        <f>SUMIF('[2]Despesas Indiretas'!$B$5:$B$9944,$B467,'[2]Despesas Indiretas'!$H$5:$H$9944)</f>
        <v>5508.9500000000007</v>
      </c>
      <c r="H467" s="943">
        <f>SUMIF('[3]Despesas Indiretas'!$B$5:$B$9999,$B467,'[3]Despesas Indiretas'!$H$5:$H$9999)</f>
        <v>0</v>
      </c>
      <c r="I467" s="943">
        <f>SUMIF([4]Comprometimento!$B$167:$B$308,$B467,[4]Comprometimento!$E$167:$E$308)</f>
        <v>0</v>
      </c>
      <c r="J467" s="943"/>
      <c r="K467" s="938">
        <f t="shared" si="78"/>
        <v>5508.9500000000007</v>
      </c>
      <c r="L467" s="944">
        <f t="shared" ref="L467:L474" si="88">IF($F467=0,0,$K467/$F467)</f>
        <v>1.0016272727272728</v>
      </c>
      <c r="M467" s="938">
        <f t="shared" si="79"/>
        <v>8.9500000000007276</v>
      </c>
      <c r="N467" s="944">
        <v>0.85018181818181815</v>
      </c>
      <c r="O467" s="938">
        <v>-824</v>
      </c>
      <c r="P467" s="938">
        <f t="shared" si="80"/>
        <v>832.95000000000073</v>
      </c>
      <c r="Q467" s="944">
        <f t="shared" si="86"/>
        <v>1.0016272727272728</v>
      </c>
      <c r="R467" s="939">
        <f t="shared" si="87"/>
        <v>5508.9500000000007</v>
      </c>
    </row>
    <row r="468" spans="1:18" s="130" customFormat="1" ht="21.95" customHeight="1" x14ac:dyDescent="0.2">
      <c r="A468" s="393" t="s">
        <v>95</v>
      </c>
      <c r="B468" s="959" t="s">
        <v>587</v>
      </c>
      <c r="C468" s="959" t="s">
        <v>839</v>
      </c>
      <c r="D468" s="940">
        <f>VLOOKUP($B468,'Análise Física Detalhada'!$E$382:$V$481,18,0)</f>
        <v>5563.9747136452352</v>
      </c>
      <c r="E468" s="941">
        <f>VLOOKUP($B468,'Análise Física Detalhada'!$E$382:$P$480,12,0)</f>
        <v>0.5</v>
      </c>
      <c r="F468" s="942">
        <f t="shared" si="83"/>
        <v>2781.9873568226176</v>
      </c>
      <c r="G468" s="943">
        <f>SUMIF('[2]Despesas Indiretas'!$B$5:$B$9944,$B468,'[2]Despesas Indiretas'!$H$5:$H$9944)</f>
        <v>2566.17</v>
      </c>
      <c r="H468" s="943">
        <f>SUMIF('[3]Despesas Indiretas'!$B$5:$B$9999,$B468,'[3]Despesas Indiretas'!$H$5:$H$9999)</f>
        <v>198.95</v>
      </c>
      <c r="I468" s="943">
        <f>SUMIF([4]Comprometimento!$B$167:$B$308,$B468,[4]Comprometimento!$E$167:$E$308)</f>
        <v>0</v>
      </c>
      <c r="J468" s="943"/>
      <c r="K468" s="938">
        <f t="shared" ref="K468:K474" si="89">SUM($G468:$I468)-$J468</f>
        <v>2765.12</v>
      </c>
      <c r="L468" s="944">
        <f t="shared" si="88"/>
        <v>0.9939369397990786</v>
      </c>
      <c r="M468" s="938">
        <f t="shared" ref="M468:M474" si="90">$K468-$F468</f>
        <v>-16.867356822617694</v>
      </c>
      <c r="N468" s="944">
        <v>0.69177316542445699</v>
      </c>
      <c r="O468" s="938">
        <v>-141.6882560555556</v>
      </c>
      <c r="P468" s="938">
        <f t="shared" ref="P468:P474" si="91">$M468-$O468</f>
        <v>124.8208992329379</v>
      </c>
      <c r="Q468" s="944">
        <f t="shared" si="86"/>
        <v>0.99545270484930892</v>
      </c>
      <c r="R468" s="939">
        <f t="shared" si="87"/>
        <v>5538.6736784113082</v>
      </c>
    </row>
    <row r="469" spans="1:18" s="130" customFormat="1" ht="21.95" customHeight="1" x14ac:dyDescent="0.2">
      <c r="A469" s="393" t="s">
        <v>95</v>
      </c>
      <c r="B469" s="959" t="s">
        <v>588</v>
      </c>
      <c r="C469" s="959" t="s">
        <v>429</v>
      </c>
      <c r="D469" s="940">
        <f>VLOOKUP($B469,'Análise Física Detalhada'!$E$382:$V$481,18,0)</f>
        <v>1025.931795416667</v>
      </c>
      <c r="E469" s="941">
        <f>VLOOKUP($B469,'Análise Física Detalhada'!$E$382:$P$480,12,0)</f>
        <v>0.125</v>
      </c>
      <c r="F469" s="942">
        <f t="shared" si="83"/>
        <v>128.24147442708338</v>
      </c>
      <c r="G469" s="943">
        <f>SUMIF('[2]Despesas Indiretas'!$B$5:$B$9944,$B469,'[2]Despesas Indiretas'!$H$5:$H$9944)</f>
        <v>0</v>
      </c>
      <c r="H469" s="943">
        <f>SUMIF('[3]Despesas Indiretas'!$B$5:$B$9999,$B469,'[3]Despesas Indiretas'!$H$5:$H$9999)</f>
        <v>7.23</v>
      </c>
      <c r="I469" s="943">
        <f>SUMIF([4]Comprometimento!$B$167:$B$308,$B469,[4]Comprometimento!$E$167:$E$308)</f>
        <v>0</v>
      </c>
      <c r="J469" s="943"/>
      <c r="K469" s="938">
        <f t="shared" si="89"/>
        <v>7.23</v>
      </c>
      <c r="L469" s="944">
        <f t="shared" si="88"/>
        <v>5.6378016802285713E-2</v>
      </c>
      <c r="M469" s="938">
        <f t="shared" si="90"/>
        <v>-121.01147442708337</v>
      </c>
      <c r="N469" s="944">
        <v>0</v>
      </c>
      <c r="O469" s="938">
        <v>-84.219444444444449</v>
      </c>
      <c r="P469" s="938">
        <f t="shared" si="91"/>
        <v>-36.792029982638923</v>
      </c>
      <c r="Q469" s="944">
        <f t="shared" si="86"/>
        <v>1</v>
      </c>
      <c r="R469" s="939">
        <f t="shared" si="87"/>
        <v>1025.931795416667</v>
      </c>
    </row>
    <row r="470" spans="1:18" s="130" customFormat="1" ht="21.95" customHeight="1" x14ac:dyDescent="0.2">
      <c r="A470" s="393" t="s">
        <v>95</v>
      </c>
      <c r="B470" s="959" t="s">
        <v>589</v>
      </c>
      <c r="C470" s="959" t="s">
        <v>2160</v>
      </c>
      <c r="D470" s="940">
        <f>VLOOKUP($B470,'Análise Física Detalhada'!$E$382:$V$481,18,0)</f>
        <v>1349.100310972917</v>
      </c>
      <c r="E470" s="941">
        <f>VLOOKUP($B470,'Análise Física Detalhada'!$E$382:$P$480,12,0)</f>
        <v>0.125</v>
      </c>
      <c r="F470" s="942">
        <f t="shared" si="83"/>
        <v>168.63753887161462</v>
      </c>
      <c r="G470" s="943">
        <f>SUMIF('[2]Despesas Indiretas'!$B$5:$B$9944,$B470,'[2]Despesas Indiretas'!$H$5:$H$9944)</f>
        <v>418.41999999999996</v>
      </c>
      <c r="H470" s="943">
        <f>SUMIF('[3]Despesas Indiretas'!$B$5:$B$9999,$B470,'[3]Despesas Indiretas'!$H$5:$H$9999)</f>
        <v>0</v>
      </c>
      <c r="I470" s="943">
        <f>SUMIF([4]Comprometimento!$B$167:$B$308,$B470,[4]Comprometimento!$E$167:$E$308)</f>
        <v>0</v>
      </c>
      <c r="J470" s="943"/>
      <c r="K470" s="938">
        <f t="shared" si="89"/>
        <v>418.41999999999996</v>
      </c>
      <c r="L470" s="944">
        <f t="shared" si="88"/>
        <v>2.4811794740348239</v>
      </c>
      <c r="M470" s="938">
        <f t="shared" si="90"/>
        <v>249.78246112838534</v>
      </c>
      <c r="N470" s="944">
        <v>0.56723080320701402</v>
      </c>
      <c r="O470" s="938">
        <v>-47.928569444444456</v>
      </c>
      <c r="P470" s="938">
        <f t="shared" si="91"/>
        <v>297.71103057282977</v>
      </c>
      <c r="Q470" s="944">
        <f t="shared" si="86"/>
        <v>1</v>
      </c>
      <c r="R470" s="939">
        <f t="shared" si="87"/>
        <v>1349.100310972917</v>
      </c>
    </row>
    <row r="471" spans="1:18" s="130" customFormat="1" ht="21.95" customHeight="1" x14ac:dyDescent="0.2">
      <c r="A471" s="393" t="s">
        <v>95</v>
      </c>
      <c r="B471" s="959" t="s">
        <v>2161</v>
      </c>
      <c r="C471" s="959" t="s">
        <v>11</v>
      </c>
      <c r="D471" s="940">
        <f>VLOOKUP($B471,'Análise Física Detalhada'!$E$382:$V$481,18,0)</f>
        <v>205.18635908333334</v>
      </c>
      <c r="E471" s="941">
        <f>VLOOKUP($B471,'Análise Física Detalhada'!$E$382:$P$480,12,0)</f>
        <v>0.125</v>
      </c>
      <c r="F471" s="942">
        <f t="shared" si="83"/>
        <v>25.648294885416668</v>
      </c>
      <c r="G471" s="943">
        <f>SUMIF('[2]Despesas Indiretas'!$B$5:$B$9944,$B471,'[2]Despesas Indiretas'!$H$5:$H$9944)</f>
        <v>0</v>
      </c>
      <c r="H471" s="943">
        <f>SUMIF('[3]Despesas Indiretas'!$B$5:$B$9999,$B471,'[3]Despesas Indiretas'!$H$5:$H$9999)</f>
        <v>0</v>
      </c>
      <c r="I471" s="943">
        <f>SUMIF([4]Comprometimento!$B$167:$B$308,$B471,[4]Comprometimento!$E$167:$E$308)</f>
        <v>0</v>
      </c>
      <c r="J471" s="943"/>
      <c r="K471" s="938">
        <f t="shared" si="89"/>
        <v>0</v>
      </c>
      <c r="L471" s="944">
        <f t="shared" si="88"/>
        <v>0</v>
      </c>
      <c r="M471" s="938">
        <f t="shared" si="90"/>
        <v>-25.648294885416668</v>
      </c>
      <c r="N471" s="944">
        <v>0</v>
      </c>
      <c r="O471" s="938">
        <v>-16.843888888888888</v>
      </c>
      <c r="P471" s="938">
        <f t="shared" si="91"/>
        <v>-8.8044059965277803</v>
      </c>
      <c r="Q471" s="944">
        <f t="shared" si="86"/>
        <v>1</v>
      </c>
      <c r="R471" s="939">
        <f t="shared" si="87"/>
        <v>205.18635908333334</v>
      </c>
    </row>
    <row r="472" spans="1:18" s="130" customFormat="1" ht="21.95" customHeight="1" x14ac:dyDescent="0.2">
      <c r="A472" s="393" t="s">
        <v>95</v>
      </c>
      <c r="B472" s="959" t="s">
        <v>2162</v>
      </c>
      <c r="C472" s="959" t="s">
        <v>2163</v>
      </c>
      <c r="D472" s="940">
        <f>VLOOKUP($B472,'Análise Física Detalhada'!$E$382:$V$481,18,0)</f>
        <v>5950.404413416667</v>
      </c>
      <c r="E472" s="941">
        <f>VLOOKUP($B472,'Análise Física Detalhada'!$E$382:$P$480,12,0)</f>
        <v>0.125</v>
      </c>
      <c r="F472" s="942">
        <f t="shared" si="83"/>
        <v>743.80055167708338</v>
      </c>
      <c r="G472" s="943">
        <f>SUMIF('[2]Despesas Indiretas'!$B$5:$B$9944,$B472,'[2]Despesas Indiretas'!$H$5:$H$9944)</f>
        <v>0</v>
      </c>
      <c r="H472" s="943">
        <f>SUMIF('[3]Despesas Indiretas'!$B$5:$B$9999,$B472,'[3]Despesas Indiretas'!$H$5:$H$9999)</f>
        <v>0</v>
      </c>
      <c r="I472" s="943">
        <f>SUMIF([4]Comprometimento!$B$167:$B$308,$B472,[4]Comprometimento!$E$167:$E$308)</f>
        <v>0</v>
      </c>
      <c r="J472" s="943"/>
      <c r="K472" s="938">
        <f t="shared" si="89"/>
        <v>0</v>
      </c>
      <c r="L472" s="944">
        <f t="shared" si="88"/>
        <v>0</v>
      </c>
      <c r="M472" s="938">
        <f t="shared" si="90"/>
        <v>-743.80055167708338</v>
      </c>
      <c r="N472" s="944">
        <v>0</v>
      </c>
      <c r="O472" s="938">
        <v>-488.47277777777776</v>
      </c>
      <c r="P472" s="938">
        <f t="shared" si="91"/>
        <v>-255.32777389930561</v>
      </c>
      <c r="Q472" s="944">
        <f t="shared" si="86"/>
        <v>1</v>
      </c>
      <c r="R472" s="939">
        <f t="shared" si="87"/>
        <v>5950.404413416667</v>
      </c>
    </row>
    <row r="473" spans="1:18" s="130" customFormat="1" ht="21.95" customHeight="1" x14ac:dyDescent="0.2">
      <c r="A473" s="393" t="s">
        <v>105</v>
      </c>
      <c r="B473" s="161" t="s">
        <v>105</v>
      </c>
      <c r="C473" s="161" t="s">
        <v>590</v>
      </c>
      <c r="D473" s="163">
        <f>VLOOKUP($B473,'Análise Física Detalhada'!$E$382:$V$481,18,0)</f>
        <v>1178763.8843772744</v>
      </c>
      <c r="E473" s="530">
        <f>F473/D473</f>
        <v>7.8100000000000003E-2</v>
      </c>
      <c r="F473" s="163">
        <f>SUM(F474:F474)</f>
        <v>92061.45936986513</v>
      </c>
      <c r="G473" s="163">
        <f>SUM(G474:G474)</f>
        <v>0</v>
      </c>
      <c r="H473" s="163">
        <f t="shared" ref="H473:K473" si="92">SUM(H474:H474)</f>
        <v>0</v>
      </c>
      <c r="I473" s="163">
        <f t="shared" si="92"/>
        <v>91602.215999999986</v>
      </c>
      <c r="J473" s="163">
        <f t="shared" si="92"/>
        <v>0</v>
      </c>
      <c r="K473" s="163">
        <f t="shared" si="92"/>
        <v>91602.215999999986</v>
      </c>
      <c r="L473" s="538">
        <f t="shared" si="88"/>
        <v>0.99501155670343988</v>
      </c>
      <c r="M473" s="1000">
        <f t="shared" si="90"/>
        <v>-459.2433698651439</v>
      </c>
      <c r="N473" s="538">
        <v>0.99884230965791998</v>
      </c>
      <c r="O473" s="1000">
        <v>-59.773321684842813</v>
      </c>
      <c r="P473" s="1000">
        <f t="shared" si="91"/>
        <v>-399.47004818030109</v>
      </c>
      <c r="Q473" s="538">
        <f t="shared" si="86"/>
        <v>1</v>
      </c>
      <c r="R473" s="1000">
        <f t="shared" si="87"/>
        <v>1178763.8843772744</v>
      </c>
    </row>
    <row r="474" spans="1:18" s="130" customFormat="1" ht="21.95" customHeight="1" x14ac:dyDescent="0.2">
      <c r="A474" s="393" t="s">
        <v>105</v>
      </c>
      <c r="B474" s="959" t="s">
        <v>106</v>
      </c>
      <c r="C474" s="959" t="s">
        <v>591</v>
      </c>
      <c r="D474" s="940">
        <f>VLOOKUP($B474,'Análise Física Detalhada'!$E$382:$V$481,18,0)</f>
        <v>1178763.8843772744</v>
      </c>
      <c r="E474" s="941">
        <f>VLOOKUP($B474,'Análise Física Detalhada'!$E$382:$P$480,12,0)</f>
        <v>7.8100000000000003E-2</v>
      </c>
      <c r="F474" s="942">
        <f t="shared" si="83"/>
        <v>92061.45936986513</v>
      </c>
      <c r="G474" s="943">
        <f>SUMIF('[2]Despesas Indiretas'!$B$5:$B$9944,$B474,'[2]Despesas Indiretas'!$H$5:$H$9944)</f>
        <v>0</v>
      </c>
      <c r="H474" s="943">
        <f>SUMIF('[3]Despesas Indiretas'!$B$5:$B$9999,$B474,'[3]Despesas Indiretas'!$H$5:$H$9999)</f>
        <v>0</v>
      </c>
      <c r="I474" s="943">
        <f>SUMIF([4]Comprometimento!$B$167:$B$308,$B474,[4]Comprometimento!$E$167:$E$308)</f>
        <v>91602.215999999986</v>
      </c>
      <c r="J474" s="943"/>
      <c r="K474" s="938">
        <f t="shared" si="89"/>
        <v>91602.215999999986</v>
      </c>
      <c r="L474" s="944">
        <f t="shared" si="88"/>
        <v>0.99501155670343988</v>
      </c>
      <c r="M474" s="938">
        <f t="shared" si="90"/>
        <v>-459.2433698651439</v>
      </c>
      <c r="N474" s="944">
        <v>0.99884230965791998</v>
      </c>
      <c r="O474" s="938">
        <v>-59.773321684842813</v>
      </c>
      <c r="P474" s="938">
        <f t="shared" si="91"/>
        <v>-399.47004818030109</v>
      </c>
      <c r="Q474" s="944">
        <f t="shared" si="86"/>
        <v>1</v>
      </c>
      <c r="R474" s="939">
        <f t="shared" si="87"/>
        <v>1178763.8843772744</v>
      </c>
    </row>
    <row r="475" spans="1:18" s="130" customFormat="1" ht="30.75" customHeight="1" x14ac:dyDescent="0.2">
      <c r="A475" s="393"/>
      <c r="B475" s="161" t="s">
        <v>62</v>
      </c>
      <c r="C475" s="161"/>
      <c r="D475" s="163">
        <f>VLOOKUP($B475,'Análise Física Detalhada'!$E$382:$V$481,18,0)</f>
        <v>3427592.4491009628</v>
      </c>
      <c r="E475" s="164">
        <f>F475/D475</f>
        <v>0.10876175662667582</v>
      </c>
      <c r="F475" s="524">
        <f t="array" ref="F475">SUM(IF($B377:$B474=$A377:$A474,F377:F474))</f>
        <v>372790.97576455068</v>
      </c>
      <c r="G475" s="525">
        <f t="array" ref="G475">SUM(IF($B377:$B474=$A377:$A474,G377:G474))</f>
        <v>180395.27999999997</v>
      </c>
      <c r="H475" s="525">
        <f t="array" ref="H475">SUM(IF($B377:$B474=$A377:$A474,H377:H474))</f>
        <v>20616.699999999997</v>
      </c>
      <c r="I475" s="525">
        <f t="array" ref="I475">SUM(IF($B377:$B474=$A377:$A474,I377:I474))</f>
        <v>91602.215999999986</v>
      </c>
      <c r="J475" s="525">
        <f t="array" ref="J475">SUM(IF($B377:$B474=$A377:$A474,J377:J474))</f>
        <v>0</v>
      </c>
      <c r="K475" s="525">
        <f t="array" ref="K475">SUM(IF($B377:$B474=$A377:$A474,K377:K474))</f>
        <v>292614.196</v>
      </c>
      <c r="L475" s="538">
        <f t="shared" ref="L475:L476" si="93">IF($F475=0,0,$K475/$F475)</f>
        <v>0.7849283245118327</v>
      </c>
      <c r="M475" s="525">
        <f t="shared" ref="M475:M476" si="94">IF($L475=0,0,$K475-$F475)</f>
        <v>-80176.77976455068</v>
      </c>
      <c r="N475" s="538">
        <v>0.69878324508937051</v>
      </c>
      <c r="O475" s="525">
        <v>-72233.08515496261</v>
      </c>
      <c r="P475" s="525">
        <f t="shared" ref="P475:P476" si="95">$M475-$O475</f>
        <v>-7943.6946095880703</v>
      </c>
      <c r="Q475" s="538">
        <f t="shared" si="86"/>
        <v>1</v>
      </c>
      <c r="R475" s="525">
        <f t="array" ref="R475">SUM(IF($B377:$B474=$A377:$A474,R377:R474))</f>
        <v>3427592.4491009628</v>
      </c>
    </row>
    <row r="476" spans="1:18" s="130" customFormat="1" ht="30.75" customHeight="1" x14ac:dyDescent="0.2">
      <c r="A476" s="393"/>
      <c r="B476" s="390" t="s">
        <v>67</v>
      </c>
      <c r="C476" s="390"/>
      <c r="D476" s="392">
        <f>VLOOKUP($B476,'Análise Física Detalhada'!$E$382:$V$481,18,0)</f>
        <v>9032654.8082576357</v>
      </c>
      <c r="E476" s="164">
        <f>F476/D476</f>
        <v>0.10476983846672996</v>
      </c>
      <c r="F476" s="524">
        <f>F475+F375</f>
        <v>946349.78518688423</v>
      </c>
      <c r="G476" s="525">
        <f t="shared" ref="G476:K476" si="96">G475+G375</f>
        <v>635574.59</v>
      </c>
      <c r="H476" s="525">
        <f t="shared" si="96"/>
        <v>60311.869999999995</v>
      </c>
      <c r="I476" s="525">
        <f t="shared" si="96"/>
        <v>163646.28303672667</v>
      </c>
      <c r="J476" s="525">
        <f t="shared" si="96"/>
        <v>46353.45</v>
      </c>
      <c r="K476" s="525">
        <f t="shared" si="96"/>
        <v>813179.29303672665</v>
      </c>
      <c r="L476" s="538">
        <f t="shared" si="93"/>
        <v>0.85927984109611311</v>
      </c>
      <c r="M476" s="525">
        <f t="shared" si="94"/>
        <v>-133170.49215015757</v>
      </c>
      <c r="N476" s="538">
        <v>0.78742528902770126</v>
      </c>
      <c r="O476" s="525">
        <v>-103084.6377044504</v>
      </c>
      <c r="P476" s="525">
        <f t="shared" si="95"/>
        <v>-30085.854445707169</v>
      </c>
      <c r="Q476" s="538">
        <f t="shared" si="86"/>
        <v>1</v>
      </c>
      <c r="R476" s="525">
        <f>R475+R375</f>
        <v>8959008.9022927303</v>
      </c>
    </row>
    <row r="477" spans="1:18" ht="15.75" x14ac:dyDescent="0.2">
      <c r="K477" s="341"/>
      <c r="P477" s="846"/>
    </row>
    <row r="478" spans="1:18" ht="24" customHeight="1" x14ac:dyDescent="0.2">
      <c r="H478" s="341"/>
    </row>
  </sheetData>
  <autoFilter ref="A8:F476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 L398:L420 N398:N420 Q398:Q420 L426:L445 N426:N445 Q426:Q445 Q423 N423 L423 Q447:Q448 N447:N448 L447:L448">
    <cfRule type="cellIs" dxfId="82" priority="166" stopIfTrue="1" operator="greaterThan">
      <formula>1</formula>
    </cfRule>
  </conditionalFormatting>
  <conditionalFormatting sqref="M9 M398:M420 O398:O420 R398:R420 M426:M445 O426:O445 R426:R445 R423 O423 M423 R447:R448 O447:O448 M447:M448">
    <cfRule type="expression" dxfId="81" priority="167" stopIfTrue="1">
      <formula>L9&gt;1</formula>
    </cfRule>
    <cfRule type="expression" dxfId="80" priority="168" stopIfTrue="1">
      <formula>L9&lt;1</formula>
    </cfRule>
  </conditionalFormatting>
  <conditionalFormatting sqref="P9">
    <cfRule type="expression" dxfId="79" priority="169" stopIfTrue="1">
      <formula>(N9&gt;SUM(G9:G9))</formula>
    </cfRule>
    <cfRule type="expression" dxfId="78" priority="170" stopIfTrue="1">
      <formula>(N9&lt;SUM(G9:G9))</formula>
    </cfRule>
  </conditionalFormatting>
  <conditionalFormatting sqref="N9">
    <cfRule type="cellIs" dxfId="77" priority="163" stopIfTrue="1" operator="greaterThan">
      <formula>1</formula>
    </cfRule>
  </conditionalFormatting>
  <conditionalFormatting sqref="O9">
    <cfRule type="expression" dxfId="76" priority="164" stopIfTrue="1">
      <formula>N9&gt;1</formula>
    </cfRule>
    <cfRule type="expression" dxfId="75" priority="165" stopIfTrue="1">
      <formula>N9&lt;1</formula>
    </cfRule>
  </conditionalFormatting>
  <conditionalFormatting sqref="Q9">
    <cfRule type="cellIs" dxfId="74" priority="162" stopIfTrue="1" operator="greaterThan">
      <formula>1</formula>
    </cfRule>
  </conditionalFormatting>
  <conditionalFormatting sqref="R9">
    <cfRule type="expression" dxfId="73" priority="160" stopIfTrue="1">
      <formula>Q9&gt;1</formula>
    </cfRule>
    <cfRule type="expression" dxfId="72" priority="161" stopIfTrue="1">
      <formula>Q9&lt;1</formula>
    </cfRule>
  </conditionalFormatting>
  <conditionalFormatting sqref="M450">
    <cfRule type="expression" dxfId="71" priority="117" stopIfTrue="1">
      <formula>L450&gt;1</formula>
    </cfRule>
    <cfRule type="expression" dxfId="70" priority="118" stopIfTrue="1">
      <formula>L450&lt;1</formula>
    </cfRule>
  </conditionalFormatting>
  <conditionalFormatting sqref="L451:L472 L378:L384 L376 L386 L474">
    <cfRule type="cellIs" dxfId="69" priority="93" stopIfTrue="1" operator="greaterThan">
      <formula>1</formula>
    </cfRule>
  </conditionalFormatting>
  <conditionalFormatting sqref="M451:M472 M378:M384 M376 M386 M474">
    <cfRule type="expression" dxfId="68" priority="94" stopIfTrue="1">
      <formula>L376&gt;1</formula>
    </cfRule>
    <cfRule type="expression" dxfId="67" priority="95" stopIfTrue="1">
      <formula>L376&lt;1</formula>
    </cfRule>
  </conditionalFormatting>
  <conditionalFormatting sqref="P451:P472 P378:P384 P376 P398:P420 P426:P445 P386 P423 P447:P448 P474">
    <cfRule type="expression" dxfId="66" priority="96" stopIfTrue="1">
      <formula>(N376&gt;SUM(G376:G376))</formula>
    </cfRule>
    <cfRule type="expression" dxfId="65" priority="97" stopIfTrue="1">
      <formula>(N376&lt;SUM(G376:G376))</formula>
    </cfRule>
  </conditionalFormatting>
  <conditionalFormatting sqref="N451:N472 N378:N384 N376 N386 N474">
    <cfRule type="cellIs" dxfId="64" priority="90" stopIfTrue="1" operator="greaterThan">
      <formula>1</formula>
    </cfRule>
  </conditionalFormatting>
  <conditionalFormatting sqref="O451:O472 O378:O384 O376 O386 O474">
    <cfRule type="expression" dxfId="63" priority="91" stopIfTrue="1">
      <formula>N376&gt;1</formula>
    </cfRule>
    <cfRule type="expression" dxfId="62" priority="92" stopIfTrue="1">
      <formula>N376&lt;1</formula>
    </cfRule>
  </conditionalFormatting>
  <conditionalFormatting sqref="Q451:Q472 Q378:Q384 Q376 Q386 Q474">
    <cfRule type="cellIs" dxfId="61" priority="89" stopIfTrue="1" operator="greaterThan">
      <formula>1</formula>
    </cfRule>
  </conditionalFormatting>
  <conditionalFormatting sqref="R451:R472 R378:R384 R376 R386 R474">
    <cfRule type="expression" dxfId="60" priority="87" stopIfTrue="1">
      <formula>Q376&gt;1</formula>
    </cfRule>
    <cfRule type="expression" dxfId="59" priority="88" stopIfTrue="1">
      <formula>Q376&lt;1</formula>
    </cfRule>
  </conditionalFormatting>
  <conditionalFormatting sqref="Q421 N421 L421">
    <cfRule type="cellIs" dxfId="58" priority="40" stopIfTrue="1" operator="greaterThan">
      <formula>1</formula>
    </cfRule>
  </conditionalFormatting>
  <conditionalFormatting sqref="R421 O421 M421">
    <cfRule type="expression" dxfId="57" priority="41" stopIfTrue="1">
      <formula>L421&gt;1</formula>
    </cfRule>
    <cfRule type="expression" dxfId="56" priority="42" stopIfTrue="1">
      <formula>L421&lt;1</formula>
    </cfRule>
  </conditionalFormatting>
  <conditionalFormatting sqref="P421">
    <cfRule type="expression" dxfId="55" priority="38" stopIfTrue="1">
      <formula>(N421&gt;SUM(G421:G421))</formula>
    </cfRule>
    <cfRule type="expression" dxfId="54" priority="39" stopIfTrue="1">
      <formula>(N421&lt;SUM(G421:G421))</formula>
    </cfRule>
  </conditionalFormatting>
  <conditionalFormatting sqref="Q422 N422 L422">
    <cfRule type="cellIs" dxfId="53" priority="35" stopIfTrue="1" operator="greaterThan">
      <formula>1</formula>
    </cfRule>
  </conditionalFormatting>
  <conditionalFormatting sqref="R422 O422 M422">
    <cfRule type="expression" dxfId="52" priority="36" stopIfTrue="1">
      <formula>L422&gt;1</formula>
    </cfRule>
    <cfRule type="expression" dxfId="51" priority="37" stopIfTrue="1">
      <formula>L422&lt;1</formula>
    </cfRule>
  </conditionalFormatting>
  <conditionalFormatting sqref="P422">
    <cfRule type="expression" dxfId="50" priority="33" stopIfTrue="1">
      <formula>(N422&gt;SUM(G422:G422))</formula>
    </cfRule>
    <cfRule type="expression" dxfId="49" priority="34" stopIfTrue="1">
      <formula>(N422&lt;SUM(G422:G422))</formula>
    </cfRule>
  </conditionalFormatting>
  <conditionalFormatting sqref="L10:L19 L21:L27 L29:L46 L48:L49 L51:L73 L75:L78 L80:L98 L100:L105 L107:L174 L176:L213 L215:L219 L221:L244 L246:L248 L250:L258 L260:L273 L275:L292 L294:L297 L299:L323 L325:L355 L357:L374">
    <cfRule type="cellIs" dxfId="48" priority="28" stopIfTrue="1" operator="greaterThan">
      <formula>1</formula>
    </cfRule>
  </conditionalFormatting>
  <conditionalFormatting sqref="M10:M19 M21:M27 M29:M46 M48:M49 M51:M73 M75:M78 M80:M98 M100:M105 M107:M174 M176:M213 M215:M219 M221:M244 M246:M248 M250:M258 M260:M273 M275:M292 M294:M297 M299:M323 M325:M355 M357:M374">
    <cfRule type="expression" dxfId="47" priority="29" stopIfTrue="1">
      <formula>L10&gt;1</formula>
    </cfRule>
    <cfRule type="expression" dxfId="46" priority="30" stopIfTrue="1">
      <formula>L10&lt;1</formula>
    </cfRule>
  </conditionalFormatting>
  <conditionalFormatting sqref="P10:P19 P21:P27 P29:P46 P48:P49 P51:P73 P75:P78 P80:P98 P100:P105 P107:P174 P176:P213 P215:P219 P221:P244 P246:P248 P250:P258 P260:P273 P275:P292 P294:P297 P299:P323 P325:P355 P357:P374">
    <cfRule type="expression" dxfId="45" priority="31" stopIfTrue="1">
      <formula>(N10&gt;SUM(G10:G10))</formula>
    </cfRule>
    <cfRule type="expression" dxfId="44" priority="32" stopIfTrue="1">
      <formula>(N10&lt;SUM(G10:G10))</formula>
    </cfRule>
  </conditionalFormatting>
  <conditionalFormatting sqref="N10:N19 N21:N27 N29:N46 N48:N49 N51:N73 N75:N78 N80:N98 N100:N105 N107:N174 N176:N213 N215:N219 N221:N244 N246:N248 N250:N258 N260:N273 N275:N292 N294:N297 N299:N323 N325:N355 N357:N374">
    <cfRule type="cellIs" dxfId="43" priority="25" stopIfTrue="1" operator="greaterThan">
      <formula>1</formula>
    </cfRule>
  </conditionalFormatting>
  <conditionalFormatting sqref="O10:O19 O21:O27 O29:O46 O48:O49 O51:O73 O75:O78 O80:O98 O100:O105 O107:O174 O176:O213 O215:O219 O221:O244 O246:O248 O250:O258 O260:O273 O275:O292 O294:O297 O299:O323 O325:O355 O357:O374">
    <cfRule type="expression" dxfId="42" priority="26" stopIfTrue="1">
      <formula>N10&gt;1</formula>
    </cfRule>
    <cfRule type="expression" dxfId="41" priority="27" stopIfTrue="1">
      <formula>N10&lt;1</formula>
    </cfRule>
  </conditionalFormatting>
  <conditionalFormatting sqref="Q10:Q19 Q21:Q27 Q29:Q46 Q48:Q49 Q51:Q73 Q75:Q78 Q80:Q98 Q100:Q105 Q107:Q174 Q176:Q213 Q215:Q219 Q221:Q244 Q246:Q248 Q250:Q258 Q260:Q273 Q275:Q292 Q294:Q297 Q299:Q323 Q325:Q355 Q357:Q374">
    <cfRule type="cellIs" dxfId="40" priority="24" stopIfTrue="1" operator="greaterThan">
      <formula>1</formula>
    </cfRule>
  </conditionalFormatting>
  <conditionalFormatting sqref="R10:R19 R21:R27 R29:R46 R48:R49 R51:R73 R75:R78 R80:R98 R100:R105 R107:R174 R176:R213 R215:R219 R221:R244 R246:R248 R250:R258 R260:R273 R275:R292 R294:R297 R299:R323 R325:R355 R357:R374">
    <cfRule type="expression" dxfId="39" priority="22" stopIfTrue="1">
      <formula>Q10&gt;1</formula>
    </cfRule>
    <cfRule type="expression" dxfId="38" priority="23" stopIfTrue="1">
      <formula>Q10&lt;1</formula>
    </cfRule>
  </conditionalFormatting>
  <conditionalFormatting sqref="L387:L396">
    <cfRule type="cellIs" dxfId="37" priority="17" stopIfTrue="1" operator="greaterThan">
      <formula>1</formula>
    </cfRule>
  </conditionalFormatting>
  <conditionalFormatting sqref="M387:M396">
    <cfRule type="expression" dxfId="36" priority="18" stopIfTrue="1">
      <formula>L387&gt;1</formula>
    </cfRule>
    <cfRule type="expression" dxfId="35" priority="19" stopIfTrue="1">
      <formula>L387&lt;1</formula>
    </cfRule>
  </conditionalFormatting>
  <conditionalFormatting sqref="P387:P396">
    <cfRule type="expression" dxfId="34" priority="20" stopIfTrue="1">
      <formula>(N387&gt;SUM(G387:G387))</formula>
    </cfRule>
    <cfRule type="expression" dxfId="33" priority="21" stopIfTrue="1">
      <formula>(N387&lt;SUM(G387:G387))</formula>
    </cfRule>
  </conditionalFormatting>
  <conditionalFormatting sqref="N387:N396">
    <cfRule type="cellIs" dxfId="32" priority="14" stopIfTrue="1" operator="greaterThan">
      <formula>1</formula>
    </cfRule>
  </conditionalFormatting>
  <conditionalFormatting sqref="O387:O396">
    <cfRule type="expression" dxfId="31" priority="15" stopIfTrue="1">
      <formula>N387&gt;1</formula>
    </cfRule>
    <cfRule type="expression" dxfId="30" priority="16" stopIfTrue="1">
      <formula>N387&lt;1</formula>
    </cfRule>
  </conditionalFormatting>
  <conditionalFormatting sqref="Q387:Q396">
    <cfRule type="cellIs" dxfId="29" priority="13" stopIfTrue="1" operator="greaterThan">
      <formula>1</formula>
    </cfRule>
  </conditionalFormatting>
  <conditionalFormatting sqref="R387:R396">
    <cfRule type="expression" dxfId="28" priority="11" stopIfTrue="1">
      <formula>Q387&gt;1</formula>
    </cfRule>
    <cfRule type="expression" dxfId="27" priority="12" stopIfTrue="1">
      <formula>Q387&lt;1</formula>
    </cfRule>
  </conditionalFormatting>
  <conditionalFormatting sqref="Q424 N424 L424">
    <cfRule type="cellIs" dxfId="26" priority="8" stopIfTrue="1" operator="greaterThan">
      <formula>1</formula>
    </cfRule>
  </conditionalFormatting>
  <conditionalFormatting sqref="R424 O424 M424">
    <cfRule type="expression" dxfId="25" priority="9" stopIfTrue="1">
      <formula>L424&gt;1</formula>
    </cfRule>
    <cfRule type="expression" dxfId="24" priority="10" stopIfTrue="1">
      <formula>L424&lt;1</formula>
    </cfRule>
  </conditionalFormatting>
  <conditionalFormatting sqref="P424">
    <cfRule type="expression" dxfId="23" priority="6" stopIfTrue="1">
      <formula>(N424&gt;SUM(G424:G424))</formula>
    </cfRule>
    <cfRule type="expression" dxfId="22" priority="7" stopIfTrue="1">
      <formula>(N424&lt;SUM(G424:G424))</formula>
    </cfRule>
  </conditionalFormatting>
  <conditionalFormatting sqref="Q449 N449 L449">
    <cfRule type="cellIs" dxfId="21" priority="3" stopIfTrue="1" operator="greaterThan">
      <formula>1</formula>
    </cfRule>
  </conditionalFormatting>
  <conditionalFormatting sqref="R449 O449 M449">
    <cfRule type="expression" dxfId="20" priority="4" stopIfTrue="1">
      <formula>L449&gt;1</formula>
    </cfRule>
    <cfRule type="expression" dxfId="19" priority="5" stopIfTrue="1">
      <formula>L449&lt;1</formula>
    </cfRule>
  </conditionalFormatting>
  <conditionalFormatting sqref="P449">
    <cfRule type="expression" dxfId="18" priority="1" stopIfTrue="1">
      <formula>(N449&gt;SUM(G449:G449))</formula>
    </cfRule>
    <cfRule type="expression" dxfId="17" priority="2" stopIfTrue="1">
      <formula>(N449&lt;SUM(G449:G449))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5"/>
  <sheetViews>
    <sheetView showZeros="0" tabSelected="1" zoomScale="60" zoomScaleNormal="60" workbookViewId="0">
      <pane xSplit="6" ySplit="15" topLeftCell="J43" activePane="bottomRight" state="frozen"/>
      <selection activeCell="C2" sqref="C1:H2"/>
      <selection pane="topRight" activeCell="C2" sqref="C1:H2"/>
      <selection pane="bottomLeft" activeCell="C2" sqref="C1:H2"/>
      <selection pane="bottomRight" activeCell="R13" sqref="R13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18.2851562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79"/>
    <col min="20" max="16384" width="11.42578125" style="221"/>
  </cols>
  <sheetData>
    <row r="2" spans="2:19" ht="50.1" customHeight="1" x14ac:dyDescent="0.2">
      <c r="B2" s="223"/>
      <c r="C2" s="263"/>
      <c r="D2" s="1291" t="s">
        <v>319</v>
      </c>
      <c r="E2" s="1292"/>
      <c r="F2" s="1292"/>
      <c r="G2" s="1292"/>
      <c r="H2" s="1292"/>
      <c r="I2" s="1292"/>
      <c r="J2" s="1292"/>
      <c r="K2" s="1292"/>
      <c r="L2" s="1292"/>
      <c r="M2" s="1293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7"/>
    </row>
    <row r="4" spans="2:19" s="225" customFormat="1" ht="21" customHeight="1" x14ac:dyDescent="0.2">
      <c r="B4" s="1295" t="s">
        <v>846</v>
      </c>
      <c r="C4" s="1296" t="s">
        <v>2779</v>
      </c>
      <c r="D4" s="701"/>
      <c r="E4" s="701"/>
      <c r="F4" s="701"/>
      <c r="G4" s="1285"/>
      <c r="H4" s="695"/>
      <c r="I4" s="1294"/>
      <c r="J4" s="1294"/>
      <c r="K4" s="1294"/>
      <c r="L4" s="1294"/>
      <c r="M4" s="1294"/>
      <c r="N4" s="1294"/>
      <c r="O4" s="1294"/>
      <c r="P4" s="1294"/>
      <c r="Q4" s="1284"/>
      <c r="R4" s="1285"/>
      <c r="S4" s="508"/>
    </row>
    <row r="5" spans="2:19" s="226" customFormat="1" ht="16.5" customHeight="1" x14ac:dyDescent="0.2">
      <c r="B5" s="1295"/>
      <c r="C5" s="1296"/>
      <c r="D5" s="701"/>
      <c r="E5" s="701"/>
      <c r="F5" s="701"/>
      <c r="G5" s="1285"/>
      <c r="H5" s="695"/>
      <c r="I5" s="1294"/>
      <c r="J5" s="1294"/>
      <c r="K5" s="1294"/>
      <c r="L5" s="1294"/>
      <c r="M5" s="1294"/>
      <c r="N5" s="1294"/>
      <c r="O5" s="1294"/>
      <c r="P5" s="1294"/>
      <c r="Q5" s="1284"/>
      <c r="R5" s="1285"/>
      <c r="S5" s="509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7"/>
    </row>
    <row r="7" spans="2:19" s="224" customFormat="1" ht="23.25" customHeight="1" x14ac:dyDescent="0.2">
      <c r="B7" s="1267" t="s">
        <v>304</v>
      </c>
      <c r="C7" s="1267"/>
      <c r="D7" s="1267"/>
      <c r="E7" s="1267"/>
      <c r="F7" s="1267"/>
      <c r="G7" s="1290" t="s">
        <v>305</v>
      </c>
      <c r="H7" s="1286"/>
      <c r="I7" s="1286"/>
      <c r="J7" s="1286"/>
      <c r="K7" s="1286"/>
      <c r="L7" s="1286"/>
      <c r="M7" s="1286"/>
      <c r="N7" s="1286"/>
      <c r="O7" s="1286"/>
      <c r="P7" s="1286"/>
      <c r="Q7" s="1286" t="s">
        <v>30</v>
      </c>
      <c r="R7" s="1286"/>
      <c r="S7" s="507"/>
    </row>
    <row r="8" spans="2:19" s="224" customFormat="1" ht="20.100000000000001" customHeight="1" x14ac:dyDescent="0.25">
      <c r="B8" s="1263" t="s">
        <v>315</v>
      </c>
      <c r="C8" s="1263"/>
      <c r="D8" s="1263"/>
      <c r="E8" s="1263"/>
      <c r="F8" s="301">
        <f>'Análise Física Detalhada'!$J$481</f>
        <v>8797806.3599999994</v>
      </c>
      <c r="G8" s="1264"/>
      <c r="H8" s="1265"/>
      <c r="I8" s="1265"/>
      <c r="J8" s="1265"/>
      <c r="K8" s="1265"/>
      <c r="L8" s="1266"/>
      <c r="M8" s="1266"/>
      <c r="N8" s="806"/>
      <c r="O8" s="806"/>
      <c r="P8" s="799"/>
      <c r="Q8" s="799"/>
      <c r="R8" s="806"/>
      <c r="S8" s="507"/>
    </row>
    <row r="9" spans="2:19" s="224" customFormat="1" ht="20.100000000000001" customHeight="1" x14ac:dyDescent="0.2">
      <c r="B9" s="1270" t="s">
        <v>306</v>
      </c>
      <c r="C9" s="1270"/>
      <c r="D9" s="270"/>
      <c r="E9" s="269"/>
      <c r="F9" s="300">
        <v>44075</v>
      </c>
      <c r="G9" s="800" t="s">
        <v>1371</v>
      </c>
      <c r="H9" s="801"/>
      <c r="I9" s="802"/>
      <c r="J9" s="801"/>
      <c r="K9" s="801"/>
      <c r="L9" s="801"/>
      <c r="M9" s="801"/>
      <c r="N9" s="807"/>
      <c r="O9" s="807"/>
      <c r="P9" s="803"/>
      <c r="Q9" s="803"/>
      <c r="R9" s="807">
        <f>$D$48</f>
        <v>9032654.8082576357</v>
      </c>
      <c r="S9" s="507"/>
    </row>
    <row r="10" spans="2:19" s="224" customFormat="1" ht="20.100000000000001" customHeight="1" x14ac:dyDescent="0.2">
      <c r="B10" s="1270" t="s">
        <v>316</v>
      </c>
      <c r="C10" s="1270"/>
      <c r="D10" s="271"/>
      <c r="E10" s="269"/>
      <c r="F10" s="303">
        <v>8.1470099999999999</v>
      </c>
      <c r="G10" s="1264" t="s">
        <v>307</v>
      </c>
      <c r="H10" s="1265"/>
      <c r="I10" s="1265"/>
      <c r="J10" s="1265"/>
      <c r="K10" s="1265"/>
      <c r="L10" s="1275"/>
      <c r="M10" s="1275"/>
      <c r="N10" s="1275"/>
      <c r="O10" s="1275"/>
      <c r="P10" s="799"/>
      <c r="Q10" s="799"/>
      <c r="R10" s="808">
        <v>44104</v>
      </c>
      <c r="S10" s="507"/>
    </row>
    <row r="11" spans="2:19" s="224" customFormat="1" ht="20.100000000000001" customHeight="1" x14ac:dyDescent="0.2">
      <c r="B11" s="796" t="s">
        <v>2789</v>
      </c>
      <c r="C11" s="797"/>
      <c r="D11" s="797"/>
      <c r="E11" s="797"/>
      <c r="F11" s="805">
        <v>8.1470099999999999</v>
      </c>
      <c r="G11" s="1271" t="s">
        <v>317</v>
      </c>
      <c r="H11" s="1272"/>
      <c r="I11" s="1273"/>
      <c r="J11" s="1273"/>
      <c r="K11" s="1273"/>
      <c r="L11" s="1274"/>
      <c r="M11" s="1274"/>
      <c r="N11" s="804"/>
      <c r="O11" s="804"/>
      <c r="P11" s="803"/>
      <c r="Q11" s="803"/>
      <c r="R11" s="804">
        <v>8.2877799999999997</v>
      </c>
      <c r="S11" s="507"/>
    </row>
    <row r="12" spans="2:19" s="224" customFormat="1" ht="20.100000000000001" customHeight="1" x14ac:dyDescent="0.2">
      <c r="B12" s="797"/>
      <c r="C12" s="795"/>
      <c r="D12" s="271"/>
      <c r="E12" s="272"/>
      <c r="F12" s="302"/>
      <c r="G12" s="1297" t="s">
        <v>1981</v>
      </c>
      <c r="H12" s="1298"/>
      <c r="I12" s="1298"/>
      <c r="J12" s="1298"/>
      <c r="K12" s="1298"/>
      <c r="L12" s="1298"/>
      <c r="M12" s="1298"/>
      <c r="N12" s="1299"/>
      <c r="O12" s="1299"/>
      <c r="P12" s="799"/>
      <c r="Q12" s="799"/>
      <c r="R12" s="882">
        <v>1.73</v>
      </c>
      <c r="S12" s="507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7"/>
    </row>
    <row r="14" spans="2:19" s="230" customFormat="1" ht="15.75" customHeight="1" x14ac:dyDescent="0.2">
      <c r="B14" s="1300" t="s">
        <v>5</v>
      </c>
      <c r="C14" s="1301" t="s">
        <v>39</v>
      </c>
      <c r="D14" s="354" t="s">
        <v>308</v>
      </c>
      <c r="E14" s="1302" t="s">
        <v>309</v>
      </c>
      <c r="F14" s="1302"/>
      <c r="G14" s="1280" t="s">
        <v>729</v>
      </c>
      <c r="H14" s="1281"/>
      <c r="I14" s="1276" t="s">
        <v>311</v>
      </c>
      <c r="J14" s="1278" t="s">
        <v>320</v>
      </c>
      <c r="K14" s="1303" t="s">
        <v>310</v>
      </c>
      <c r="L14" s="1305" t="s">
        <v>301</v>
      </c>
      <c r="M14" s="1306"/>
      <c r="N14" s="1307" t="s">
        <v>302</v>
      </c>
      <c r="O14" s="1308"/>
      <c r="P14" s="1287" t="s">
        <v>321</v>
      </c>
      <c r="Q14" s="1282" t="s">
        <v>325</v>
      </c>
      <c r="R14" s="1283"/>
      <c r="S14" s="510"/>
    </row>
    <row r="15" spans="2:19" s="230" customFormat="1" ht="52.5" customHeight="1" x14ac:dyDescent="0.2">
      <c r="B15" s="1300"/>
      <c r="C15" s="1301"/>
      <c r="D15" s="810" t="s">
        <v>1369</v>
      </c>
      <c r="E15" s="304" t="s">
        <v>56</v>
      </c>
      <c r="F15" s="351">
        <v>44104</v>
      </c>
      <c r="G15" s="457" t="s">
        <v>730</v>
      </c>
      <c r="H15" s="458" t="s">
        <v>731</v>
      </c>
      <c r="I15" s="1277"/>
      <c r="J15" s="1279"/>
      <c r="K15" s="1304"/>
      <c r="L15" s="273" t="s">
        <v>303</v>
      </c>
      <c r="M15" s="265" t="s">
        <v>318</v>
      </c>
      <c r="N15" s="273" t="s">
        <v>303</v>
      </c>
      <c r="O15" s="265" t="s">
        <v>318</v>
      </c>
      <c r="P15" s="1287"/>
      <c r="Q15" s="349" t="s">
        <v>323</v>
      </c>
      <c r="R15" s="350" t="s">
        <v>324</v>
      </c>
      <c r="S15" s="510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0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1"/>
    </row>
    <row r="18" spans="1:19" s="280" customFormat="1" ht="30" customHeight="1" x14ac:dyDescent="0.2">
      <c r="A18" s="289"/>
      <c r="B18" s="293" t="s">
        <v>75</v>
      </c>
      <c r="C18" s="278" t="str">
        <f>VLOOKUP($B18,'Análise Física Detalhada'!$E$13:$J$412,2,0)</f>
        <v>PROJETOS</v>
      </c>
      <c r="D18" s="279">
        <f>VLOOKUP($B18,'Análise Física Detalhada'!$E$13:$V$412,18,0)</f>
        <v>173226.27362296745</v>
      </c>
      <c r="E18" s="305">
        <f>VLOOKUP($B18,'Econômico Detalhado'!$B$8:$F$432,4,0)</f>
        <v>0.76503719672707837</v>
      </c>
      <c r="F18" s="327">
        <f t="shared" ref="F18:F37" si="0">$E18*$D18</f>
        <v>132524.54277199286</v>
      </c>
      <c r="G18" s="314">
        <f>SUMIF('[2]Despesas Diretas'!$A$5:$A$9944,$B18,'[2]Despesas Diretas'!$H$5:$H$9944)</f>
        <v>121570.2</v>
      </c>
      <c r="H18" s="314">
        <f>SUMIF('[3]Despesas Diretas'!$A$5:$A$9999,$B18,'[3]Despesas Diretas'!$H$5:$H$9999)</f>
        <v>6266.5999999999995</v>
      </c>
      <c r="I18" s="448">
        <f>SUMIF([4]Comprometimento!$A$6:$A$147,$B18,[4]Comprometimento!$E$6:$E$147)</f>
        <v>0</v>
      </c>
      <c r="J18" s="449">
        <f>SUMIF([4]Estoque!$A$6:$A$880,$B18,[4]Estoque!$H$6:$H$880)</f>
        <v>0</v>
      </c>
      <c r="K18" s="451">
        <f t="shared" ref="K18:K37" si="1">SUM($G18:$I18)-$J18</f>
        <v>127836.8</v>
      </c>
      <c r="L18" s="453">
        <f t="shared" ref="L18:L37" si="2">IF($F18=0,0,$K18/$F18)</f>
        <v>0.9646273612876517</v>
      </c>
      <c r="M18" s="454">
        <f t="shared" ref="M18:M38" si="3">IF($L18=0,0,$K18-$F18)</f>
        <v>-4687.7427719928528</v>
      </c>
      <c r="N18" s="453">
        <v>0.92574270517333812</v>
      </c>
      <c r="O18" s="454">
        <v>-2822.2781895758962</v>
      </c>
      <c r="P18" s="454">
        <f t="shared" ref="P18:P38" si="4">$M18-$O18</f>
        <v>-1865.4645824169565</v>
      </c>
      <c r="Q18" s="453">
        <f t="shared" ref="Q18:Q38" si="5">IF($D18=0,0,IF(($F18/$D18)&lt;20%,1,IF($D18=0,0,IF(($F18/$D18)=1,$L18,IF(($F18/$D18)=0,1,IF($L18&lt;1,(+$L18*($F18/$D18))+(1-((1-$L18)/2))*(1-($F18/$D18)),(+$L18*($F18/$D18))+(1+(($L18-1)/2))*(1-($F18/$D18))))))))</f>
        <v>0.96878298846315847</v>
      </c>
      <c r="R18" s="328">
        <f t="shared" ref="R18:R37" si="6">IF($Q18="","",$Q18*$D18)</f>
        <v>167818.6670407952</v>
      </c>
      <c r="S18" s="512"/>
    </row>
    <row r="19" spans="1:19" s="280" customFormat="1" ht="30" customHeight="1" x14ac:dyDescent="0.2">
      <c r="A19" s="289"/>
      <c r="B19" s="293" t="s">
        <v>82</v>
      </c>
      <c r="C19" s="278" t="str">
        <f>VLOOKUP($B19,'Análise Física Detalhada'!$E$13:$J$412,2,0)</f>
        <v>LAUDOS E ESTUDOS</v>
      </c>
      <c r="D19" s="279">
        <f>VLOOKUP($B19,'Análise Física Detalhada'!$E$13:$V$412,18,0)</f>
        <v>46773.552599464689</v>
      </c>
      <c r="E19" s="305">
        <f>VLOOKUP($B19,'Econômico Detalhado'!$B$8:$F$432,4,0)</f>
        <v>0.56237730903816197</v>
      </c>
      <c r="F19" s="327">
        <f t="shared" si="0"/>
        <v>26304.384645041879</v>
      </c>
      <c r="G19" s="314">
        <f>SUMIF('[2]Despesas Diretas'!$A$5:$A$9944,$B19,'[2]Despesas Diretas'!$H$5:$H$9944)</f>
        <v>9087.39</v>
      </c>
      <c r="H19" s="443">
        <f>SUMIF('[3]Despesas Diretas'!$A$5:$A$9999,$B19,'[3]Despesas Diretas'!$H$5:$H$9999)</f>
        <v>11.4</v>
      </c>
      <c r="I19" s="448">
        <f>SUMIF([4]Comprometimento!$A$6:$A$147,$B19,[4]Comprometimento!$E$6:$E$147)</f>
        <v>0</v>
      </c>
      <c r="J19" s="449">
        <f>SUMIF([4]Estoque!$A$6:$A$880,$B19,[4]Estoque!$H$6:$H$880)</f>
        <v>0</v>
      </c>
      <c r="K19" s="451">
        <f t="shared" si="1"/>
        <v>9098.7899999999991</v>
      </c>
      <c r="L19" s="453">
        <f t="shared" si="2"/>
        <v>0.34590392905142653</v>
      </c>
      <c r="M19" s="454">
        <f t="shared" si="3"/>
        <v>-17205.594645041878</v>
      </c>
      <c r="N19" s="453">
        <v>0.20577810158201498</v>
      </c>
      <c r="O19" s="454">
        <v>-19077.21</v>
      </c>
      <c r="P19" s="454">
        <f t="shared" si="4"/>
        <v>1871.6153549581213</v>
      </c>
      <c r="Q19" s="453">
        <f t="shared" si="5"/>
        <v>0.48902757040946654</v>
      </c>
      <c r="R19" s="328">
        <f t="shared" si="6"/>
        <v>22873.556787135603</v>
      </c>
      <c r="S19" s="512"/>
    </row>
    <row r="20" spans="1:19" s="280" customFormat="1" ht="30" customHeight="1" x14ac:dyDescent="0.2">
      <c r="A20" s="289"/>
      <c r="B20" s="293" t="s">
        <v>86</v>
      </c>
      <c r="C20" s="278" t="str">
        <f>VLOOKUP($B20,'Análise Física Detalhada'!$E$13:$J$412,2,0)</f>
        <v>SERVIÇOS PRELIMINARES</v>
      </c>
      <c r="D20" s="279">
        <f>VLOOKUP($B20,'Análise Física Detalhada'!$E$13:$V$412,18,0)</f>
        <v>43061.185044504804</v>
      </c>
      <c r="E20" s="305">
        <f>VLOOKUP($B20,'Econômico Detalhado'!$B$8:$F$432,4,0)</f>
        <v>0.6503478745663035</v>
      </c>
      <c r="F20" s="327">
        <f t="shared" si="0"/>
        <v>28004.750169999996</v>
      </c>
      <c r="G20" s="314">
        <f>SUMIF('[2]Despesas Diretas'!$A$5:$A$9944,$B20,'[2]Despesas Diretas'!$H$5:$H$9944)</f>
        <v>39182.879999999997</v>
      </c>
      <c r="H20" s="443">
        <f>SUMIF('[3]Despesas Diretas'!$A$5:$A$9999,$B20,'[3]Despesas Diretas'!$H$5:$H$9999)</f>
        <v>2600.91</v>
      </c>
      <c r="I20" s="448">
        <f>SUMIF([4]Comprometimento!$A$6:$A$147,$B20,[4]Comprometimento!$E$6:$E$147)</f>
        <v>0</v>
      </c>
      <c r="J20" s="449">
        <f>SUMIF([4]Estoque!$A$6:$A$880,$B20,[4]Estoque!$H$6:$H$880)</f>
        <v>11351.9</v>
      </c>
      <c r="K20" s="451">
        <f t="shared" si="1"/>
        <v>30431.889999999992</v>
      </c>
      <c r="L20" s="453">
        <f t="shared" si="2"/>
        <v>1.0866688620775509</v>
      </c>
      <c r="M20" s="454">
        <f t="shared" si="3"/>
        <v>2427.1398299999964</v>
      </c>
      <c r="N20" s="453">
        <v>0.40273824343076975</v>
      </c>
      <c r="O20" s="454">
        <v>-16720.969999999998</v>
      </c>
      <c r="P20" s="454">
        <f t="shared" si="4"/>
        <v>19148.109829999994</v>
      </c>
      <c r="Q20" s="453">
        <f t="shared" si="5"/>
        <v>1.0715168861603832</v>
      </c>
      <c r="R20" s="328">
        <f t="shared" si="6"/>
        <v>46140.786913263852</v>
      </c>
      <c r="S20" s="512"/>
    </row>
    <row r="21" spans="1:19" s="280" customFormat="1" ht="30" customHeight="1" x14ac:dyDescent="0.2">
      <c r="A21" s="289"/>
      <c r="B21" s="293" t="s">
        <v>91</v>
      </c>
      <c r="C21" s="278" t="str">
        <f>VLOOKUP($B21,'Análise Física Detalhada'!$E$13:$J$412,2,0)</f>
        <v>TERRAPLENAGEM</v>
      </c>
      <c r="D21" s="279">
        <f>VLOOKUP($B21,'Análise Física Detalhada'!$E$13:$V$412,18,0)</f>
        <v>39800</v>
      </c>
      <c r="E21" s="305">
        <f>VLOOKUP($B21,'Econômico Detalhado'!$B$8:$F$432,4,0)</f>
        <v>1</v>
      </c>
      <c r="F21" s="327">
        <f t="shared" si="0"/>
        <v>39800</v>
      </c>
      <c r="G21" s="314">
        <f>SUMIF('[2]Despesas Diretas'!$A$5:$A$9944,$B21,'[2]Despesas Diretas'!$H$5:$H$9944)</f>
        <v>27237.09</v>
      </c>
      <c r="H21" s="443">
        <f>SUMIF('[3]Despesas Diretas'!$A$5:$A$9999,$B21,'[3]Despesas Diretas'!$H$5:$H$9999)</f>
        <v>26.29</v>
      </c>
      <c r="I21" s="448">
        <f>SUMIF([4]Comprometimento!$A$6:$A$147,$B21,[4]Comprometimento!$E$6:$E$147)</f>
        <v>0</v>
      </c>
      <c r="J21" s="449">
        <f>SUMIF([4]Estoque!$A$6:$A$880,$B21,[4]Estoque!$H$6:$H$880)</f>
        <v>0</v>
      </c>
      <c r="K21" s="451">
        <f t="shared" si="1"/>
        <v>27263.38</v>
      </c>
      <c r="L21" s="453">
        <f t="shared" si="2"/>
        <v>0.68500954773869349</v>
      </c>
      <c r="M21" s="454">
        <f t="shared" si="3"/>
        <v>-12536.619999999999</v>
      </c>
      <c r="N21" s="453">
        <v>0.64572864321608037</v>
      </c>
      <c r="O21" s="454">
        <v>-14100</v>
      </c>
      <c r="P21" s="454">
        <f t="shared" si="4"/>
        <v>1563.380000000001</v>
      </c>
      <c r="Q21" s="453">
        <f t="shared" si="5"/>
        <v>0.68500954773869349</v>
      </c>
      <c r="R21" s="328">
        <f t="shared" si="6"/>
        <v>27263.38</v>
      </c>
      <c r="S21" s="512"/>
    </row>
    <row r="22" spans="1:19" s="280" customFormat="1" ht="30" customHeight="1" x14ac:dyDescent="0.2">
      <c r="A22" s="289"/>
      <c r="B22" s="293" t="s">
        <v>95</v>
      </c>
      <c r="C22" s="278" t="str">
        <f>VLOOKUP($B22,'Análise Física Detalhada'!$E$13:$J$412,2,0)</f>
        <v>FUNDAÇÃO</v>
      </c>
      <c r="D22" s="279">
        <f>VLOOKUP($B22,'Análise Física Detalhada'!$E$13:$V$412,18,0)</f>
        <v>580536.68538212858</v>
      </c>
      <c r="E22" s="305">
        <f>VLOOKUP($B22,'Econômico Detalhado'!$B$8:$F$432,4,0)</f>
        <v>0.53967913597323025</v>
      </c>
      <c r="F22" s="327">
        <f t="shared" si="0"/>
        <v>313303.53676779015</v>
      </c>
      <c r="G22" s="314">
        <f>SUMIF('[2]Despesas Diretas'!$A$5:$A$9944,$B22,'[2]Despesas Diretas'!$H$5:$H$9944)</f>
        <v>221018.28999999998</v>
      </c>
      <c r="H22" s="443">
        <f>SUMIF('[3]Despesas Diretas'!$A$5:$A$9999,$B22,'[3]Despesas Diretas'!$H$5:$H$9999)</f>
        <v>11995.729999999998</v>
      </c>
      <c r="I22" s="448">
        <f>SUMIF([4]Comprometimento!$A$6:$A$147,$B22,[4]Comprometimento!$E$6:$E$147)</f>
        <v>90838.307036726692</v>
      </c>
      <c r="J22" s="449">
        <f>SUMIF([4]Estoque!$A$6:$A$880,$B22,[4]Estoque!$H$6:$H$880)</f>
        <v>35001.550000000003</v>
      </c>
      <c r="K22" s="451">
        <f t="shared" si="1"/>
        <v>288850.77703672671</v>
      </c>
      <c r="L22" s="453">
        <f t="shared" si="2"/>
        <v>0.92195185543281311</v>
      </c>
      <c r="M22" s="454">
        <f t="shared" si="3"/>
        <v>-24452.759731063445</v>
      </c>
      <c r="N22" s="453">
        <v>1.1974911622693711</v>
      </c>
      <c r="O22" s="454">
        <v>19507.800295534587</v>
      </c>
      <c r="P22" s="454">
        <f t="shared" si="4"/>
        <v>-43960.560026598032</v>
      </c>
      <c r="Q22" s="453">
        <f t="shared" si="5"/>
        <v>0.93991545010423994</v>
      </c>
      <c r="R22" s="328">
        <f t="shared" si="6"/>
        <v>545655.39994296688</v>
      </c>
      <c r="S22" s="512"/>
    </row>
    <row r="23" spans="1:19" s="280" customFormat="1" ht="30" customHeight="1" x14ac:dyDescent="0.2">
      <c r="A23" s="289"/>
      <c r="B23" s="293" t="s">
        <v>105</v>
      </c>
      <c r="C23" s="278" t="str">
        <f>VLOOKUP($B23,'Análise Física Detalhada'!$E$13:$J$412,2,0)</f>
        <v>SUPER-ESTRUTURA</v>
      </c>
      <c r="D23" s="279">
        <f>VLOOKUP($B23,'Análise Física Detalhada'!$E$13:$V$412,18,0)</f>
        <v>1100502.1344380185</v>
      </c>
      <c r="E23" s="305">
        <f>VLOOKUP($B23,'Econômico Detalhado'!$B$8:$F$432,4,0)</f>
        <v>0</v>
      </c>
      <c r="F23" s="327">
        <f t="shared" si="0"/>
        <v>0</v>
      </c>
      <c r="G23" s="314">
        <f>SUMIF('[2]Despesas Diretas'!$A$5:$A$9944,$B23,'[2]Despesas Diretas'!$H$5:$H$9944)</f>
        <v>0</v>
      </c>
      <c r="H23" s="443">
        <f>SUMIF('[3]Despesas Diretas'!$A$5:$A$9999,$B23,'[3]Despesas Diretas'!$H$5:$H$9999)</f>
        <v>0</v>
      </c>
      <c r="I23" s="448">
        <f>SUMIF([4]Comprometimento!$A$6:$A$147,$B23,[4]Comprometimento!$E$6:$E$147)</f>
        <v>0</v>
      </c>
      <c r="J23" s="449">
        <f>SUMIF([4]Estoque!$A$6:$A$880,$B23,[4]Estoque!$H$6:$H$880)</f>
        <v>0</v>
      </c>
      <c r="K23" s="451">
        <f t="shared" si="1"/>
        <v>0</v>
      </c>
      <c r="L23" s="453">
        <f t="shared" si="2"/>
        <v>0</v>
      </c>
      <c r="M23" s="454">
        <f t="shared" si="3"/>
        <v>0</v>
      </c>
      <c r="N23" s="453">
        <v>0</v>
      </c>
      <c r="O23" s="454">
        <v>0</v>
      </c>
      <c r="P23" s="454">
        <f t="shared" si="4"/>
        <v>0</v>
      </c>
      <c r="Q23" s="453">
        <f t="shared" si="5"/>
        <v>1</v>
      </c>
      <c r="R23" s="328">
        <f t="shared" si="6"/>
        <v>1100502.1344380185</v>
      </c>
      <c r="S23" s="512"/>
    </row>
    <row r="24" spans="1:19" s="280" customFormat="1" ht="30" customHeight="1" x14ac:dyDescent="0.2">
      <c r="A24" s="289"/>
      <c r="B24" s="293" t="s">
        <v>108</v>
      </c>
      <c r="C24" s="278" t="str">
        <f>VLOOKUP($B24,'Análise Física Detalhada'!$E$13:$J$412,2,0)</f>
        <v>ALVENARIA / FECHAMENTO</v>
      </c>
      <c r="D24" s="279">
        <f>VLOOKUP($B24,'Análise Física Detalhada'!$E$13:$V$412,18,0)</f>
        <v>223315.11512617685</v>
      </c>
      <c r="E24" s="305">
        <f>VLOOKUP($B24,'Econômico Detalhado'!$B$8:$F$432,4,0)</f>
        <v>0</v>
      </c>
      <c r="F24" s="327">
        <f t="shared" si="0"/>
        <v>0</v>
      </c>
      <c r="G24" s="314">
        <f>SUMIF('[2]Despesas Diretas'!$A$5:$A$9944,$B24,'[2]Despesas Diretas'!$H$5:$H$9944)</f>
        <v>0</v>
      </c>
      <c r="H24" s="443">
        <f>SUMIF('[3]Despesas Diretas'!$A$5:$A$9999,$B24,'[3]Despesas Diretas'!$H$5:$H$9999)</f>
        <v>0</v>
      </c>
      <c r="I24" s="448">
        <f>SUMIF([4]Comprometimento!$A$6:$A$147,$B24,[4]Comprometimento!$E$6:$E$147)</f>
        <v>0</v>
      </c>
      <c r="J24" s="449">
        <f>SUMIF([4]Estoque!$A$6:$A$880,$B24,[4]Estoque!$H$6:$H$880)</f>
        <v>0</v>
      </c>
      <c r="K24" s="451">
        <f t="shared" si="1"/>
        <v>0</v>
      </c>
      <c r="L24" s="453">
        <f t="shared" si="2"/>
        <v>0</v>
      </c>
      <c r="M24" s="454">
        <f t="shared" si="3"/>
        <v>0</v>
      </c>
      <c r="N24" s="453">
        <v>0</v>
      </c>
      <c r="O24" s="454">
        <v>0</v>
      </c>
      <c r="P24" s="454">
        <f t="shared" si="4"/>
        <v>0</v>
      </c>
      <c r="Q24" s="453">
        <f t="shared" si="5"/>
        <v>1</v>
      </c>
      <c r="R24" s="328">
        <f t="shared" si="6"/>
        <v>223315.11512617685</v>
      </c>
      <c r="S24" s="512"/>
    </row>
    <row r="25" spans="1:19" s="280" customFormat="1" ht="30" customHeight="1" x14ac:dyDescent="0.2">
      <c r="A25" s="289"/>
      <c r="B25" s="293" t="s">
        <v>110</v>
      </c>
      <c r="C25" s="278" t="str">
        <f>VLOOKUP($B25,'Análise Física Detalhada'!$E$13:$J$412,2,0)</f>
        <v>IMPERMEABILIZAÇÃO / ISOLAMENTO</v>
      </c>
      <c r="D25" s="279">
        <f>VLOOKUP($B25,'Análise Física Detalhada'!$E$13:$V$412,18,0)</f>
        <v>85144.774998207606</v>
      </c>
      <c r="E25" s="305">
        <f>VLOOKUP($B25,'Econômico Detalhado'!$B$8:$F$432,4,0)</f>
        <v>0</v>
      </c>
      <c r="F25" s="327">
        <f t="shared" si="0"/>
        <v>0</v>
      </c>
      <c r="G25" s="314">
        <f>SUMIF('[2]Despesas Diretas'!$A$5:$A$9944,$B25,'[2]Despesas Diretas'!$H$5:$H$9944)</f>
        <v>0</v>
      </c>
      <c r="H25" s="443">
        <f>SUMIF('[3]Despesas Diretas'!$A$5:$A$9999,$B25,'[3]Despesas Diretas'!$H$5:$H$9999)</f>
        <v>0</v>
      </c>
      <c r="I25" s="448">
        <f>SUMIF([4]Comprometimento!$A$6:$A$147,$B25,[4]Comprometimento!$E$6:$E$147)</f>
        <v>0</v>
      </c>
      <c r="J25" s="449">
        <f>SUMIF([4]Estoque!$A$6:$A$880,$B25,[4]Estoque!$H$6:$H$880)</f>
        <v>0</v>
      </c>
      <c r="K25" s="451">
        <f t="shared" si="1"/>
        <v>0</v>
      </c>
      <c r="L25" s="453">
        <f t="shared" si="2"/>
        <v>0</v>
      </c>
      <c r="M25" s="454">
        <f t="shared" si="3"/>
        <v>0</v>
      </c>
      <c r="N25" s="453">
        <v>0</v>
      </c>
      <c r="O25" s="454">
        <v>0</v>
      </c>
      <c r="P25" s="454">
        <f t="shared" si="4"/>
        <v>0</v>
      </c>
      <c r="Q25" s="453">
        <f t="shared" si="5"/>
        <v>1</v>
      </c>
      <c r="R25" s="328">
        <f t="shared" si="6"/>
        <v>85144.774998207606</v>
      </c>
      <c r="S25" s="512"/>
    </row>
    <row r="26" spans="1:19" s="280" customFormat="1" ht="30" customHeight="1" x14ac:dyDescent="0.2">
      <c r="A26" s="289"/>
      <c r="B26" s="293" t="s">
        <v>112</v>
      </c>
      <c r="C26" s="278" t="str">
        <f>VLOOKUP($B26,'Análise Física Detalhada'!$E$13:$J$412,2,0)</f>
        <v>REVESTIMENTO DE PISO</v>
      </c>
      <c r="D26" s="279">
        <f>VLOOKUP($B26,'Análise Física Detalhada'!$E$13:$V$412,18,0)</f>
        <v>354784.94985364575</v>
      </c>
      <c r="E26" s="305">
        <f>VLOOKUP($B26,'Econômico Detalhado'!$B$8:$F$432,4,0)</f>
        <v>0</v>
      </c>
      <c r="F26" s="327">
        <f t="shared" si="0"/>
        <v>0</v>
      </c>
      <c r="G26" s="314">
        <f>SUMIF('[2]Despesas Diretas'!$A$5:$A$9944,$B26,'[2]Despesas Diretas'!$H$5:$H$9944)</f>
        <v>0</v>
      </c>
      <c r="H26" s="443">
        <f>SUMIF('[3]Despesas Diretas'!$A$5:$A$9999,$B26,'[3]Despesas Diretas'!$H$5:$H$9999)</f>
        <v>0</v>
      </c>
      <c r="I26" s="448">
        <f>SUMIF([4]Comprometimento!$A$6:$A$147,$B26,[4]Comprometimento!$E$6:$E$147)</f>
        <v>0</v>
      </c>
      <c r="J26" s="449">
        <f>SUMIF([4]Estoque!$A$6:$A$880,$B26,[4]Estoque!$H$6:$H$880)</f>
        <v>0</v>
      </c>
      <c r="K26" s="451">
        <f t="shared" si="1"/>
        <v>0</v>
      </c>
      <c r="L26" s="453">
        <f t="shared" si="2"/>
        <v>0</v>
      </c>
      <c r="M26" s="454">
        <f t="shared" si="3"/>
        <v>0</v>
      </c>
      <c r="N26" s="453">
        <v>0</v>
      </c>
      <c r="O26" s="454">
        <v>0</v>
      </c>
      <c r="P26" s="454">
        <f t="shared" si="4"/>
        <v>0</v>
      </c>
      <c r="Q26" s="453">
        <f t="shared" si="5"/>
        <v>1</v>
      </c>
      <c r="R26" s="328">
        <f t="shared" si="6"/>
        <v>354784.94985364575</v>
      </c>
      <c r="S26" s="512"/>
    </row>
    <row r="27" spans="1:19" s="280" customFormat="1" ht="30" customHeight="1" x14ac:dyDescent="0.2">
      <c r="A27" s="289"/>
      <c r="B27" s="293" t="s">
        <v>122</v>
      </c>
      <c r="C27" s="278" t="str">
        <f>VLOOKUP($B27,'Análise Física Detalhada'!$E$13:$J$412,2,0)</f>
        <v>REVESTIMENTO DE PAREDE</v>
      </c>
      <c r="D27" s="279">
        <f>VLOOKUP($B27,'Análise Física Detalhada'!$E$13:$V$412,18,0)</f>
        <v>289326.92231887195</v>
      </c>
      <c r="E27" s="305">
        <f>VLOOKUP($B27,'Econômico Detalhado'!$B$8:$F$432,4,0)</f>
        <v>0</v>
      </c>
      <c r="F27" s="327">
        <f t="shared" si="0"/>
        <v>0</v>
      </c>
      <c r="G27" s="314">
        <f>SUMIF('[2]Despesas Diretas'!$A$5:$A$9944,$B27,'[2]Despesas Diretas'!$H$5:$H$9944)</f>
        <v>0</v>
      </c>
      <c r="H27" s="443">
        <f>SUMIF('[3]Despesas Diretas'!$A$5:$A$9999,$B27,'[3]Despesas Diretas'!$H$5:$H$9999)</f>
        <v>0</v>
      </c>
      <c r="I27" s="448">
        <f>SUMIF([4]Comprometimento!$A$6:$A$147,$B27,[4]Comprometimento!$E$6:$E$147)</f>
        <v>0</v>
      </c>
      <c r="J27" s="449">
        <f>SUMIF([4]Estoque!$A$6:$A$880,$B27,[4]Estoque!$H$6:$H$880)</f>
        <v>0</v>
      </c>
      <c r="K27" s="451">
        <f t="shared" si="1"/>
        <v>0</v>
      </c>
      <c r="L27" s="453">
        <f t="shared" si="2"/>
        <v>0</v>
      </c>
      <c r="M27" s="454">
        <f t="shared" si="3"/>
        <v>0</v>
      </c>
      <c r="N27" s="453">
        <v>0</v>
      </c>
      <c r="O27" s="454">
        <v>0</v>
      </c>
      <c r="P27" s="454">
        <f t="shared" si="4"/>
        <v>0</v>
      </c>
      <c r="Q27" s="453">
        <f t="shared" si="5"/>
        <v>1</v>
      </c>
      <c r="R27" s="328">
        <f t="shared" si="6"/>
        <v>289326.92231887195</v>
      </c>
      <c r="S27" s="512"/>
    </row>
    <row r="28" spans="1:19" s="280" customFormat="1" ht="30" customHeight="1" x14ac:dyDescent="0.2">
      <c r="A28" s="289"/>
      <c r="B28" s="293" t="s">
        <v>133</v>
      </c>
      <c r="C28" s="278" t="str">
        <f>VLOOKUP($B28,'Análise Física Detalhada'!$E$13:$J$412,2,0)</f>
        <v>REVESTIMENTO DE TETO</v>
      </c>
      <c r="D28" s="279">
        <f>VLOOKUP($B28,'Análise Física Detalhada'!$E$13:$V$412,18,0)</f>
        <v>44536.163726210405</v>
      </c>
      <c r="E28" s="305">
        <f>VLOOKUP($B28,'Econômico Detalhado'!$B$8:$F$432,4,0)</f>
        <v>0</v>
      </c>
      <c r="F28" s="327">
        <f t="shared" si="0"/>
        <v>0</v>
      </c>
      <c r="G28" s="314">
        <f>SUMIF('[2]Despesas Diretas'!$A$5:$A$9944,$B28,'[2]Despesas Diretas'!$H$5:$H$9944)</f>
        <v>0</v>
      </c>
      <c r="H28" s="443">
        <f>SUMIF('[3]Despesas Diretas'!$A$5:$A$9999,$B28,'[3]Despesas Diretas'!$H$5:$H$9999)</f>
        <v>0</v>
      </c>
      <c r="I28" s="448">
        <f>SUMIF([4]Comprometimento!$A$6:$A$147,$B28,[4]Comprometimento!$E$6:$E$147)</f>
        <v>0</v>
      </c>
      <c r="J28" s="449">
        <f>SUMIF([4]Estoque!$A$6:$A$880,$B28,[4]Estoque!$H$6:$H$880)</f>
        <v>0</v>
      </c>
      <c r="K28" s="451">
        <f t="shared" si="1"/>
        <v>0</v>
      </c>
      <c r="L28" s="453">
        <f t="shared" si="2"/>
        <v>0</v>
      </c>
      <c r="M28" s="454">
        <f t="shared" si="3"/>
        <v>0</v>
      </c>
      <c r="N28" s="453">
        <v>0</v>
      </c>
      <c r="O28" s="454">
        <v>0</v>
      </c>
      <c r="P28" s="454">
        <f t="shared" si="4"/>
        <v>0</v>
      </c>
      <c r="Q28" s="453">
        <f t="shared" si="5"/>
        <v>1</v>
      </c>
      <c r="R28" s="328">
        <f t="shared" si="6"/>
        <v>44536.163726210405</v>
      </c>
      <c r="S28" s="512"/>
    </row>
    <row r="29" spans="1:19" s="280" customFormat="1" ht="30" customHeight="1" x14ac:dyDescent="0.2">
      <c r="A29" s="289"/>
      <c r="B29" s="293" t="s">
        <v>134</v>
      </c>
      <c r="C29" s="278" t="str">
        <f>VLOOKUP($B29,'Análise Física Detalhada'!$E$13:$J$412,2,0)</f>
        <v>REVESTIMENTO EXTERNO</v>
      </c>
      <c r="D29" s="279">
        <f>VLOOKUP($B29,'Análise Física Detalhada'!$E$13:$V$412,18,0)</f>
        <v>396282.29247289081</v>
      </c>
      <c r="E29" s="305">
        <f>VLOOKUP($B29,'Econômico Detalhado'!$B$8:$F$432,4,0)</f>
        <v>0</v>
      </c>
      <c r="F29" s="327">
        <f t="shared" si="0"/>
        <v>0</v>
      </c>
      <c r="G29" s="314">
        <f>SUMIF('[2]Despesas Diretas'!$A$5:$A$9944,$B29,'[2]Despesas Diretas'!$H$5:$H$9944)</f>
        <v>0</v>
      </c>
      <c r="H29" s="443">
        <f>SUMIF('[3]Despesas Diretas'!$A$5:$A$9999,$B29,'[3]Despesas Diretas'!$H$5:$H$9999)</f>
        <v>0</v>
      </c>
      <c r="I29" s="448">
        <f>SUMIF([4]Comprometimento!$A$6:$A$147,$B29,[4]Comprometimento!$E$6:$E$147)</f>
        <v>0</v>
      </c>
      <c r="J29" s="449">
        <f>SUMIF([4]Estoque!$A$6:$A$880,$B29,[4]Estoque!$H$6:$H$880)</f>
        <v>0</v>
      </c>
      <c r="K29" s="451">
        <f t="shared" si="1"/>
        <v>0</v>
      </c>
      <c r="L29" s="453">
        <f t="shared" si="2"/>
        <v>0</v>
      </c>
      <c r="M29" s="454">
        <f t="shared" si="3"/>
        <v>0</v>
      </c>
      <c r="N29" s="453">
        <v>0</v>
      </c>
      <c r="O29" s="454">
        <v>0</v>
      </c>
      <c r="P29" s="454">
        <f t="shared" si="4"/>
        <v>0</v>
      </c>
      <c r="Q29" s="453">
        <f t="shared" si="5"/>
        <v>1</v>
      </c>
      <c r="R29" s="328">
        <f t="shared" si="6"/>
        <v>396282.29247289081</v>
      </c>
      <c r="S29" s="512"/>
    </row>
    <row r="30" spans="1:19" s="280" customFormat="1" ht="30" customHeight="1" x14ac:dyDescent="0.2">
      <c r="A30" s="289"/>
      <c r="B30" s="293" t="s">
        <v>140</v>
      </c>
      <c r="C30" s="278" t="str">
        <f>VLOOKUP($B30,'Análise Física Detalhada'!$E$13:$J$412,2,0)</f>
        <v>ESQUADRIAS DE ALUMÍNIO</v>
      </c>
      <c r="D30" s="279">
        <f>VLOOKUP($B30,'Análise Física Detalhada'!$E$13:$V$412,18,0)</f>
        <v>569475.83080517768</v>
      </c>
      <c r="E30" s="305">
        <f>VLOOKUP($B30,'Econômico Detalhado'!$B$8:$F$432,4,0)</f>
        <v>0</v>
      </c>
      <c r="F30" s="327">
        <f t="shared" si="0"/>
        <v>0</v>
      </c>
      <c r="G30" s="314">
        <f>SUMIF('[2]Despesas Diretas'!$A$5:$A$9944,$B30,'[2]Despesas Diretas'!$H$5:$H$9944)</f>
        <v>0</v>
      </c>
      <c r="H30" s="443">
        <f>SUMIF('[3]Despesas Diretas'!$A$5:$A$9999,$B30,'[3]Despesas Diretas'!$H$5:$H$9999)</f>
        <v>0</v>
      </c>
      <c r="I30" s="448">
        <f>SUMIF([4]Comprometimento!$A$6:$A$147,$B30,[4]Comprometimento!$E$6:$E$147)</f>
        <v>0</v>
      </c>
      <c r="J30" s="449">
        <f>SUMIF([4]Estoque!$A$6:$A$880,$B30,[4]Estoque!$H$6:$H$880)</f>
        <v>0</v>
      </c>
      <c r="K30" s="451">
        <f t="shared" si="1"/>
        <v>0</v>
      </c>
      <c r="L30" s="453">
        <f t="shared" si="2"/>
        <v>0</v>
      </c>
      <c r="M30" s="454">
        <f t="shared" si="3"/>
        <v>0</v>
      </c>
      <c r="N30" s="453">
        <v>0</v>
      </c>
      <c r="O30" s="454">
        <v>0</v>
      </c>
      <c r="P30" s="454">
        <f t="shared" si="4"/>
        <v>0</v>
      </c>
      <c r="Q30" s="453">
        <f t="shared" si="5"/>
        <v>1</v>
      </c>
      <c r="R30" s="328">
        <f t="shared" si="6"/>
        <v>569475.83080517768</v>
      </c>
      <c r="S30" s="512"/>
    </row>
    <row r="31" spans="1:19" s="280" customFormat="1" ht="30" customHeight="1" x14ac:dyDescent="0.2">
      <c r="A31" s="289"/>
      <c r="B31" s="293" t="s">
        <v>141</v>
      </c>
      <c r="C31" s="278" t="str">
        <f>VLOOKUP($B31,'Análise Física Detalhada'!$E$13:$J$412,2,0)</f>
        <v>ESQUADRIAS EM METALON</v>
      </c>
      <c r="D31" s="279">
        <f>VLOOKUP($B31,'Análise Física Detalhada'!$E$13:$V$412,18,0)</f>
        <v>59268.460330886417</v>
      </c>
      <c r="E31" s="305">
        <f>VLOOKUP($B31,'Econômico Detalhado'!$B$8:$F$432,4,0)</f>
        <v>0</v>
      </c>
      <c r="F31" s="327">
        <f t="shared" si="0"/>
        <v>0</v>
      </c>
      <c r="G31" s="314">
        <f>SUMIF('[2]Despesas Diretas'!$A$5:$A$9944,$B31,'[2]Despesas Diretas'!$H$5:$H$9944)</f>
        <v>0</v>
      </c>
      <c r="H31" s="443">
        <f>SUMIF('[3]Despesas Diretas'!$A$5:$A$9999,$B31,'[3]Despesas Diretas'!$H$5:$H$9999)</f>
        <v>0</v>
      </c>
      <c r="I31" s="448">
        <f>SUMIF([4]Comprometimento!$A$6:$A$147,$B31,[4]Comprometimento!$E$6:$E$147)</f>
        <v>0</v>
      </c>
      <c r="J31" s="449">
        <f>SUMIF([4]Estoque!$A$6:$A$880,$B31,[4]Estoque!$H$6:$H$880)</f>
        <v>0</v>
      </c>
      <c r="K31" s="451">
        <f t="shared" si="1"/>
        <v>0</v>
      </c>
      <c r="L31" s="453">
        <f t="shared" si="2"/>
        <v>0</v>
      </c>
      <c r="M31" s="454">
        <f t="shared" si="3"/>
        <v>0</v>
      </c>
      <c r="N31" s="453">
        <v>0</v>
      </c>
      <c r="O31" s="454">
        <v>0</v>
      </c>
      <c r="P31" s="454">
        <f t="shared" si="4"/>
        <v>0</v>
      </c>
      <c r="Q31" s="453">
        <f t="shared" si="5"/>
        <v>1</v>
      </c>
      <c r="R31" s="328">
        <f t="shared" si="6"/>
        <v>59268.460330886417</v>
      </c>
      <c r="S31" s="512"/>
    </row>
    <row r="32" spans="1:19" s="280" customFormat="1" ht="30" customHeight="1" x14ac:dyDescent="0.2">
      <c r="A32" s="289"/>
      <c r="B32" s="293" t="s">
        <v>145</v>
      </c>
      <c r="C32" s="278" t="str">
        <f>VLOOKUP($B32,'Análise Física Detalhada'!$E$13:$J$412,2,0)</f>
        <v>ESQUADRIAS EM MADEIRA</v>
      </c>
      <c r="D32" s="279">
        <f>VLOOKUP($B32,'Análise Física Detalhada'!$E$13:$V$412,18,0)</f>
        <v>73036.458725382006</v>
      </c>
      <c r="E32" s="305">
        <f>VLOOKUP($B32,'Econômico Detalhado'!$B$8:$F$432,4,0)</f>
        <v>0</v>
      </c>
      <c r="F32" s="327">
        <f t="shared" si="0"/>
        <v>0</v>
      </c>
      <c r="G32" s="314">
        <f>SUMIF('[2]Despesas Diretas'!$A$5:$A$9944,$B32,'[2]Despesas Diretas'!$H$5:$H$9944)</f>
        <v>0</v>
      </c>
      <c r="H32" s="443">
        <f>SUMIF('[3]Despesas Diretas'!$A$5:$A$9999,$B32,'[3]Despesas Diretas'!$H$5:$H$9999)</f>
        <v>0</v>
      </c>
      <c r="I32" s="448">
        <f>SUMIF([4]Comprometimento!$A$6:$A$147,$B32,[4]Comprometimento!$E$6:$E$147)</f>
        <v>0</v>
      </c>
      <c r="J32" s="449">
        <f>SUMIF([4]Estoque!$A$6:$A$880,$B32,[4]Estoque!$H$6:$H$880)</f>
        <v>0</v>
      </c>
      <c r="K32" s="451">
        <f t="shared" si="1"/>
        <v>0</v>
      </c>
      <c r="L32" s="453">
        <f t="shared" si="2"/>
        <v>0</v>
      </c>
      <c r="M32" s="454">
        <f t="shared" si="3"/>
        <v>0</v>
      </c>
      <c r="N32" s="453">
        <v>0</v>
      </c>
      <c r="O32" s="454">
        <v>0</v>
      </c>
      <c r="P32" s="454">
        <f t="shared" si="4"/>
        <v>0</v>
      </c>
      <c r="Q32" s="453">
        <f t="shared" si="5"/>
        <v>1</v>
      </c>
      <c r="R32" s="328">
        <f t="shared" si="6"/>
        <v>73036.458725382006</v>
      </c>
      <c r="S32" s="512"/>
    </row>
    <row r="33" spans="1:19" s="280" customFormat="1" ht="30" customHeight="1" x14ac:dyDescent="0.2">
      <c r="A33" s="289"/>
      <c r="B33" s="293" t="s">
        <v>146</v>
      </c>
      <c r="C33" s="281" t="str">
        <f>VLOOKUP($B33,'Análise Física Detalhada'!$E$13:$J$412,2,0)</f>
        <v>INSTALAÇÕES</v>
      </c>
      <c r="D33" s="279">
        <f>VLOOKUP($B33,'Análise Física Detalhada'!$E$13:$V$412,18,0)</f>
        <v>963491.04535304895</v>
      </c>
      <c r="E33" s="305">
        <f>VLOOKUP($B33,'Econômico Detalhado'!$B$8:$F$432,4,0)</f>
        <v>3.48955968295366E-2</v>
      </c>
      <c r="F33" s="327">
        <f t="shared" si="0"/>
        <v>33621.595067508759</v>
      </c>
      <c r="G33" s="314">
        <f>SUMIF('[2]Despesas Diretas'!$A$5:$A$9944,$B33,'[2]Despesas Diretas'!$H$5:$H$9944)</f>
        <v>37083.46</v>
      </c>
      <c r="H33" s="443">
        <f>SUMIF('[3]Despesas Diretas'!$A$5:$A$9999,$B33,'[3]Despesas Diretas'!$H$5:$H$9999)</f>
        <v>18794.240000000002</v>
      </c>
      <c r="I33" s="448">
        <f>SUMIF([4]Comprometimento!$A$6:$A$147,$B33,[4]Comprometimento!$E$6:$E$147)</f>
        <v>-18794.240000000002</v>
      </c>
      <c r="J33" s="449">
        <f>SUMIF([4]Estoque!$A$6:$A$880,$B33,[4]Estoque!$H$6:$H$880)</f>
        <v>0</v>
      </c>
      <c r="K33" s="451">
        <f t="shared" si="1"/>
        <v>37083.459999999992</v>
      </c>
      <c r="L33" s="453">
        <f t="shared" si="2"/>
        <v>1.1029655174164152</v>
      </c>
      <c r="M33" s="454">
        <f t="shared" si="3"/>
        <v>3461.864932491233</v>
      </c>
      <c r="N33" s="453">
        <v>1.1262250699200138</v>
      </c>
      <c r="O33" s="454">
        <v>2086.3053445535115</v>
      </c>
      <c r="P33" s="454">
        <f t="shared" si="4"/>
        <v>1375.5595879377215</v>
      </c>
      <c r="Q33" s="453">
        <f t="shared" si="5"/>
        <v>1</v>
      </c>
      <c r="R33" s="328">
        <f t="shared" si="6"/>
        <v>963491.04535304895</v>
      </c>
      <c r="S33" s="512"/>
    </row>
    <row r="34" spans="1:19" s="280" customFormat="1" ht="30" customHeight="1" x14ac:dyDescent="0.2">
      <c r="A34" s="289"/>
      <c r="B34" s="293" t="s">
        <v>147</v>
      </c>
      <c r="C34" s="278" t="str">
        <f>VLOOKUP($B34,'Análise Física Detalhada'!$E$13:$J$412,2,0)</f>
        <v>BANCADAS</v>
      </c>
      <c r="D34" s="279">
        <f>VLOOKUP($B34,'Análise Física Detalhada'!$E$13:$V$412,18,0)</f>
        <v>85590.622576810798</v>
      </c>
      <c r="E34" s="305">
        <f>VLOOKUP($B34,'Econômico Detalhado'!$B$8:$F$432,4,0)</f>
        <v>0</v>
      </c>
      <c r="F34" s="327">
        <f t="shared" si="0"/>
        <v>0</v>
      </c>
      <c r="G34" s="314">
        <f>SUMIF('[2]Despesas Diretas'!$A$5:$A$9944,$B34,'[2]Despesas Diretas'!$H$5:$H$9944)</f>
        <v>0</v>
      </c>
      <c r="H34" s="443">
        <f>SUMIF('[3]Despesas Diretas'!$A$5:$A$9999,$B34,'[3]Despesas Diretas'!$H$5:$H$9999)</f>
        <v>0</v>
      </c>
      <c r="I34" s="448">
        <f>SUMIF([4]Comprometimento!$A$6:$A$147,$B34,[4]Comprometimento!$E$6:$E$147)</f>
        <v>0</v>
      </c>
      <c r="J34" s="449">
        <f>SUMIF([4]Estoque!$A$6:$A$880,$B34,[4]Estoque!$H$6:$H$880)</f>
        <v>0</v>
      </c>
      <c r="K34" s="451">
        <f t="shared" si="1"/>
        <v>0</v>
      </c>
      <c r="L34" s="453">
        <f t="shared" si="2"/>
        <v>0</v>
      </c>
      <c r="M34" s="454">
        <f t="shared" si="3"/>
        <v>0</v>
      </c>
      <c r="N34" s="453">
        <v>0</v>
      </c>
      <c r="O34" s="454">
        <v>0</v>
      </c>
      <c r="P34" s="454">
        <f t="shared" si="4"/>
        <v>0</v>
      </c>
      <c r="Q34" s="453">
        <f t="shared" si="5"/>
        <v>1</v>
      </c>
      <c r="R34" s="328">
        <f t="shared" si="6"/>
        <v>85590.622576810798</v>
      </c>
      <c r="S34" s="512"/>
    </row>
    <row r="35" spans="1:19" s="280" customFormat="1" ht="30" customHeight="1" x14ac:dyDescent="0.2">
      <c r="A35" s="289"/>
      <c r="B35" s="293" t="s">
        <v>148</v>
      </c>
      <c r="C35" s="278" t="str">
        <f>VLOOKUP($B35,'Análise Física Detalhada'!$E$13:$J$412,2,0)</f>
        <v>LOUÇAS E METAIS</v>
      </c>
      <c r="D35" s="279">
        <f>VLOOKUP($B35,'Análise Física Detalhada'!$E$13:$V$412,18,0)</f>
        <v>114825.3764402916</v>
      </c>
      <c r="E35" s="305">
        <f>VLOOKUP($B35,'Econômico Detalhado'!$B$8:$F$432,4,0)</f>
        <v>0</v>
      </c>
      <c r="F35" s="327">
        <f t="shared" si="0"/>
        <v>0</v>
      </c>
      <c r="G35" s="314">
        <f>SUMIF('[2]Despesas Diretas'!$A$5:$A$9944,$B35,'[2]Despesas Diretas'!$H$5:$H$9944)</f>
        <v>0</v>
      </c>
      <c r="H35" s="443">
        <f>SUMIF('[3]Despesas Diretas'!$A$5:$A$9999,$B35,'[3]Despesas Diretas'!$H$5:$H$9999)</f>
        <v>0</v>
      </c>
      <c r="I35" s="448">
        <f>SUMIF([4]Comprometimento!$A$6:$A$147,$B35,[4]Comprometimento!$E$6:$E$147)</f>
        <v>0</v>
      </c>
      <c r="J35" s="449">
        <f>SUMIF([4]Estoque!$A$6:$A$880,$B35,[4]Estoque!$H$6:$H$880)</f>
        <v>0</v>
      </c>
      <c r="K35" s="451">
        <f t="shared" si="1"/>
        <v>0</v>
      </c>
      <c r="L35" s="453">
        <f t="shared" si="2"/>
        <v>0</v>
      </c>
      <c r="M35" s="454">
        <f t="shared" si="3"/>
        <v>0</v>
      </c>
      <c r="N35" s="453">
        <v>0</v>
      </c>
      <c r="O35" s="454">
        <v>0</v>
      </c>
      <c r="P35" s="454">
        <f t="shared" si="4"/>
        <v>0</v>
      </c>
      <c r="Q35" s="453">
        <f t="shared" si="5"/>
        <v>1</v>
      </c>
      <c r="R35" s="328">
        <f t="shared" si="6"/>
        <v>114825.3764402916</v>
      </c>
      <c r="S35" s="512"/>
    </row>
    <row r="36" spans="1:19" s="280" customFormat="1" ht="30" customHeight="1" x14ac:dyDescent="0.2">
      <c r="A36" s="289"/>
      <c r="B36" s="293" t="s">
        <v>149</v>
      </c>
      <c r="C36" s="278" t="str">
        <f>VLOOKUP($B36,'Análise Física Detalhada'!$E$13:$J$412,2,0)</f>
        <v>PINTURA</v>
      </c>
      <c r="D36" s="279">
        <f>VLOOKUP($B36,'Análise Física Detalhada'!$E$13:$V$412,18,0)</f>
        <v>188320.76261391965</v>
      </c>
      <c r="E36" s="305">
        <f>VLOOKUP($B36,'Econômico Detalhado'!$B$8:$F$432,4,0)</f>
        <v>0</v>
      </c>
      <c r="F36" s="327">
        <f t="shared" si="0"/>
        <v>0</v>
      </c>
      <c r="G36" s="314">
        <f>SUMIF('[2]Despesas Diretas'!$A$5:$A$9944,$B36,'[2]Despesas Diretas'!$H$5:$H$9944)</f>
        <v>0</v>
      </c>
      <c r="H36" s="443">
        <f>SUMIF('[3]Despesas Diretas'!$A$5:$A$9999,$B36,'[3]Despesas Diretas'!$H$5:$H$9999)</f>
        <v>0</v>
      </c>
      <c r="I36" s="448">
        <f>SUMIF([4]Comprometimento!$A$6:$A$147,$B36,[4]Comprometimento!$E$6:$E$147)</f>
        <v>0</v>
      </c>
      <c r="J36" s="449">
        <f>SUMIF([4]Estoque!$A$6:$A$880,$B36,[4]Estoque!$H$6:$H$880)</f>
        <v>0</v>
      </c>
      <c r="K36" s="451">
        <f t="shared" si="1"/>
        <v>0</v>
      </c>
      <c r="L36" s="453">
        <f t="shared" si="2"/>
        <v>0</v>
      </c>
      <c r="M36" s="454">
        <f t="shared" si="3"/>
        <v>0</v>
      </c>
      <c r="N36" s="453">
        <v>0</v>
      </c>
      <c r="O36" s="454">
        <v>0</v>
      </c>
      <c r="P36" s="454">
        <f t="shared" si="4"/>
        <v>0</v>
      </c>
      <c r="Q36" s="453">
        <f t="shared" si="5"/>
        <v>1</v>
      </c>
      <c r="R36" s="328">
        <f t="shared" si="6"/>
        <v>188320.76261391965</v>
      </c>
      <c r="S36" s="512"/>
    </row>
    <row r="37" spans="1:19" s="280" customFormat="1" ht="30" customHeight="1" thickBot="1" x14ac:dyDescent="0.25">
      <c r="A37" s="289"/>
      <c r="B37" s="293" t="s">
        <v>150</v>
      </c>
      <c r="C37" s="278" t="str">
        <f>VLOOKUP($B37,'Análise Física Detalhada'!$E$13:$J$412,2,0)</f>
        <v>DIVERSOS</v>
      </c>
      <c r="D37" s="279">
        <f>VLOOKUP($B37,'Análise Física Detalhada'!$E$13:$V$412,18,0)</f>
        <v>173763.75272806804</v>
      </c>
      <c r="E37" s="305">
        <f>VLOOKUP($B37,'Econômico Detalhado'!$B$8:$F$432,4,0)</f>
        <v>0</v>
      </c>
      <c r="F37" s="327">
        <f t="shared" si="0"/>
        <v>0</v>
      </c>
      <c r="G37" s="314">
        <f>SUMIF('[2]Despesas Diretas'!$A$5:$A$9944,$B37,'[2]Despesas Diretas'!$H$5:$H$9944)</f>
        <v>0</v>
      </c>
      <c r="H37" s="443">
        <f>SUMIF('[3]Despesas Diretas'!$A$5:$A$9999,$B37,'[3]Despesas Diretas'!$H$5:$H$9999)</f>
        <v>0</v>
      </c>
      <c r="I37" s="448">
        <f>SUMIF([4]Comprometimento!$A$6:$A$147,$B37,[4]Comprometimento!$E$6:$E$147)</f>
        <v>0</v>
      </c>
      <c r="J37" s="449">
        <f>SUMIF([4]Estoque!$A$6:$A$880,$B37,[4]Estoque!$H$6:$H$880)</f>
        <v>0</v>
      </c>
      <c r="K37" s="451">
        <f t="shared" si="1"/>
        <v>0</v>
      </c>
      <c r="L37" s="453">
        <f t="shared" si="2"/>
        <v>0</v>
      </c>
      <c r="M37" s="454">
        <f t="shared" si="3"/>
        <v>0</v>
      </c>
      <c r="N37" s="453">
        <v>0</v>
      </c>
      <c r="O37" s="454">
        <v>0</v>
      </c>
      <c r="P37" s="454">
        <f t="shared" si="4"/>
        <v>0</v>
      </c>
      <c r="Q37" s="453">
        <f t="shared" si="5"/>
        <v>1</v>
      </c>
      <c r="R37" s="328">
        <f t="shared" si="6"/>
        <v>173763.75272806804</v>
      </c>
      <c r="S37" s="512"/>
    </row>
    <row r="38" spans="1:19" s="282" customFormat="1" ht="30" customHeight="1" thickBot="1" x14ac:dyDescent="0.25">
      <c r="A38" s="290"/>
      <c r="B38" s="1268" t="s">
        <v>312</v>
      </c>
      <c r="C38" s="1269"/>
      <c r="D38" s="295">
        <f>SUM(D18:D37)</f>
        <v>5605062.3591566728</v>
      </c>
      <c r="E38" s="306">
        <f>$F38/$D38</f>
        <v>0.10232871155935368</v>
      </c>
      <c r="F38" s="309">
        <f>SUM($F18:$F37)</f>
        <v>573558.80942233361</v>
      </c>
      <c r="G38" s="325">
        <f>SUM($G18:$G37)</f>
        <v>455179.31</v>
      </c>
      <c r="H38" s="444">
        <f>SUM($H18:$H37)</f>
        <v>39695.17</v>
      </c>
      <c r="I38" s="311">
        <f>SUM($I18:$I37)</f>
        <v>72044.067036726687</v>
      </c>
      <c r="J38" s="450">
        <f>SUM($J18:$J37)</f>
        <v>46353.450000000004</v>
      </c>
      <c r="K38" s="452">
        <f>SUM($K18:$K37)</f>
        <v>520565.09703672666</v>
      </c>
      <c r="L38" s="455">
        <f>$K38/$F38</f>
        <v>0.90760544251952091</v>
      </c>
      <c r="M38" s="456">
        <f t="shared" si="3"/>
        <v>-52993.712385606952</v>
      </c>
      <c r="N38" s="455">
        <v>0.87414174054804183</v>
      </c>
      <c r="O38" s="456">
        <v>-30851.552549487824</v>
      </c>
      <c r="P38" s="456">
        <f t="shared" si="4"/>
        <v>-22142.159836119128</v>
      </c>
      <c r="Q38" s="455">
        <f t="shared" si="5"/>
        <v>1</v>
      </c>
      <c r="R38" s="329">
        <f>SUM($R18:$R37)</f>
        <v>5531416.4531917674</v>
      </c>
      <c r="S38" s="513"/>
    </row>
    <row r="39" spans="1:19" s="282" customFormat="1" ht="15" customHeight="1" thickBot="1" x14ac:dyDescent="0.25">
      <c r="B39" s="294"/>
      <c r="C39" s="294"/>
      <c r="D39" s="294"/>
      <c r="E39" s="294"/>
      <c r="F39" s="513"/>
      <c r="G39" s="513"/>
      <c r="H39" s="513"/>
      <c r="I39" s="513"/>
      <c r="J39" s="513"/>
      <c r="K39" s="294"/>
      <c r="L39" s="294"/>
      <c r="M39" s="294"/>
      <c r="N39" s="294"/>
      <c r="O39" s="294"/>
      <c r="P39" s="294"/>
      <c r="Q39" s="294"/>
      <c r="R39" s="294"/>
      <c r="S39" s="513"/>
    </row>
    <row r="40" spans="1:19" s="277" customFormat="1" ht="24.95" customHeight="1" x14ac:dyDescent="0.2">
      <c r="B40" s="441"/>
      <c r="C40" s="442"/>
      <c r="D40" s="442"/>
      <c r="E40" s="442"/>
      <c r="F40" s="442"/>
      <c r="G40" s="442"/>
      <c r="H40" s="442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511"/>
    </row>
    <row r="41" spans="1:19" s="280" customFormat="1" ht="30" customHeight="1" x14ac:dyDescent="0.2">
      <c r="A41" s="291"/>
      <c r="B41" s="438" t="s">
        <v>75</v>
      </c>
      <c r="C41" s="439" t="str">
        <f>VLOOKUP($B41,'Análise Física Detalhada'!$E$382:$J$479,2,0)</f>
        <v>LICENÇAS, TAXAS E EMOLUMENTOS</v>
      </c>
      <c r="D41" s="284">
        <f>VLOOKUP($B41,'Análise Física Detalhada'!$E$382:$V$479,18,0)</f>
        <v>178833.32366365363</v>
      </c>
      <c r="E41" s="440">
        <f>VLOOKUP($B41,'Econômico Detalhado'!$B$377:$E$474,4,0)</f>
        <v>0.15828405398169995</v>
      </c>
      <c r="F41" s="352">
        <f t="shared" ref="F41:F46" si="7">$E41*$D41</f>
        <v>28306.463456504571</v>
      </c>
      <c r="G41" s="310">
        <f>SUMIF('[2]Despesas Indiretas'!$A$5:$A$10000,$B41,'[2]Despesas Indiretas'!$H$5:$H$10000)</f>
        <v>16024.679999999998</v>
      </c>
      <c r="H41" s="445">
        <f>SUMIF('[3]Despesas Indiretas'!$A$5:$A$10000,$B41,'[3]Despesas Indiretas'!$H$5:$H$10000)</f>
        <v>2312.16</v>
      </c>
      <c r="I41" s="318">
        <f>SUMIF([4]Comprometimento!$A$149:$A$266,$B41,[4]Comprometimento!$E$149:$E$266)</f>
        <v>0</v>
      </c>
      <c r="J41" s="319"/>
      <c r="K41" s="321">
        <f>SUM($G41:$I41)-$J41</f>
        <v>18336.839999999997</v>
      </c>
      <c r="L41" s="517">
        <f t="shared" ref="L41:L46" si="8">IF($F41=0,0,$K41/$F41)</f>
        <v>0.64779692553879797</v>
      </c>
      <c r="M41" s="319">
        <f t="shared" ref="M41:M46" si="9">IF($L41=0,0,$K41-$F41)</f>
        <v>-9969.6234565045743</v>
      </c>
      <c r="N41" s="517">
        <v>0.55016329490535931</v>
      </c>
      <c r="O41" s="319">
        <v>-8871.1966784444448</v>
      </c>
      <c r="P41" s="318">
        <f t="shared" ref="P41" si="10">M41-O41</f>
        <v>-1098.4267780601294</v>
      </c>
      <c r="Q41" s="517">
        <f t="shared" ref="Q41:Q46" si="11">IF($D41=0,0,IF(($F41/$D41)&lt;20%,1,IF($D41=0,0,IF(($F41/$D41)=1,$L41,IF(($F41/$D41)=0,1,IF($L41&lt;1,(+$L41*($F41/$D41))+(1-((1-$L41)/2))*(1-($F41/$D41)),(+$L41*($F41/$D41))+(1+(($L41-1)/2))*(1-($F41/$D41))))))))</f>
        <v>1</v>
      </c>
      <c r="R41" s="319">
        <f t="shared" ref="R41:R46" si="12">IF($Q41="","",$Q41*$D41)</f>
        <v>178833.32366365363</v>
      </c>
      <c r="S41" s="512"/>
    </row>
    <row r="42" spans="1:19" s="280" customFormat="1" ht="30" customHeight="1" x14ac:dyDescent="0.2">
      <c r="A42" s="291"/>
      <c r="B42" s="293" t="s">
        <v>82</v>
      </c>
      <c r="C42" s="283" t="str">
        <f>VLOOKUP($B42,'Análise Física Detalhada'!$E$382:$J$479,2,0)</f>
        <v>SEGURANÇA DO TRABALHO</v>
      </c>
      <c r="D42" s="284">
        <f>VLOOKUP($B42,'Análise Física Detalhada'!$E$382:$V$479,18,0)</f>
        <v>67550.056729228236</v>
      </c>
      <c r="E42" s="307">
        <f>VLOOKUP($B42,'Econômico Detalhado'!$B$377:$E$474,4,0)</f>
        <v>4.6460926409838357E-2</v>
      </c>
      <c r="F42" s="327">
        <f t="shared" si="7"/>
        <v>3138.4382146770795</v>
      </c>
      <c r="G42" s="310">
        <f>SUMIF('[2]Despesas Indiretas'!$A$5:$A$10000,$B42,'[2]Despesas Indiretas'!$H$5:$H$10000)</f>
        <v>1791.06</v>
      </c>
      <c r="H42" s="445">
        <f>SUMIF('[3]Despesas Indiretas'!$A$5:$A$10000,$B42,'[3]Despesas Indiretas'!$H$5:$H$10000)</f>
        <v>808.76</v>
      </c>
      <c r="I42" s="318">
        <f>SUMIF([4]Comprometimento!$A$149:$A$266,$B42,[4]Comprometimento!$E$149:$E$266)</f>
        <v>0</v>
      </c>
      <c r="J42" s="319"/>
      <c r="K42" s="321">
        <f t="shared" ref="K42:K46" si="13">SUM($G42:$I42)-$J42</f>
        <v>2599.8199999999997</v>
      </c>
      <c r="L42" s="517">
        <f t="shared" si="8"/>
        <v>0.82838017579629197</v>
      </c>
      <c r="M42" s="319">
        <f t="shared" si="9"/>
        <v>-538.61821467707978</v>
      </c>
      <c r="N42" s="517">
        <v>0.44517655729324496</v>
      </c>
      <c r="O42" s="319">
        <v>-1143.5423575555553</v>
      </c>
      <c r="P42" s="318">
        <f t="shared" ref="P42:P46" si="14">M42-O42</f>
        <v>604.92414287847555</v>
      </c>
      <c r="Q42" s="517">
        <f t="shared" si="11"/>
        <v>1</v>
      </c>
      <c r="R42" s="319">
        <f t="shared" si="12"/>
        <v>67550.056729228236</v>
      </c>
      <c r="S42" s="512"/>
    </row>
    <row r="43" spans="1:19" s="280" customFormat="1" ht="30" customHeight="1" x14ac:dyDescent="0.2">
      <c r="A43" s="291"/>
      <c r="B43" s="293" t="s">
        <v>86</v>
      </c>
      <c r="C43" s="283" t="str">
        <f>VLOOKUP($B43,'Análise Física Detalhada'!$E$382:$J$479,2,0)</f>
        <v>CUSTOS INDIRETOS - PESSOAL</v>
      </c>
      <c r="D43" s="284">
        <f>VLOOKUP($B43,'Análise Física Detalhada'!$E$382:$V$479,18,0)</f>
        <v>1513971.5867407515</v>
      </c>
      <c r="E43" s="307">
        <f>VLOOKUP($B43,'Econômico Detalhado'!$B$377:$E$474,4,0)</f>
        <v>0.12733172654301927</v>
      </c>
      <c r="F43" s="327">
        <f t="shared" si="7"/>
        <v>192776.61607677437</v>
      </c>
      <c r="G43" s="310">
        <f>SUMIF('[2]Despesas Indiretas'!$A$5:$A$10000,$B43,'[2]Despesas Indiretas'!$H$5:$H$10000)</f>
        <v>113608.97000000003</v>
      </c>
      <c r="H43" s="445">
        <f>SUMIF('[3]Despesas Indiretas'!$A$5:$A$10000,$B43,'[3]Despesas Indiretas'!$H$5:$H$10000)</f>
        <v>13222.4</v>
      </c>
      <c r="I43" s="318">
        <f>SUMIF([4]Comprometimento!$A$149:$A$266,$B43,[4]Comprometimento!$E$149:$E$266)</f>
        <v>0</v>
      </c>
      <c r="J43" s="319"/>
      <c r="K43" s="321">
        <f t="shared" si="13"/>
        <v>126831.37000000002</v>
      </c>
      <c r="L43" s="517">
        <f t="shared" si="8"/>
        <v>0.65791885230254643</v>
      </c>
      <c r="M43" s="319">
        <f t="shared" si="9"/>
        <v>-65945.246076774347</v>
      </c>
      <c r="N43" s="517">
        <v>0.5219163858656557</v>
      </c>
      <c r="O43" s="319">
        <v>-60597.71923402774</v>
      </c>
      <c r="P43" s="318">
        <f t="shared" si="14"/>
        <v>-5347.5268427466071</v>
      </c>
      <c r="Q43" s="517">
        <f t="shared" si="11"/>
        <v>1</v>
      </c>
      <c r="R43" s="319">
        <f t="shared" si="12"/>
        <v>1513971.5867407515</v>
      </c>
      <c r="S43" s="512"/>
    </row>
    <row r="44" spans="1:19" s="280" customFormat="1" ht="30" customHeight="1" x14ac:dyDescent="0.2">
      <c r="A44" s="291"/>
      <c r="B44" s="293" t="s">
        <v>91</v>
      </c>
      <c r="C44" s="283" t="str">
        <f>VLOOKUP($B44,'Análise Física Detalhada'!$E$382:$J$479,2,0)</f>
        <v>CUSTOS INDIRETOS - EQUIPAMENTOS</v>
      </c>
      <c r="D44" s="284">
        <f>VLOOKUP($B44,'Análise Física Detalhada'!$E$382:$V$479,18,0)</f>
        <v>169096.11182949186</v>
      </c>
      <c r="E44" s="307">
        <f>VLOOKUP($B44,'Econômico Detalhado'!$B$377:$E$474,4,0)</f>
        <v>2.9612169542798224E-2</v>
      </c>
      <c r="F44" s="327">
        <f t="shared" si="7"/>
        <v>5007.3027325228813</v>
      </c>
      <c r="G44" s="310">
        <f>SUMIF('[2]Despesas Indiretas'!$A$5:$A$10000,$B44,'[2]Despesas Indiretas'!$H$5:$H$10000)</f>
        <v>5668.43</v>
      </c>
      <c r="H44" s="445">
        <f>SUMIF('[3]Despesas Indiretas'!$A$5:$A$10000,$B44,'[3]Despesas Indiretas'!$H$5:$H$10000)</f>
        <v>0</v>
      </c>
      <c r="I44" s="318">
        <f>SUMIF([4]Comprometimento!$A$149:$A$266,$B44,[4]Comprometimento!$E$149:$E$266)</f>
        <v>0</v>
      </c>
      <c r="J44" s="319"/>
      <c r="K44" s="321">
        <f t="shared" si="13"/>
        <v>5668.43</v>
      </c>
      <c r="L44" s="517">
        <f t="shared" si="8"/>
        <v>1.1320326137229606</v>
      </c>
      <c r="M44" s="319">
        <f t="shared" si="9"/>
        <v>661.12726747711895</v>
      </c>
      <c r="N44" s="517">
        <v>1.2922065038825594</v>
      </c>
      <c r="O44" s="319">
        <v>931.30008877777755</v>
      </c>
      <c r="P44" s="318">
        <f t="shared" si="14"/>
        <v>-270.1728213006586</v>
      </c>
      <c r="Q44" s="517">
        <f t="shared" si="11"/>
        <v>1</v>
      </c>
      <c r="R44" s="319">
        <f t="shared" si="12"/>
        <v>169096.11182949186</v>
      </c>
      <c r="S44" s="512"/>
    </row>
    <row r="45" spans="1:19" s="280" customFormat="1" ht="30" customHeight="1" x14ac:dyDescent="0.2">
      <c r="A45" s="291"/>
      <c r="B45" s="293" t="s">
        <v>95</v>
      </c>
      <c r="C45" s="281" t="str">
        <f>VLOOKUP($B45,'Análise Física Detalhada'!$E$382:$J$479,2,0)</f>
        <v>CUSTOS INDIRETOS - OUTROS</v>
      </c>
      <c r="D45" s="284">
        <f>VLOOKUP($B45,'Análise Física Detalhada'!$E$382:$V$479,18,0)</f>
        <v>319377.48576056288</v>
      </c>
      <c r="E45" s="307">
        <f>VLOOKUP($B45,'Econômico Detalhado'!$B$377:$E$474,4,0)</f>
        <v>0.16125337010391749</v>
      </c>
      <c r="F45" s="327">
        <f t="shared" si="7"/>
        <v>51500.695914206684</v>
      </c>
      <c r="G45" s="310">
        <f>SUMIF('[2]Despesas Indiretas'!$A$5:$A$10000,$B45,'[2]Despesas Indiretas'!$H$5:$H$10000)</f>
        <v>43302.14</v>
      </c>
      <c r="H45" s="445">
        <f>SUMIF('[3]Despesas Indiretas'!$A$5:$A$10000,$B45,'[3]Despesas Indiretas'!$H$5:$H$10000)</f>
        <v>4273.3799999999992</v>
      </c>
      <c r="I45" s="318">
        <f>SUMIF([4]Comprometimento!$A$149:$A$266,$B45,[4]Comprometimento!$E$149:$E$266)</f>
        <v>0</v>
      </c>
      <c r="J45" s="319"/>
      <c r="K45" s="321">
        <f t="shared" si="13"/>
        <v>47575.519999999997</v>
      </c>
      <c r="L45" s="517">
        <f t="shared" si="8"/>
        <v>0.92378402185583064</v>
      </c>
      <c r="M45" s="319">
        <f t="shared" si="9"/>
        <v>-3925.1759142066876</v>
      </c>
      <c r="N45" s="517">
        <v>0.93163259107645968</v>
      </c>
      <c r="O45" s="319">
        <v>-2492.1536520277805</v>
      </c>
      <c r="P45" s="318">
        <f t="shared" si="14"/>
        <v>-1433.0222621789071</v>
      </c>
      <c r="Q45" s="517">
        <f t="shared" si="11"/>
        <v>1</v>
      </c>
      <c r="R45" s="319">
        <f t="shared" si="12"/>
        <v>319377.48576056288</v>
      </c>
      <c r="S45" s="512"/>
    </row>
    <row r="46" spans="1:19" s="280" customFormat="1" ht="30" customHeight="1" thickBot="1" x14ac:dyDescent="0.25">
      <c r="A46" s="291"/>
      <c r="B46" s="293" t="s">
        <v>105</v>
      </c>
      <c r="C46" s="283" t="str">
        <f>VLOOKUP($B46,'Análise Física Detalhada'!$E$382:$J$479,2,0)</f>
        <v>ADMINISTRAÇÃO</v>
      </c>
      <c r="D46" s="284">
        <f>VLOOKUP($B46,'Análise Física Detalhada'!$E$382:$V$479,18,0)</f>
        <v>1178763.8843772744</v>
      </c>
      <c r="E46" s="308">
        <f>VLOOKUP($B46,'Econômico Detalhado'!$B$377:$E$474,4,0)</f>
        <v>7.8100000000000003E-2</v>
      </c>
      <c r="F46" s="327">
        <f t="shared" si="7"/>
        <v>92061.45936986513</v>
      </c>
      <c r="G46" s="310">
        <f>SUMIF('[2]Despesas Indiretas'!$A$5:$A$10000,$B46,'[2]Despesas Indiretas'!$H$5:$H$10000)</f>
        <v>0</v>
      </c>
      <c r="H46" s="445">
        <f>SUMIF('[3]Despesas Indiretas'!$A$5:$A$10000,$B46,'[3]Despesas Indiretas'!$H$5:$H$10000)</f>
        <v>0</v>
      </c>
      <c r="I46" s="353">
        <f>SUMIF([4]Comprometimento!$A$149:$A$266,$B46,[4]Comprometimento!$E$149:$E$266)</f>
        <v>91602.215999999986</v>
      </c>
      <c r="J46" s="319"/>
      <c r="K46" s="321">
        <f t="shared" si="13"/>
        <v>91602.215999999986</v>
      </c>
      <c r="L46" s="518">
        <f t="shared" si="8"/>
        <v>0.99501155670343988</v>
      </c>
      <c r="M46" s="319">
        <f t="shared" si="9"/>
        <v>-459.2433698651439</v>
      </c>
      <c r="N46" s="518">
        <v>0.99884230965791998</v>
      </c>
      <c r="O46" s="319">
        <v>-59.773321684842813</v>
      </c>
      <c r="P46" s="353">
        <f t="shared" si="14"/>
        <v>-399.47004818030109</v>
      </c>
      <c r="Q46" s="518">
        <f t="shared" si="11"/>
        <v>1</v>
      </c>
      <c r="R46" s="319">
        <f t="shared" si="12"/>
        <v>1178763.8843772744</v>
      </c>
      <c r="S46" s="512"/>
    </row>
    <row r="47" spans="1:19" s="282" customFormat="1" ht="30" customHeight="1" thickBot="1" x14ac:dyDescent="0.25">
      <c r="A47" s="290"/>
      <c r="B47" s="1268" t="s">
        <v>313</v>
      </c>
      <c r="C47" s="1289"/>
      <c r="D47" s="296">
        <f>SUM($D41:$D46)</f>
        <v>3427592.4491009628</v>
      </c>
      <c r="E47" s="306">
        <f>$F47/$D47</f>
        <v>0.10876175662667585</v>
      </c>
      <c r="F47" s="311">
        <f>SUM($F41:$F46)</f>
        <v>372790.97576455073</v>
      </c>
      <c r="G47" s="311">
        <f>SUM($G41:$G46)</f>
        <v>180395.28000000003</v>
      </c>
      <c r="H47" s="446">
        <f>SUM($H41:$H46)</f>
        <v>20616.699999999997</v>
      </c>
      <c r="I47" s="316">
        <f>SUM($I41:$I46)</f>
        <v>91602.215999999986</v>
      </c>
      <c r="J47" s="317">
        <f>SUM($J41:$J46)</f>
        <v>0</v>
      </c>
      <c r="K47" s="320">
        <f>SUM($K41:$K46)</f>
        <v>292614.196</v>
      </c>
      <c r="L47" s="515">
        <f t="shared" ref="L47:L48" si="15">IF($F47=0,0,$K47/$F47)</f>
        <v>0.78492832451183259</v>
      </c>
      <c r="M47" s="317">
        <f t="shared" ref="M47:M48" si="16">IF($L47=0,0,$K47-$F47)</f>
        <v>-80176.779764550738</v>
      </c>
      <c r="N47" s="515">
        <v>0.69878324508937051</v>
      </c>
      <c r="O47" s="317">
        <v>-72233.08515496261</v>
      </c>
      <c r="P47" s="316">
        <f t="shared" ref="P47:P48" si="17">M47-O47</f>
        <v>-7943.6946095881285</v>
      </c>
      <c r="Q47" s="515">
        <f t="shared" ref="Q47:Q48" si="18">IF($D47=0,0,IF(($F47/$D47)&lt;20%,1,IF($D47=0,0,IF(($F47/$D47)=1,$L47,IF(($F47/$D47)=0,1,IF($L47&lt;1,(+$L47*($F47/$D47))+(1-((1-$L47)/2))*(1-($F47/$D47)),(+$L47*($F47/$D47))+(1+(($L47-1)/2))*(1-($F47/$D47))))))))</f>
        <v>1</v>
      </c>
      <c r="R47" s="317">
        <f>SUM(R41:R46)</f>
        <v>3427592.4491009628</v>
      </c>
      <c r="S47" s="513"/>
    </row>
    <row r="48" spans="1:19" s="277" customFormat="1" ht="30" customHeight="1" x14ac:dyDescent="0.2">
      <c r="A48" s="292"/>
      <c r="B48" s="297"/>
      <c r="C48" s="298" t="s">
        <v>314</v>
      </c>
      <c r="D48" s="299">
        <f>$D47+$D38</f>
        <v>9032654.8082576357</v>
      </c>
      <c r="E48" s="312">
        <f>$F48/$D48</f>
        <v>0.10476983846672998</v>
      </c>
      <c r="F48" s="313">
        <f>$F47+$F38</f>
        <v>946349.78518688434</v>
      </c>
      <c r="G48" s="313">
        <f>$G47+$G38</f>
        <v>635574.59000000008</v>
      </c>
      <c r="H48" s="447">
        <f>$H47+$H38</f>
        <v>60311.869999999995</v>
      </c>
      <c r="I48" s="322">
        <f>$I47+$I38</f>
        <v>163646.28303672667</v>
      </c>
      <c r="J48" s="323">
        <f>$J47+$J38</f>
        <v>46353.450000000004</v>
      </c>
      <c r="K48" s="324">
        <f>$K47+$K38</f>
        <v>813179.29303672665</v>
      </c>
      <c r="L48" s="516">
        <f t="shared" si="15"/>
        <v>0.859279841096113</v>
      </c>
      <c r="M48" s="323">
        <f t="shared" si="16"/>
        <v>-133170.49215015769</v>
      </c>
      <c r="N48" s="516">
        <v>0.78742528902770126</v>
      </c>
      <c r="O48" s="323">
        <v>-103084.6377044504</v>
      </c>
      <c r="P48" s="322">
        <f t="shared" si="17"/>
        <v>-30085.854445707286</v>
      </c>
      <c r="Q48" s="516">
        <f t="shared" si="18"/>
        <v>1</v>
      </c>
      <c r="R48" s="323">
        <f>R38+R47</f>
        <v>8959008.9022927303</v>
      </c>
      <c r="S48" s="511"/>
    </row>
    <row r="49" spans="1:19" s="231" customFormat="1" ht="9.9499999999999993" customHeight="1" x14ac:dyDescent="0.2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4"/>
    </row>
    <row r="50" spans="1:19" s="277" customFormat="1" ht="36.75" hidden="1" customHeight="1" x14ac:dyDescent="0.2">
      <c r="A50" s="269"/>
      <c r="B50" s="812"/>
      <c r="C50" s="813"/>
      <c r="D50" s="813"/>
      <c r="E50" s="814" t="s">
        <v>1372</v>
      </c>
      <c r="F50" s="814"/>
      <c r="G50" s="814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5"/>
    </row>
    <row r="51" spans="1:19" s="280" customFormat="1" ht="30" hidden="1" customHeight="1" x14ac:dyDescent="0.2">
      <c r="A51" s="291"/>
      <c r="B51" s="816" t="s">
        <v>105</v>
      </c>
      <c r="C51" s="283" t="s">
        <v>590</v>
      </c>
      <c r="D51" s="284">
        <v>0</v>
      </c>
      <c r="E51" s="817"/>
      <c r="F51" s="327"/>
      <c r="G51" s="310"/>
      <c r="H51" s="445"/>
      <c r="I51" s="353"/>
      <c r="J51" s="319"/>
      <c r="K51" s="321">
        <v>0</v>
      </c>
      <c r="L51" s="518">
        <v>0</v>
      </c>
      <c r="M51" s="319">
        <v>0</v>
      </c>
      <c r="N51" s="518"/>
      <c r="O51" s="319"/>
      <c r="P51" s="353">
        <v>0</v>
      </c>
      <c r="Q51" s="518"/>
      <c r="R51" s="818">
        <v>1113185.5898985367</v>
      </c>
      <c r="S51" s="819"/>
    </row>
    <row r="52" spans="1:19" s="280" customFormat="1" ht="31.5" hidden="1" customHeight="1" thickBot="1" x14ac:dyDescent="0.25">
      <c r="A52" s="291"/>
      <c r="B52" s="816" t="s">
        <v>108</v>
      </c>
      <c r="C52" s="283" t="s">
        <v>1373</v>
      </c>
      <c r="D52" s="284"/>
      <c r="E52" s="820"/>
      <c r="F52" s="327"/>
      <c r="G52" s="310"/>
      <c r="H52" s="445"/>
      <c r="I52" s="353"/>
      <c r="J52" s="319"/>
      <c r="K52" s="321"/>
      <c r="L52" s="518"/>
      <c r="M52" s="319"/>
      <c r="N52" s="518"/>
      <c r="O52" s="319"/>
      <c r="P52" s="353"/>
      <c r="Q52" s="518"/>
      <c r="R52" s="818"/>
      <c r="S52" s="819"/>
    </row>
    <row r="53" spans="1:19" s="282" customFormat="1" ht="36" hidden="1" customHeight="1" thickBot="1" x14ac:dyDescent="0.25">
      <c r="A53" s="290"/>
      <c r="B53" s="1288" t="s">
        <v>313</v>
      </c>
      <c r="C53" s="1289"/>
      <c r="D53" s="296">
        <v>3372851.8202023134</v>
      </c>
      <c r="E53" s="306">
        <v>0.14793227842956086</v>
      </c>
      <c r="F53" s="311">
        <v>498953.65456781979</v>
      </c>
      <c r="G53" s="311">
        <v>102506.69000000002</v>
      </c>
      <c r="H53" s="446">
        <v>12652.810000000001</v>
      </c>
      <c r="I53" s="316">
        <v>0</v>
      </c>
      <c r="J53" s="317">
        <v>0</v>
      </c>
      <c r="K53" s="320">
        <v>115159.50000000001</v>
      </c>
      <c r="L53" s="515">
        <v>0.43311563713704837</v>
      </c>
      <c r="M53" s="317">
        <v>-282849.02456781978</v>
      </c>
      <c r="N53" s="515"/>
      <c r="O53" s="317"/>
      <c r="P53" s="316">
        <v>-160190.8678630268</v>
      </c>
      <c r="Q53" s="515">
        <v>0.94729414458207006</v>
      </c>
      <c r="R53" s="821">
        <v>3195082.7798206285</v>
      </c>
      <c r="S53" s="822"/>
    </row>
    <row r="54" spans="1:19" s="277" customFormat="1" ht="36" hidden="1" customHeight="1" thickBot="1" x14ac:dyDescent="0.25">
      <c r="A54" s="292"/>
      <c r="B54" s="823"/>
      <c r="C54" s="824" t="s">
        <v>314</v>
      </c>
      <c r="D54" s="825">
        <v>8892556.349890437</v>
      </c>
      <c r="E54" s="826">
        <v>9.2500233724766665E-2</v>
      </c>
      <c r="F54" s="827">
        <v>822563.54077552329</v>
      </c>
      <c r="G54" s="827">
        <v>260556.47000000003</v>
      </c>
      <c r="H54" s="828">
        <v>97436.37</v>
      </c>
      <c r="I54" s="829">
        <v>0</v>
      </c>
      <c r="J54" s="830">
        <v>53891.409999999996</v>
      </c>
      <c r="K54" s="831">
        <v>304101.43</v>
      </c>
      <c r="L54" s="832">
        <v>1.1916476374285316</v>
      </c>
      <c r="M54" s="830">
        <v>157642.35922447674</v>
      </c>
      <c r="N54" s="832"/>
      <c r="O54" s="830"/>
      <c r="P54" s="829">
        <v>344475.93633123476</v>
      </c>
      <c r="Q54" s="832">
        <v>0.95972659830195295</v>
      </c>
      <c r="R54" s="833">
        <v>8534422.8558887802</v>
      </c>
      <c r="S54" s="269"/>
    </row>
    <row r="55" spans="1:19" hidden="1" x14ac:dyDescent="0.2"/>
  </sheetData>
  <mergeCells count="35"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  <mergeCell ref="Q14:R14"/>
    <mergeCell ref="Q4:R5"/>
    <mergeCell ref="Q7:R7"/>
    <mergeCell ref="P14:P15"/>
    <mergeCell ref="N10:O10"/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</mergeCells>
  <conditionalFormatting sqref="L18:L38">
    <cfRule type="cellIs" dxfId="16" priority="65" stopIfTrue="1" operator="greaterThan">
      <formula>1</formula>
    </cfRule>
  </conditionalFormatting>
  <conditionalFormatting sqref="G12:H12">
    <cfRule type="expression" dxfId="15" priority="66" stopIfTrue="1">
      <formula>M12&gt;0</formula>
    </cfRule>
  </conditionalFormatting>
  <conditionalFormatting sqref="M18:M37">
    <cfRule type="expression" dxfId="14" priority="70" stopIfTrue="1">
      <formula>L18&gt;1</formula>
    </cfRule>
    <cfRule type="expression" dxfId="13" priority="71" stopIfTrue="1">
      <formula>L18&lt;1</formula>
    </cfRule>
  </conditionalFormatting>
  <conditionalFormatting sqref="M38">
    <cfRule type="expression" dxfId="12" priority="74" stopIfTrue="1">
      <formula>L38&gt;1</formula>
    </cfRule>
  </conditionalFormatting>
  <conditionalFormatting sqref="P18:P37">
    <cfRule type="expression" dxfId="11" priority="80" stopIfTrue="1">
      <formula>(N18&gt;SUM(G18:G18))</formula>
    </cfRule>
    <cfRule type="expression" dxfId="10" priority="81" stopIfTrue="1">
      <formula>(N18&lt;SUM(G18:G18))</formula>
    </cfRule>
  </conditionalFormatting>
  <conditionalFormatting sqref="P38">
    <cfRule type="expression" dxfId="9" priority="85" stopIfTrue="1">
      <formula>(N38&gt;SUM(G38:G38))</formula>
    </cfRule>
  </conditionalFormatting>
  <conditionalFormatting sqref="N18:N38">
    <cfRule type="cellIs" dxfId="8" priority="42" stopIfTrue="1" operator="greaterThan">
      <formula>1</formula>
    </cfRule>
  </conditionalFormatting>
  <conditionalFormatting sqref="O18:O37">
    <cfRule type="expression" dxfId="7" priority="43" stopIfTrue="1">
      <formula>N18&gt;1</formula>
    </cfRule>
    <cfRule type="expression" dxfId="6" priority="44" stopIfTrue="1">
      <formula>N18&lt;1</formula>
    </cfRule>
  </conditionalFormatting>
  <conditionalFormatting sqref="O38">
    <cfRule type="expression" dxfId="5" priority="47" stopIfTrue="1">
      <formula>N38&gt;1</formula>
    </cfRule>
  </conditionalFormatting>
  <conditionalFormatting sqref="Q18:Q38">
    <cfRule type="cellIs" dxfId="4" priority="28" stopIfTrue="1" operator="greaterThan">
      <formula>1</formula>
    </cfRule>
  </conditionalFormatting>
  <conditionalFormatting sqref="R18:R37">
    <cfRule type="expression" dxfId="3" priority="18" stopIfTrue="1">
      <formula>Q18&gt;1</formula>
    </cfRule>
    <cfRule type="expression" dxfId="2" priority="19" stopIfTrue="1">
      <formula>Q18&lt;1</formula>
    </cfRule>
  </conditionalFormatting>
  <conditionalFormatting sqref="R38">
    <cfRule type="expression" dxfId="1" priority="22" stopIfTrue="1">
      <formula>Q38&gt;1</formula>
    </cfRule>
  </conditionalFormatting>
  <conditionalFormatting sqref="Q11">
    <cfRule type="expression" dxfId="0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zoomScale="60" zoomScaleNormal="60" workbookViewId="0">
      <selection activeCell="G24" sqref="G24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0" width="14.7109375" style="1" customWidth="1"/>
    <col min="31" max="31" width="15.570312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309"/>
      <c r="C2" s="1309"/>
      <c r="D2" s="1309"/>
      <c r="E2" s="1309"/>
      <c r="F2" s="1309"/>
      <c r="G2" s="1309"/>
      <c r="H2" s="1309"/>
      <c r="I2" s="1309"/>
      <c r="J2" s="1309"/>
      <c r="K2" s="1309"/>
      <c r="L2" s="1309"/>
      <c r="M2" s="1309"/>
      <c r="N2" s="1309"/>
      <c r="O2" s="1309"/>
      <c r="P2" s="1309"/>
      <c r="Q2" s="1309"/>
      <c r="R2" s="1309"/>
      <c r="S2" s="1309"/>
      <c r="T2" s="1309"/>
      <c r="U2" s="1309"/>
      <c r="V2" s="1309"/>
      <c r="W2" s="1309"/>
      <c r="X2" s="1309"/>
      <c r="Y2" s="1309"/>
      <c r="Z2" s="1309"/>
      <c r="AA2" s="1309"/>
      <c r="AB2" s="1309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44013</v>
      </c>
      <c r="E6" s="9">
        <v>44044</v>
      </c>
      <c r="F6" s="9">
        <v>44075</v>
      </c>
      <c r="G6" s="9">
        <v>44105</v>
      </c>
      <c r="H6" s="9">
        <v>44136</v>
      </c>
      <c r="I6" s="9">
        <v>44166</v>
      </c>
      <c r="J6" s="9">
        <v>44197</v>
      </c>
      <c r="K6" s="9">
        <v>44228</v>
      </c>
      <c r="L6" s="9">
        <v>44256</v>
      </c>
      <c r="M6" s="9">
        <v>44287</v>
      </c>
      <c r="N6" s="9">
        <v>44317</v>
      </c>
      <c r="O6" s="9">
        <v>44348</v>
      </c>
      <c r="P6" s="9">
        <v>44378</v>
      </c>
      <c r="Q6" s="9">
        <v>44409</v>
      </c>
      <c r="R6" s="9">
        <v>44440</v>
      </c>
      <c r="S6" s="9">
        <v>44470</v>
      </c>
      <c r="T6" s="9">
        <v>44501</v>
      </c>
      <c r="U6" s="9">
        <v>44531</v>
      </c>
      <c r="V6" s="9">
        <v>44562</v>
      </c>
      <c r="W6" s="9">
        <v>44593</v>
      </c>
      <c r="X6" s="9">
        <v>44621</v>
      </c>
      <c r="Y6" s="9">
        <v>44652</v>
      </c>
      <c r="Z6" s="9">
        <v>44682</v>
      </c>
      <c r="AA6" s="9">
        <v>44713</v>
      </c>
      <c r="AB6" s="9">
        <v>44743</v>
      </c>
      <c r="AC6" s="9"/>
      <c r="AD6" s="9"/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0" t="s">
        <v>757</v>
      </c>
      <c r="B8" s="601" t="s">
        <v>758</v>
      </c>
      <c r="C8" s="14"/>
      <c r="D8" s="851"/>
      <c r="E8" s="602"/>
      <c r="F8" s="602">
        <v>0.87414174054804183</v>
      </c>
      <c r="G8" s="602">
        <f>'Econômico Macro'!$L$38</f>
        <v>0.90760544251952091</v>
      </c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0" t="s">
        <v>757</v>
      </c>
      <c r="B9" s="601" t="s">
        <v>759</v>
      </c>
      <c r="C9" s="14"/>
      <c r="D9" s="851"/>
      <c r="E9" s="602"/>
      <c r="F9" s="602">
        <v>0.69878324508937051</v>
      </c>
      <c r="G9" s="602">
        <f>'Econômico Macro'!$L$47</f>
        <v>0.78492832451183259</v>
      </c>
      <c r="H9" s="602"/>
      <c r="I9" s="602"/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0" t="s">
        <v>757</v>
      </c>
      <c r="B10" s="601" t="s">
        <v>760</v>
      </c>
      <c r="C10" s="14"/>
      <c r="D10" s="851"/>
      <c r="E10" s="602"/>
      <c r="F10" s="602">
        <v>0.78742528902770126</v>
      </c>
      <c r="G10" s="602">
        <f>'Econômico Macro'!$L$48</f>
        <v>0.859279841096113</v>
      </c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749</v>
      </c>
      <c r="B11" s="566" t="s">
        <v>752</v>
      </c>
      <c r="C11" s="22"/>
      <c r="D11" s="851"/>
      <c r="E11" s="567"/>
      <c r="F11" s="567">
        <v>781840.74276151147</v>
      </c>
      <c r="G11" s="567">
        <f>'Análise Física Detalhada'!$W$481</f>
        <v>1243737.0722543676</v>
      </c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23">
        <f>INDEX(D11:AB11,,AH11)</f>
        <v>0</v>
      </c>
      <c r="AF11" s="17">
        <f>COUNTBLANK(D11:AB11)</f>
        <v>23</v>
      </c>
      <c r="AG11" s="17">
        <f>+$AB$1</f>
        <v>25</v>
      </c>
      <c r="AH11" s="18">
        <f>+AG11-AF11</f>
        <v>2</v>
      </c>
      <c r="AI11" s="19" t="s">
        <v>18</v>
      </c>
      <c r="AJ11" s="342" t="str">
        <f>IF(AD11&lt;1," atraso global de  "," adiantamento global de  ")</f>
        <v xml:space="preserve"> atraso global de  </v>
      </c>
      <c r="AK11" s="343" t="str">
        <f>+AI11&amp;AJ11&amp;AN11*100&amp;" %"</f>
        <v>A obra apresenta atraso global de  0 %</v>
      </c>
      <c r="AL11" s="19"/>
      <c r="AM11" s="19"/>
      <c r="AN11" s="344">
        <f>ROUND(AE11,4)</f>
        <v>0</v>
      </c>
    </row>
    <row r="12" spans="1:40" ht="40.15" customHeight="1" x14ac:dyDescent="0.2">
      <c r="A12" s="564" t="s">
        <v>750</v>
      </c>
      <c r="B12" s="29" t="s">
        <v>753</v>
      </c>
      <c r="C12" s="135"/>
      <c r="D12" s="851"/>
      <c r="E12" s="568"/>
      <c r="F12" s="568">
        <v>484933.68394081318</v>
      </c>
      <c r="G12" s="568">
        <f>'Econômico Macro'!$F$48</f>
        <v>946349.78518688434</v>
      </c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9"/>
      <c r="Y12" s="569"/>
      <c r="Z12" s="569"/>
      <c r="AA12" s="569"/>
      <c r="AB12" s="569"/>
      <c r="AC12" s="569"/>
      <c r="AD12" s="569"/>
      <c r="AE12" s="10">
        <f>INDEX(D12:AB12,,AH12)</f>
        <v>0</v>
      </c>
      <c r="AF12" s="17">
        <f>COUNTBLANK(D12:AB12)</f>
        <v>23</v>
      </c>
      <c r="AG12" s="17">
        <f>+$AB$1</f>
        <v>25</v>
      </c>
      <c r="AH12" s="18">
        <f>+AG12-AF12</f>
        <v>2</v>
      </c>
      <c r="AI12" s="19" t="s">
        <v>21</v>
      </c>
      <c r="AJ12" s="20"/>
      <c r="AK12" s="343" t="str">
        <f>+AI12&amp;AJ12&amp;AN12*100&amp;" %"</f>
        <v>% Executado no mês  0 %</v>
      </c>
      <c r="AL12" s="19"/>
      <c r="AM12" s="19"/>
      <c r="AN12" s="346">
        <f>ROUND(AE12,4)</f>
        <v>0</v>
      </c>
    </row>
    <row r="13" spans="1:40" ht="40.15" customHeight="1" x14ac:dyDescent="0.2">
      <c r="A13" s="564" t="s">
        <v>1979</v>
      </c>
      <c r="B13" s="29" t="s">
        <v>1980</v>
      </c>
      <c r="C13" s="135"/>
      <c r="D13" s="851"/>
      <c r="E13" s="568"/>
      <c r="F13" s="568">
        <v>3261120.8754999996</v>
      </c>
      <c r="G13" s="568">
        <v>3261120.8754999996</v>
      </c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9"/>
      <c r="Y13" s="569"/>
      <c r="Z13" s="569"/>
      <c r="AA13" s="569"/>
      <c r="AB13" s="569"/>
      <c r="AC13" s="569"/>
      <c r="AD13" s="569"/>
      <c r="AE13" s="10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5" t="s">
        <v>751</v>
      </c>
      <c r="B14" s="32" t="s">
        <v>754</v>
      </c>
      <c r="C14" s="136"/>
      <c r="D14" s="851"/>
      <c r="E14" s="570"/>
      <c r="F14" s="570">
        <v>381849.04623636277</v>
      </c>
      <c r="G14" s="570">
        <f>'Econômico Macro'!$K$48</f>
        <v>813179.29303672665</v>
      </c>
      <c r="H14" s="570"/>
      <c r="I14" s="570"/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1"/>
      <c r="Y14" s="571"/>
      <c r="Z14" s="571"/>
      <c r="AA14" s="571"/>
      <c r="AB14" s="571"/>
      <c r="AC14" s="571"/>
      <c r="AD14" s="571"/>
      <c r="AE14" s="10">
        <f>INDEX(D14:AB14,,AH14)</f>
        <v>0</v>
      </c>
      <c r="AF14" s="17">
        <f>COUNTBLANK(D14:AB14)</f>
        <v>23</v>
      </c>
      <c r="AG14" s="17">
        <f>+$AB$1</f>
        <v>25</v>
      </c>
      <c r="AH14" s="18">
        <f>+AG14-AF14</f>
        <v>2</v>
      </c>
      <c r="AI14" s="19" t="s">
        <v>24</v>
      </c>
      <c r="AJ14" s="20"/>
      <c r="AK14" s="343" t="str">
        <f>+AI14&amp;AJ14&amp;AN14*100&amp;" %"</f>
        <v>% Acumulado até a data  0 %</v>
      </c>
      <c r="AL14" s="19"/>
      <c r="AM14" s="19"/>
      <c r="AN14" s="346">
        <f>ROUND(AE14,4)</f>
        <v>0</v>
      </c>
    </row>
    <row r="15" spans="1:40" x14ac:dyDescent="0.2">
      <c r="C15" s="34">
        <f t="shared" ref="C15" si="0">+C16</f>
        <v>31</v>
      </c>
      <c r="D15" s="34">
        <v>28</v>
      </c>
      <c r="E15" s="34">
        <v>31</v>
      </c>
      <c r="F15" s="34">
        <v>30</v>
      </c>
      <c r="G15" s="34">
        <v>31</v>
      </c>
      <c r="H15" s="34">
        <v>30</v>
      </c>
      <c r="I15" s="34">
        <v>31</v>
      </c>
      <c r="J15" s="34">
        <v>31</v>
      </c>
      <c r="K15" s="34">
        <v>30</v>
      </c>
      <c r="L15" s="34">
        <v>31</v>
      </c>
      <c r="M15" s="34">
        <v>30</v>
      </c>
      <c r="N15" s="34">
        <v>61</v>
      </c>
      <c r="O15" s="34">
        <v>61</v>
      </c>
      <c r="P15" s="34">
        <v>62</v>
      </c>
      <c r="Q15" s="34">
        <v>61</v>
      </c>
      <c r="R15" s="34">
        <v>61</v>
      </c>
      <c r="S15" s="34">
        <v>61</v>
      </c>
      <c r="T15" s="34">
        <v>61</v>
      </c>
      <c r="U15" s="34">
        <v>62</v>
      </c>
      <c r="V15" s="34">
        <v>59</v>
      </c>
      <c r="W15" s="34">
        <v>59</v>
      </c>
      <c r="X15" s="34">
        <v>61</v>
      </c>
      <c r="Y15" s="34"/>
      <c r="Z15" s="34"/>
      <c r="AA15" s="34"/>
      <c r="AB15" s="34"/>
      <c r="AC15" s="34"/>
      <c r="AD15" s="34"/>
      <c r="AG15" s="25"/>
    </row>
    <row r="16" spans="1:40" x14ac:dyDescent="0.2">
      <c r="C16" s="34">
        <f>+C18-C17+1</f>
        <v>31</v>
      </c>
      <c r="D16" s="34">
        <v>28</v>
      </c>
      <c r="E16" s="34">
        <v>31</v>
      </c>
      <c r="F16" s="34">
        <v>30</v>
      </c>
      <c r="G16" s="34">
        <v>31</v>
      </c>
      <c r="H16" s="34">
        <v>30</v>
      </c>
      <c r="I16" s="34">
        <v>31</v>
      </c>
      <c r="J16" s="34">
        <v>31</v>
      </c>
      <c r="K16" s="34">
        <v>30</v>
      </c>
      <c r="L16" s="34">
        <v>31</v>
      </c>
      <c r="M16" s="34">
        <v>30</v>
      </c>
      <c r="N16" s="34">
        <v>61</v>
      </c>
      <c r="O16" s="34">
        <v>61</v>
      </c>
      <c r="P16" s="34">
        <v>62</v>
      </c>
      <c r="Q16" s="34">
        <v>61</v>
      </c>
      <c r="R16" s="34">
        <v>61</v>
      </c>
      <c r="S16" s="34">
        <v>61</v>
      </c>
      <c r="T16" s="34">
        <v>61</v>
      </c>
      <c r="U16" s="34">
        <v>62</v>
      </c>
      <c r="V16" s="34">
        <v>59</v>
      </c>
      <c r="W16" s="34">
        <v>59</v>
      </c>
      <c r="X16" s="34">
        <v>61</v>
      </c>
      <c r="Y16" s="34"/>
      <c r="Z16" s="34"/>
      <c r="AA16" s="34"/>
      <c r="AB16" s="34"/>
      <c r="AC16" s="34"/>
      <c r="AD16" s="34"/>
      <c r="AG16" s="25"/>
    </row>
    <row r="17" spans="1:40" x14ac:dyDescent="0.2">
      <c r="C17" s="35">
        <f>C6</f>
        <v>42795</v>
      </c>
      <c r="D17" s="35">
        <v>44013</v>
      </c>
      <c r="E17" s="35">
        <v>44044</v>
      </c>
      <c r="F17" s="35">
        <v>44075</v>
      </c>
      <c r="G17" s="35">
        <v>44105</v>
      </c>
      <c r="H17" s="35">
        <v>44136</v>
      </c>
      <c r="I17" s="35">
        <v>44166</v>
      </c>
      <c r="J17" s="35">
        <v>44197</v>
      </c>
      <c r="K17" s="35">
        <v>44228</v>
      </c>
      <c r="L17" s="35">
        <v>44256</v>
      </c>
      <c r="M17" s="35">
        <v>44287</v>
      </c>
      <c r="N17" s="35">
        <v>44317</v>
      </c>
      <c r="O17" s="35">
        <v>44348</v>
      </c>
      <c r="P17" s="35">
        <v>44378</v>
      </c>
      <c r="Q17" s="35">
        <v>44409</v>
      </c>
      <c r="R17" s="35">
        <v>44440</v>
      </c>
      <c r="S17" s="35">
        <v>44470</v>
      </c>
      <c r="T17" s="35">
        <v>44501</v>
      </c>
      <c r="U17" s="35">
        <v>44531</v>
      </c>
      <c r="V17" s="35">
        <v>44562</v>
      </c>
      <c r="W17" s="35">
        <v>44593</v>
      </c>
      <c r="X17" s="35">
        <v>44621</v>
      </c>
      <c r="Y17" s="35">
        <v>44652</v>
      </c>
      <c r="Z17" s="35">
        <v>44682</v>
      </c>
      <c r="AA17" s="35">
        <v>44713</v>
      </c>
      <c r="AB17" s="35">
        <v>44743</v>
      </c>
      <c r="AC17" s="35">
        <v>44682</v>
      </c>
      <c r="AD17" s="35">
        <v>44713</v>
      </c>
      <c r="AG17" s="25"/>
    </row>
    <row r="18" spans="1:40" x14ac:dyDescent="0.2">
      <c r="B18" s="1" t="s">
        <v>25</v>
      </c>
      <c r="C18" s="35">
        <v>42825</v>
      </c>
      <c r="D18" s="35">
        <v>44043</v>
      </c>
      <c r="E18" s="35">
        <v>44104</v>
      </c>
      <c r="F18" s="35">
        <v>44135</v>
      </c>
      <c r="G18" s="35">
        <v>44165</v>
      </c>
      <c r="H18" s="35">
        <v>44196</v>
      </c>
      <c r="I18" s="35">
        <v>44227</v>
      </c>
      <c r="J18" s="35">
        <v>44255</v>
      </c>
      <c r="K18" s="35">
        <v>44286</v>
      </c>
      <c r="L18" s="35">
        <v>44316</v>
      </c>
      <c r="M18" s="35">
        <v>44347</v>
      </c>
      <c r="N18" s="35">
        <v>44377</v>
      </c>
      <c r="O18" s="35">
        <v>44408</v>
      </c>
      <c r="P18" s="35">
        <v>44439</v>
      </c>
      <c r="Q18" s="35">
        <v>44469</v>
      </c>
      <c r="R18" s="35">
        <v>44500</v>
      </c>
      <c r="S18" s="35">
        <v>44530</v>
      </c>
      <c r="T18" s="35">
        <v>44561</v>
      </c>
      <c r="U18" s="35">
        <v>44592</v>
      </c>
      <c r="V18" s="35">
        <v>44620</v>
      </c>
      <c r="W18" s="35">
        <v>44651</v>
      </c>
      <c r="X18" s="35">
        <v>44681</v>
      </c>
      <c r="Y18" s="35">
        <v>44712</v>
      </c>
      <c r="Z18" s="35">
        <v>44742</v>
      </c>
      <c r="AA18" s="35">
        <v>44773</v>
      </c>
      <c r="AB18" s="35">
        <v>44681</v>
      </c>
      <c r="AC18" s="35">
        <v>44712</v>
      </c>
      <c r="AD18" s="35">
        <v>44742</v>
      </c>
      <c r="AF18" s="17"/>
      <c r="AG18" s="17"/>
      <c r="AH18" s="18"/>
    </row>
    <row r="19" spans="1:40" x14ac:dyDescent="0.2">
      <c r="A19" s="1" t="s">
        <v>207</v>
      </c>
      <c r="B19" s="36" t="s">
        <v>26</v>
      </c>
      <c r="C19" s="333"/>
      <c r="D19" s="132">
        <v>1.2E-2</v>
      </c>
      <c r="E19" s="132">
        <v>1.5900000000000001E-2</v>
      </c>
      <c r="F19" s="132">
        <v>7.2216209429785475E-2</v>
      </c>
      <c r="G19" s="132">
        <v>3.9899999999999991E-2</v>
      </c>
      <c r="H19" s="132">
        <v>3.1700000000000006E-2</v>
      </c>
      <c r="I19" s="132">
        <v>4.1799999999999976E-2</v>
      </c>
      <c r="J19" s="132">
        <v>3.7600000000000022E-2</v>
      </c>
      <c r="K19" s="132">
        <v>3.5399999999999959E-2</v>
      </c>
      <c r="L19" s="132">
        <v>3.3000000000000029E-2</v>
      </c>
      <c r="M19" s="132">
        <v>3.9700000000000013E-2</v>
      </c>
      <c r="N19" s="132">
        <v>5.5999999999999994E-2</v>
      </c>
      <c r="O19" s="132">
        <v>4.1399999999999992E-2</v>
      </c>
      <c r="P19" s="132">
        <v>2.789999999999998E-2</v>
      </c>
      <c r="Q19" s="132">
        <v>3.6899999999999988E-2</v>
      </c>
      <c r="R19" s="132">
        <v>3.620000000000001E-2</v>
      </c>
      <c r="S19" s="132">
        <v>4.1100000000000025E-2</v>
      </c>
      <c r="T19" s="132">
        <v>4.500000000000004E-2</v>
      </c>
      <c r="U19" s="132">
        <v>4.489999999999994E-2</v>
      </c>
      <c r="V19" s="132">
        <v>3.630000000000011E-2</v>
      </c>
      <c r="W19" s="132">
        <v>5.0799999999999956E-2</v>
      </c>
      <c r="X19" s="132">
        <v>6.2799999999999967E-2</v>
      </c>
      <c r="Y19" s="132">
        <v>5.6199999999999917E-2</v>
      </c>
      <c r="Z19" s="132">
        <v>5.0700000000000078E-2</v>
      </c>
      <c r="AA19" s="132">
        <v>4.379999999999995E-2</v>
      </c>
      <c r="AB19" s="132">
        <v>2.2800000000000042E-2</v>
      </c>
      <c r="AC19" s="132">
        <v>8.439999999999992E-2</v>
      </c>
      <c r="AD19" s="132">
        <v>6.3799999999999968E-2</v>
      </c>
      <c r="AH19" s="1"/>
    </row>
    <row r="20" spans="1:40" x14ac:dyDescent="0.2">
      <c r="A20" s="1" t="s">
        <v>208</v>
      </c>
      <c r="B20" s="37" t="s">
        <v>27</v>
      </c>
      <c r="C20" s="333"/>
      <c r="D20" s="132">
        <v>1.2E-2</v>
      </c>
      <c r="E20" s="132">
        <v>1.5883790570214537E-2</v>
      </c>
      <c r="F20" s="132">
        <v>8.8100000000000012E-2</v>
      </c>
      <c r="G20" s="132">
        <v>0.128</v>
      </c>
      <c r="H20" s="132">
        <v>0.15970000000000001</v>
      </c>
      <c r="I20" s="132">
        <v>0.20149999999999998</v>
      </c>
      <c r="J20" s="132">
        <v>0.23910000000000001</v>
      </c>
      <c r="K20" s="132">
        <v>0.27449999999999997</v>
      </c>
      <c r="L20" s="132">
        <v>0.3075</v>
      </c>
      <c r="M20" s="132">
        <v>0.34720000000000001</v>
      </c>
      <c r="N20" s="132">
        <v>0.4032</v>
      </c>
      <c r="O20" s="132">
        <v>0.4446</v>
      </c>
      <c r="P20" s="132">
        <v>0.47249999999999998</v>
      </c>
      <c r="Q20" s="132">
        <v>0.50939999999999996</v>
      </c>
      <c r="R20" s="132">
        <v>0.54559999999999997</v>
      </c>
      <c r="S20" s="132">
        <v>0.5867</v>
      </c>
      <c r="T20" s="132">
        <v>0.63170000000000004</v>
      </c>
      <c r="U20" s="132">
        <v>0.67659999999999998</v>
      </c>
      <c r="V20" s="132">
        <v>0.71290000000000009</v>
      </c>
      <c r="W20" s="132">
        <v>0.76370000000000005</v>
      </c>
      <c r="X20" s="132">
        <v>0.82650000000000001</v>
      </c>
      <c r="Y20" s="132">
        <v>0.88269999999999993</v>
      </c>
      <c r="Z20" s="132">
        <v>0.93340000000000001</v>
      </c>
      <c r="AA20" s="132">
        <v>0.97719999999999996</v>
      </c>
      <c r="AB20" s="132">
        <v>1</v>
      </c>
      <c r="AC20" s="132">
        <v>0.93620000000000003</v>
      </c>
      <c r="AD20" s="132">
        <v>1</v>
      </c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3" t="s">
        <v>735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207</v>
      </c>
      <c r="B23" s="745" t="s">
        <v>1366</v>
      </c>
      <c r="C23" s="333"/>
      <c r="D23" s="132"/>
      <c r="E23" s="132"/>
      <c r="F23" s="132">
        <v>6.5299999999999997E-2</v>
      </c>
      <c r="G23" s="132">
        <f>G24-F24</f>
        <v>5.0248979916227184E-2</v>
      </c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208</v>
      </c>
      <c r="B24" s="746" t="s">
        <v>1367</v>
      </c>
      <c r="C24" s="333"/>
      <c r="D24" s="132"/>
      <c r="E24" s="132"/>
      <c r="F24" s="132">
        <v>5.4520858550502795E-2</v>
      </c>
      <c r="G24" s="132">
        <f>'Econômico Macro'!$E$48</f>
        <v>0.10476983846672998</v>
      </c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8</vt:i4>
      </vt:variant>
    </vt:vector>
  </HeadingPairs>
  <TitlesOfParts>
    <vt:vector size="23" baseType="lpstr">
      <vt:lpstr>Plan3</vt:lpstr>
      <vt:lpstr>Orçamento</vt:lpstr>
      <vt:lpstr>DADOS</vt:lpstr>
      <vt:lpstr>Análise Física Macro</vt:lpstr>
      <vt:lpstr>Análise Física Detalhada</vt:lpstr>
      <vt:lpstr>Ata Set20</vt:lpstr>
      <vt:lpstr>AtaOut20</vt:lpstr>
      <vt:lpstr>Principais Impactos do Mês</vt:lpstr>
      <vt:lpstr>Suprimentos Próximos 03 Meses</vt:lpstr>
      <vt:lpstr>Plan1</vt:lpstr>
      <vt:lpstr>Painel de Indicadores 2</vt:lpstr>
      <vt:lpstr>Relatório Gerencial</vt:lpstr>
      <vt:lpstr>Econômico Detalhado</vt:lpstr>
      <vt:lpstr>Econômico Macro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2019-11-14T14:40:36Z</cp:lastPrinted>
  <dcterms:created xsi:type="dcterms:W3CDTF">2005-04-18T14:29:00Z</dcterms:created>
  <dcterms:modified xsi:type="dcterms:W3CDTF">2020-11-10T10:31:10Z</dcterms:modified>
</cp:coreProperties>
</file>