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ofberg_ntnu_no/Documents/2021H/Masteroppgave/Artikler og datasett/"/>
    </mc:Choice>
  </mc:AlternateContent>
  <xr:revisionPtr revIDLastSave="332" documentId="8_{7821E158-9D12-4C21-9153-E58806570655}" xr6:coauthVersionLast="47" xr6:coauthVersionMax="47" xr10:uidLastSave="{3B68BAA8-917B-4B0F-862D-129A3C6F0584}"/>
  <bookViews>
    <workbookView xWindow="12960" yWindow="390" windowWidth="11010" windowHeight="10965" xr2:uid="{5B69728F-4686-453A-8FE0-F8A40592CDAA}"/>
  </bookViews>
  <sheets>
    <sheet name="Hoved" sheetId="1" r:id="rId1"/>
    <sheet name="Andre studier" sheetId="3" r:id="rId2"/>
    <sheet name="Met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2" i="1" l="1"/>
  <c r="M132" i="1"/>
  <c r="G44" i="3"/>
  <c r="I44" i="3" s="1"/>
  <c r="O44" i="3" s="1"/>
  <c r="O43" i="3"/>
  <c r="I43" i="3"/>
  <c r="G43" i="3"/>
  <c r="G106" i="1"/>
  <c r="D89" i="1"/>
  <c r="C89" i="1"/>
  <c r="G42" i="3"/>
  <c r="I42" i="3" s="1"/>
  <c r="G41" i="3"/>
  <c r="I41" i="3" s="1"/>
  <c r="G40" i="3"/>
  <c r="I40" i="3" s="1"/>
  <c r="G39" i="3"/>
  <c r="I39" i="3" s="1"/>
  <c r="G38" i="3"/>
  <c r="I38" i="3" s="1"/>
  <c r="H37" i="3"/>
  <c r="F37" i="3"/>
  <c r="D37" i="3"/>
  <c r="C37" i="3"/>
  <c r="G36" i="3"/>
  <c r="I36" i="3" s="1"/>
  <c r="H35" i="3"/>
  <c r="I35" i="3" s="1"/>
  <c r="G34" i="3"/>
  <c r="I34" i="3" s="1"/>
  <c r="G33" i="3"/>
  <c r="I33" i="3" s="1"/>
  <c r="I32" i="3"/>
  <c r="I31" i="3"/>
  <c r="G30" i="3"/>
  <c r="I30" i="3" s="1"/>
  <c r="G29" i="3"/>
  <c r="I29" i="3" s="1"/>
  <c r="E28" i="3"/>
  <c r="D28" i="3"/>
  <c r="C28" i="3"/>
  <c r="I27" i="3"/>
  <c r="I26" i="3"/>
  <c r="I25" i="3"/>
  <c r="G24" i="3"/>
  <c r="I24" i="3" s="1"/>
  <c r="G23" i="3"/>
  <c r="I23" i="3" s="1"/>
  <c r="G22" i="3"/>
  <c r="I22" i="3" s="1"/>
  <c r="I21" i="3"/>
  <c r="I20" i="3"/>
  <c r="I19" i="3"/>
  <c r="D18" i="3"/>
  <c r="C18" i="3"/>
  <c r="I17" i="3"/>
  <c r="I16" i="3"/>
  <c r="D15" i="3"/>
  <c r="G15" i="3" s="1"/>
  <c r="I15" i="3" s="1"/>
  <c r="I14" i="3"/>
  <c r="H13" i="3"/>
  <c r="D13" i="3"/>
  <c r="C13" i="3"/>
  <c r="I12" i="3"/>
  <c r="G126" i="1"/>
  <c r="I126" i="1" s="1"/>
  <c r="R126" i="1" s="1"/>
  <c r="H125" i="1"/>
  <c r="G125" i="1"/>
  <c r="G124" i="1"/>
  <c r="I124" i="1" s="1"/>
  <c r="R124" i="1" s="1"/>
  <c r="G123" i="1"/>
  <c r="I123" i="1" s="1"/>
  <c r="R123" i="1" s="1"/>
  <c r="H122" i="1"/>
  <c r="D122" i="1"/>
  <c r="C122" i="1"/>
  <c r="G120" i="1"/>
  <c r="I120" i="1" s="1"/>
  <c r="R120" i="1" s="1"/>
  <c r="H119" i="1"/>
  <c r="D119" i="1"/>
  <c r="C119" i="1"/>
  <c r="H118" i="1"/>
  <c r="D118" i="1"/>
  <c r="G118" i="1" s="1"/>
  <c r="H117" i="1"/>
  <c r="C117" i="1"/>
  <c r="G117" i="1" s="1"/>
  <c r="G116" i="1"/>
  <c r="I116" i="1" s="1"/>
  <c r="R116" i="1" s="1"/>
  <c r="G115" i="1"/>
  <c r="I115" i="1" s="1"/>
  <c r="R115" i="1" s="1"/>
  <c r="G114" i="1"/>
  <c r="I114" i="1" s="1"/>
  <c r="R114" i="1" s="1"/>
  <c r="G17" i="1"/>
  <c r="I17" i="1" s="1"/>
  <c r="R17" i="1" s="1"/>
  <c r="H112" i="1"/>
  <c r="C112" i="1"/>
  <c r="G112" i="1" s="1"/>
  <c r="G111" i="1"/>
  <c r="I111" i="1" s="1"/>
  <c r="R111" i="1" s="1"/>
  <c r="G110" i="1"/>
  <c r="I110" i="1" s="1"/>
  <c r="R110" i="1" s="1"/>
  <c r="G109" i="1"/>
  <c r="I109" i="1" s="1"/>
  <c r="R109" i="1" s="1"/>
  <c r="G108" i="1"/>
  <c r="I108" i="1" s="1"/>
  <c r="R108" i="1" s="1"/>
  <c r="G107" i="1"/>
  <c r="I107" i="1" s="1"/>
  <c r="R107" i="1" s="1"/>
  <c r="H106" i="1"/>
  <c r="G105" i="1"/>
  <c r="I105" i="1" s="1"/>
  <c r="R105" i="1" s="1"/>
  <c r="G94" i="1"/>
  <c r="I94" i="1" s="1"/>
  <c r="R94" i="1" s="1"/>
  <c r="G104" i="1"/>
  <c r="I104" i="1" s="1"/>
  <c r="R104" i="1" s="1"/>
  <c r="G102" i="1"/>
  <c r="I102" i="1" s="1"/>
  <c r="R102" i="1" s="1"/>
  <c r="G101" i="1"/>
  <c r="I101" i="1" s="1"/>
  <c r="R101" i="1" s="1"/>
  <c r="F100" i="1"/>
  <c r="D100" i="1"/>
  <c r="C100" i="1"/>
  <c r="G99" i="1"/>
  <c r="I99" i="1" s="1"/>
  <c r="R99" i="1" s="1"/>
  <c r="G97" i="1"/>
  <c r="I97" i="1" s="1"/>
  <c r="R97" i="1" s="1"/>
  <c r="D96" i="1"/>
  <c r="C96" i="1"/>
  <c r="G95" i="1"/>
  <c r="I95" i="1" s="1"/>
  <c r="R95" i="1" s="1"/>
  <c r="I11" i="3"/>
  <c r="I10" i="3"/>
  <c r="I9" i="3"/>
  <c r="H8" i="3"/>
  <c r="C8" i="3"/>
  <c r="G8" i="3" s="1"/>
  <c r="I7" i="3"/>
  <c r="G93" i="1"/>
  <c r="I93" i="1" s="1"/>
  <c r="R93" i="1" s="1"/>
  <c r="G92" i="1"/>
  <c r="I92" i="1" s="1"/>
  <c r="R92" i="1" s="1"/>
  <c r="H91" i="1"/>
  <c r="D91" i="1"/>
  <c r="C91" i="1"/>
  <c r="G90" i="1"/>
  <c r="I90" i="1" s="1"/>
  <c r="R90" i="1" s="1"/>
  <c r="C88" i="1"/>
  <c r="F88" i="1"/>
  <c r="D88" i="1"/>
  <c r="G87" i="1"/>
  <c r="I87" i="1" s="1"/>
  <c r="R87" i="1" s="1"/>
  <c r="G86" i="1"/>
  <c r="I86" i="1" s="1"/>
  <c r="R86" i="1" s="1"/>
  <c r="G85" i="1"/>
  <c r="I85" i="1" s="1"/>
  <c r="R85" i="1" s="1"/>
  <c r="H84" i="1"/>
  <c r="G84" i="1"/>
  <c r="G83" i="1"/>
  <c r="I83" i="1" s="1"/>
  <c r="R83" i="1" s="1"/>
  <c r="I6" i="3"/>
  <c r="G5" i="3"/>
  <c r="I5" i="3" s="1"/>
  <c r="I4" i="3"/>
  <c r="G3" i="3"/>
  <c r="I3" i="3" s="1"/>
  <c r="G2" i="3"/>
  <c r="I2" i="3" s="1"/>
  <c r="G82" i="1"/>
  <c r="F81" i="1"/>
  <c r="G81" i="1" s="1"/>
  <c r="I81" i="1" s="1"/>
  <c r="R81" i="1" s="1"/>
  <c r="G80" i="1"/>
  <c r="I80" i="1" s="1"/>
  <c r="R80" i="1" s="1"/>
  <c r="G79" i="1"/>
  <c r="I79" i="1" s="1"/>
  <c r="R79" i="1" s="1"/>
  <c r="C78" i="1"/>
  <c r="G78" i="1" s="1"/>
  <c r="I78" i="1" s="1"/>
  <c r="R78" i="1" s="1"/>
  <c r="G77" i="1"/>
  <c r="I77" i="1" s="1"/>
  <c r="R77" i="1" s="1"/>
  <c r="D74" i="1"/>
  <c r="C74" i="1"/>
  <c r="G73" i="1"/>
  <c r="I73" i="1" s="1"/>
  <c r="R73" i="1" s="1"/>
  <c r="G72" i="1"/>
  <c r="I72" i="1" s="1"/>
  <c r="R72" i="1" s="1"/>
  <c r="H70" i="1"/>
  <c r="D70" i="1"/>
  <c r="C70" i="1"/>
  <c r="F69" i="1"/>
  <c r="G69" i="1" s="1"/>
  <c r="I69" i="1" s="1"/>
  <c r="R69" i="1" s="1"/>
  <c r="G68" i="1"/>
  <c r="I68" i="1" s="1"/>
  <c r="R68" i="1" s="1"/>
  <c r="G67" i="1"/>
  <c r="I67" i="1" s="1"/>
  <c r="R67" i="1" s="1"/>
  <c r="G66" i="1"/>
  <c r="I66" i="1" s="1"/>
  <c r="R66" i="1" s="1"/>
  <c r="G65" i="1"/>
  <c r="I65" i="1" s="1"/>
  <c r="R65" i="1" s="1"/>
  <c r="G64" i="1"/>
  <c r="I64" i="1" s="1"/>
  <c r="R64" i="1" s="1"/>
  <c r="G63" i="1"/>
  <c r="I63" i="1" s="1"/>
  <c r="R63" i="1" s="1"/>
  <c r="G62" i="1"/>
  <c r="I62" i="1" s="1"/>
  <c r="R62" i="1" s="1"/>
  <c r="G61" i="1"/>
  <c r="I61" i="1" s="1"/>
  <c r="R61" i="1" s="1"/>
  <c r="G60" i="1"/>
  <c r="I60" i="1" s="1"/>
  <c r="R60" i="1" s="1"/>
  <c r="F58" i="1"/>
  <c r="G58" i="1" s="1"/>
  <c r="I58" i="1" s="1"/>
  <c r="R58" i="1" s="1"/>
  <c r="G57" i="1"/>
  <c r="I57" i="1" s="1"/>
  <c r="R57" i="1" s="1"/>
  <c r="G56" i="1"/>
  <c r="I56" i="1" s="1"/>
  <c r="R56" i="1" s="1"/>
  <c r="H55" i="1"/>
  <c r="E55" i="1"/>
  <c r="D55" i="1"/>
  <c r="C55" i="1"/>
  <c r="H54" i="1"/>
  <c r="D54" i="1"/>
  <c r="C54" i="1"/>
  <c r="G53" i="1"/>
  <c r="I53" i="1" s="1"/>
  <c r="R53" i="1" s="1"/>
  <c r="G52" i="1"/>
  <c r="I52" i="1" s="1"/>
  <c r="R52" i="1" s="1"/>
  <c r="H51" i="1"/>
  <c r="C51" i="1"/>
  <c r="G51" i="1" s="1"/>
  <c r="G50" i="1"/>
  <c r="I50" i="1" s="1"/>
  <c r="R50" i="1" s="1"/>
  <c r="G49" i="1"/>
  <c r="I49" i="1" s="1"/>
  <c r="R49" i="1" s="1"/>
  <c r="H47" i="1"/>
  <c r="G47" i="1"/>
  <c r="H46" i="1"/>
  <c r="C46" i="1"/>
  <c r="G46" i="1" s="1"/>
  <c r="H45" i="1"/>
  <c r="D45" i="1"/>
  <c r="C45" i="1"/>
  <c r="H44" i="1"/>
  <c r="C44" i="1"/>
  <c r="G44" i="1" s="1"/>
  <c r="H43" i="1"/>
  <c r="D43" i="1"/>
  <c r="C43" i="1"/>
  <c r="I42" i="1"/>
  <c r="R42" i="1" s="1"/>
  <c r="I48" i="1"/>
  <c r="R48" i="1" s="1"/>
  <c r="I59" i="1"/>
  <c r="R59" i="1" s="1"/>
  <c r="I71" i="1"/>
  <c r="R71" i="1" s="1"/>
  <c r="I75" i="1"/>
  <c r="R75" i="1" s="1"/>
  <c r="I76" i="1"/>
  <c r="R76" i="1" s="1"/>
  <c r="I98" i="1"/>
  <c r="R98" i="1" s="1"/>
  <c r="I103" i="1"/>
  <c r="R103" i="1" s="1"/>
  <c r="I113" i="1"/>
  <c r="R113" i="1" s="1"/>
  <c r="I121" i="1"/>
  <c r="R121" i="1" s="1"/>
  <c r="I127" i="1"/>
  <c r="I128" i="1"/>
  <c r="I129" i="1"/>
  <c r="I130" i="1"/>
  <c r="I131" i="1"/>
  <c r="I132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G41" i="1"/>
  <c r="I41" i="1" s="1"/>
  <c r="R41" i="1" s="1"/>
  <c r="G40" i="1"/>
  <c r="I40" i="1" s="1"/>
  <c r="R40" i="1" s="1"/>
  <c r="D39" i="1"/>
  <c r="C39" i="1"/>
  <c r="G38" i="1"/>
  <c r="I38" i="1" s="1"/>
  <c r="R38" i="1" s="1"/>
  <c r="H36" i="1"/>
  <c r="E36" i="1"/>
  <c r="D36" i="1"/>
  <c r="C36" i="1"/>
  <c r="D34" i="1"/>
  <c r="C34" i="1"/>
  <c r="H33" i="1"/>
  <c r="F33" i="1"/>
  <c r="D33" i="1"/>
  <c r="C33" i="1"/>
  <c r="H31" i="1"/>
  <c r="D31" i="1"/>
  <c r="C31" i="1"/>
  <c r="H30" i="1"/>
  <c r="D30" i="1"/>
  <c r="C30" i="1"/>
  <c r="H29" i="1"/>
  <c r="F29" i="1"/>
  <c r="D29" i="1"/>
  <c r="C29" i="1"/>
  <c r="H28" i="1"/>
  <c r="D28" i="1"/>
  <c r="C28" i="1"/>
  <c r="H26" i="1"/>
  <c r="D26" i="1"/>
  <c r="C26" i="1"/>
  <c r="H25" i="1"/>
  <c r="F25" i="1"/>
  <c r="D25" i="1"/>
  <c r="C25" i="1"/>
  <c r="G24" i="1"/>
  <c r="I24" i="1" s="1"/>
  <c r="R24" i="1" s="1"/>
  <c r="F23" i="1"/>
  <c r="G23" i="1" s="1"/>
  <c r="I23" i="1" s="1"/>
  <c r="R23" i="1" s="1"/>
  <c r="C22" i="1"/>
  <c r="G22" i="1" s="1"/>
  <c r="I22" i="1" s="1"/>
  <c r="R22" i="1" s="1"/>
  <c r="H4" i="1"/>
  <c r="G4" i="1"/>
  <c r="G20" i="1"/>
  <c r="I20" i="1" s="1"/>
  <c r="R20" i="1" s="1"/>
  <c r="G19" i="1"/>
  <c r="I19" i="1" s="1"/>
  <c r="R19" i="1" s="1"/>
  <c r="I21" i="1"/>
  <c r="R21" i="1" s="1"/>
  <c r="I27" i="1"/>
  <c r="R27" i="1" s="1"/>
  <c r="I32" i="1"/>
  <c r="R32" i="1" s="1"/>
  <c r="I35" i="1"/>
  <c r="R35" i="1" s="1"/>
  <c r="I37" i="1"/>
  <c r="R37" i="1" s="1"/>
  <c r="H18" i="1"/>
  <c r="I18" i="1" s="1"/>
  <c r="R18" i="1" s="1"/>
  <c r="G16" i="1"/>
  <c r="I16" i="1" s="1"/>
  <c r="R16" i="1" s="1"/>
  <c r="D15" i="1"/>
  <c r="C15" i="1"/>
  <c r="H14" i="1"/>
  <c r="G14" i="1"/>
  <c r="G13" i="1"/>
  <c r="I13" i="1" s="1"/>
  <c r="R13" i="1" s="1"/>
  <c r="H9" i="1"/>
  <c r="D9" i="1"/>
  <c r="C9" i="1"/>
  <c r="G8" i="1"/>
  <c r="I8" i="1" s="1"/>
  <c r="R8" i="1" s="1"/>
  <c r="E7" i="1"/>
  <c r="D7" i="1"/>
  <c r="C7" i="1"/>
  <c r="D6" i="1"/>
  <c r="G6" i="1" s="1"/>
  <c r="I6" i="1" s="1"/>
  <c r="R6" i="1" s="1"/>
  <c r="H3" i="1"/>
  <c r="D3" i="1"/>
  <c r="C3" i="1"/>
  <c r="I5" i="1"/>
  <c r="R5" i="1" s="1"/>
  <c r="I10" i="1"/>
  <c r="R10" i="1" s="1"/>
  <c r="I11" i="1"/>
  <c r="R11" i="1" s="1"/>
  <c r="I12" i="1"/>
  <c r="R12" i="1" s="1"/>
  <c r="G2" i="1"/>
  <c r="I2" i="1" s="1"/>
  <c r="R2" i="1" s="1"/>
  <c r="N134" i="1" l="1"/>
  <c r="G89" i="1"/>
  <c r="I89" i="1" s="1"/>
  <c r="R89" i="1" s="1"/>
  <c r="I106" i="1"/>
  <c r="R106" i="1" s="1"/>
  <c r="G37" i="3"/>
  <c r="I37" i="3" s="1"/>
  <c r="G28" i="3"/>
  <c r="I28" i="3" s="1"/>
  <c r="G18" i="3"/>
  <c r="I18" i="3" s="1"/>
  <c r="I112" i="1"/>
  <c r="R112" i="1" s="1"/>
  <c r="G13" i="3"/>
  <c r="I13" i="3" s="1"/>
  <c r="G119" i="1"/>
  <c r="I119" i="1" s="1"/>
  <c r="R119" i="1" s="1"/>
  <c r="I118" i="1"/>
  <c r="R118" i="1" s="1"/>
  <c r="G122" i="1"/>
  <c r="I122" i="1" s="1"/>
  <c r="R122" i="1" s="1"/>
  <c r="G100" i="1"/>
  <c r="I100" i="1" s="1"/>
  <c r="R100" i="1" s="1"/>
  <c r="G96" i="1"/>
  <c r="I96" i="1" s="1"/>
  <c r="R96" i="1" s="1"/>
  <c r="I117" i="1"/>
  <c r="R117" i="1" s="1"/>
  <c r="I125" i="1"/>
  <c r="R125" i="1" s="1"/>
  <c r="I8" i="3"/>
  <c r="G91" i="1"/>
  <c r="I91" i="1" s="1"/>
  <c r="R91" i="1" s="1"/>
  <c r="I84" i="1"/>
  <c r="R84" i="1" s="1"/>
  <c r="G88" i="1"/>
  <c r="I88" i="1" s="1"/>
  <c r="R88" i="1" s="1"/>
  <c r="G45" i="1"/>
  <c r="I45" i="1" s="1"/>
  <c r="R45" i="1" s="1"/>
  <c r="G54" i="1"/>
  <c r="I54" i="1" s="1"/>
  <c r="R54" i="1" s="1"/>
  <c r="G31" i="1"/>
  <c r="I31" i="1" s="1"/>
  <c r="R31" i="1" s="1"/>
  <c r="G30" i="1"/>
  <c r="I30" i="1" s="1"/>
  <c r="R30" i="1" s="1"/>
  <c r="I47" i="1"/>
  <c r="R47" i="1" s="1"/>
  <c r="G74" i="1"/>
  <c r="I74" i="1" s="1"/>
  <c r="R74" i="1" s="1"/>
  <c r="I4" i="1"/>
  <c r="R4" i="1" s="1"/>
  <c r="G34" i="1"/>
  <c r="I34" i="1" s="1"/>
  <c r="R34" i="1" s="1"/>
  <c r="G43" i="1"/>
  <c r="I43" i="1" s="1"/>
  <c r="R43" i="1" s="1"/>
  <c r="G70" i="1"/>
  <c r="I70" i="1" s="1"/>
  <c r="R70" i="1" s="1"/>
  <c r="G39" i="1"/>
  <c r="I39" i="1" s="1"/>
  <c r="R39" i="1" s="1"/>
  <c r="G36" i="1"/>
  <c r="I36" i="1" s="1"/>
  <c r="R36" i="1" s="1"/>
  <c r="G33" i="1"/>
  <c r="I33" i="1" s="1"/>
  <c r="R33" i="1" s="1"/>
  <c r="G28" i="1"/>
  <c r="I28" i="1" s="1"/>
  <c r="R28" i="1" s="1"/>
  <c r="G29" i="1"/>
  <c r="I29" i="1" s="1"/>
  <c r="R29" i="1" s="1"/>
  <c r="G25" i="1"/>
  <c r="I25" i="1" s="1"/>
  <c r="R25" i="1" s="1"/>
  <c r="G26" i="1"/>
  <c r="I26" i="1" s="1"/>
  <c r="R26" i="1" s="1"/>
  <c r="G3" i="1"/>
  <c r="I3" i="1" s="1"/>
  <c r="R3" i="1" s="1"/>
  <c r="G7" i="1"/>
  <c r="I7" i="1" s="1"/>
  <c r="R7" i="1" s="1"/>
  <c r="G9" i="1"/>
  <c r="I9" i="1" s="1"/>
  <c r="R9" i="1" s="1"/>
  <c r="G15" i="1"/>
  <c r="I15" i="1" s="1"/>
  <c r="R15" i="1" s="1"/>
  <c r="G55" i="1"/>
  <c r="I55" i="1" s="1"/>
  <c r="R55" i="1" s="1"/>
  <c r="I51" i="1"/>
  <c r="R51" i="1" s="1"/>
  <c r="I46" i="1"/>
  <c r="R46" i="1" s="1"/>
  <c r="I44" i="1"/>
  <c r="R44" i="1" s="1"/>
  <c r="I14" i="1"/>
  <c r="R14" i="1" s="1"/>
  <c r="I82" i="1"/>
  <c r="R82" i="1" s="1"/>
  <c r="R133" i="1" l="1"/>
  <c r="I133" i="1"/>
</calcChain>
</file>

<file path=xl/sharedStrings.xml><?xml version="1.0" encoding="utf-8"?>
<sst xmlns="http://schemas.openxmlformats.org/spreadsheetml/2006/main" count="2156" uniqueCount="471">
  <si>
    <t>Artikkel</t>
  </si>
  <si>
    <t>Wozniak (2015)</t>
  </si>
  <si>
    <t>Link</t>
  </si>
  <si>
    <t>https://doi.org/10.1371/journal.pone.0125026</t>
  </si>
  <si>
    <t>N=control</t>
  </si>
  <si>
    <t>Plasma/serum</t>
  </si>
  <si>
    <t>Data available</t>
  </si>
  <si>
    <t>Available</t>
  </si>
  <si>
    <t>Plasma</t>
  </si>
  <si>
    <t>Serum</t>
  </si>
  <si>
    <t>N=AC</t>
  </si>
  <si>
    <t>N=SCC</t>
  </si>
  <si>
    <t>N=total cancer</t>
  </si>
  <si>
    <t>N=total</t>
  </si>
  <si>
    <t>Bianchi (2011)</t>
  </si>
  <si>
    <t>https://www.ncbi.nlm.nih.gov/pmc/articles/PMC3377091/</t>
  </si>
  <si>
    <t>Comments</t>
  </si>
  <si>
    <t>Also N=64 symptomic set? Mange referanser å se på</t>
  </si>
  <si>
    <t>No?</t>
  </si>
  <si>
    <t>Niu (2019)</t>
  </si>
  <si>
    <t>https://cebp.aacrjournals.org/content/28/2/327</t>
  </si>
  <si>
    <t>Sozzi (2014)</t>
  </si>
  <si>
    <t>https://ascopubs.org/doi/10.1200/JCO.2013.50.4357</t>
  </si>
  <si>
    <t>Zaporozhchenko (2018)</t>
  </si>
  <si>
    <t>https://www.nature.com/articles/s41598-018-24769-2</t>
  </si>
  <si>
    <t>https://onlinelibrary.wiley.com/doi/full/10.1002/ijc.26177</t>
  </si>
  <si>
    <t>N=LCC</t>
  </si>
  <si>
    <t>Shen (2011)</t>
  </si>
  <si>
    <t>https://www.nature.com/articles/labinvest2010194</t>
  </si>
  <si>
    <t>Leng (2017)</t>
  </si>
  <si>
    <t>https://www.oncotarget.com/article/22950/text/</t>
  </si>
  <si>
    <t>Leidinger (2016)</t>
  </si>
  <si>
    <t>https://www.oncotarget.com/article/6566/text/</t>
  </si>
  <si>
    <t>Whole blood</t>
  </si>
  <si>
    <t>Xi (2018)</t>
  </si>
  <si>
    <t>https://jtd.amegroups.com/article/view/22438/html</t>
  </si>
  <si>
    <t>Yanaihara (2006)</t>
  </si>
  <si>
    <t>https://www.sciencedirect.com/science/article/pii/S153561080600033X#app2</t>
  </si>
  <si>
    <t>Tumor</t>
  </si>
  <si>
    <t>Klassifiserer tissue heller enn personer</t>
  </si>
  <si>
    <t>Keller (2011)</t>
  </si>
  <si>
    <t>Bruker miRNA målinger før påvist kreft, og tyder på at miRNA kan prediktere om noen kommer til å utvikle kreft!</t>
  </si>
  <si>
    <t>Sputum</t>
  </si>
  <si>
    <t>Xie (2010)</t>
  </si>
  <si>
    <t>https://www.sciencedirect.com/science/article/pii/S0169500209002153</t>
  </si>
  <si>
    <t>Reis (2020)</t>
  </si>
  <si>
    <t>https://www.ncbi.nlm.nih.gov/pmc/articles/PMC7465670/</t>
  </si>
  <si>
    <t>Yao (2019)</t>
  </si>
  <si>
    <t>https://www.ncbi.nlm.nih.gov/pmc/articles/PMC6886307/</t>
  </si>
  <si>
    <t>Hu (2018)</t>
  </si>
  <si>
    <t>https://www.karger.com/Article/FullText/495921</t>
  </si>
  <si>
    <t>Drug-resistant. Ingen kontrollgruppe? Data: https://www.ncbi.nlm.nih.gov/geo/query/acc.cgi?acc=GSE122452</t>
  </si>
  <si>
    <t>Jiang (2020)</t>
  </si>
  <si>
    <t>https://pubmed.ncbi.nlm.nih.gov/32194819/</t>
  </si>
  <si>
    <t>Asakura (2020)</t>
  </si>
  <si>
    <t>https://www.nature.com/articles/s42003-020-0863-y</t>
  </si>
  <si>
    <t>Duan (2021)</t>
  </si>
  <si>
    <t>Referer til disse datasettene: (GSE2109, GSE74190, and GSE63805), and serum from lung cancer patients and healthy controls (GSE64591 and GSE20189)</t>
  </si>
  <si>
    <t>https://www.frontiersin.org/articles/10.3389/fgene.2021.673926/full</t>
  </si>
  <si>
    <t>Leidinger (2015)</t>
  </si>
  <si>
    <t>https://www.ncbi.nlm.nih.gov/pmc/articles/PMC4599298/</t>
  </si>
  <si>
    <t>Longitudinell, data: https://www.ncbi.nlm.nih.gov/geo/query/acc.cgi?acc=GSE68951</t>
  </si>
  <si>
    <t>Keller (2010)</t>
  </si>
  <si>
    <t>Blood</t>
  </si>
  <si>
    <t>N=other cancer</t>
  </si>
  <si>
    <t>Leidinger (2014)</t>
  </si>
  <si>
    <t xml:space="preserve">Ser på miRNA-utrykk i ulike typer celler </t>
  </si>
  <si>
    <t>Keller (2009)</t>
  </si>
  <si>
    <t>https://bmccancer.biomedcentral.com/articles/10.1186/1471-2407-9-353</t>
  </si>
  <si>
    <t>Samme datasett som Keller (2009)?</t>
  </si>
  <si>
    <t>Patnaik (2017)</t>
  </si>
  <si>
    <t>I motsetning til de andre studiene tviler denne på nytten av miRNA i blod for diagnostisering</t>
  </si>
  <si>
    <t>https://journals.plos.org/plosone/article?id=10.1371/journal.pone.0181926</t>
  </si>
  <si>
    <t>Khadijah (2017)</t>
  </si>
  <si>
    <t>https://pubmed.ncbi.nlm.nih.gov/29196495/</t>
  </si>
  <si>
    <t>Sammenligning etnisitet</t>
  </si>
  <si>
    <t>Serum &amp; Tissue</t>
  </si>
  <si>
    <t>Ma (2011)</t>
  </si>
  <si>
    <t>https://journals.plos.org/plosone/article?id=10.1371/journal.pone.0026502</t>
  </si>
  <si>
    <t>Seike (2009)</t>
  </si>
  <si>
    <t>https://www.ncbi.nlm.nih.gov/pmc/articles/PMC2715493/</t>
  </si>
  <si>
    <t>Tissue</t>
  </si>
  <si>
    <t>Sammenligner friskt/ikke-friskt tissue hos ikke-røykere</t>
  </si>
  <si>
    <t>https://pubmed.ncbi.nlm.nih.gov/24743967/</t>
  </si>
  <si>
    <t>Molina-Pinelo (2014)</t>
  </si>
  <si>
    <t>bronchoalveolar lavage fluid</t>
  </si>
  <si>
    <t>https://journals.plos.org/plosone/article?id=10.1371/journal.pone.0050141</t>
  </si>
  <si>
    <t>Lussier (2012)</t>
  </si>
  <si>
    <t>Sammenligner microRNA  i høy/lav metastase</t>
  </si>
  <si>
    <t>Puisségur (2010)</t>
  </si>
  <si>
    <t>https://pubmed.ncbi.nlm.nih.gov/20885442/</t>
  </si>
  <si>
    <t>Late stage</t>
  </si>
  <si>
    <t>Roman-Canal (2019)</t>
  </si>
  <si>
    <t>https://www.nature.com/articles/s41598-019-51578-y</t>
  </si>
  <si>
    <t>pleural lavage</t>
  </si>
  <si>
    <t>https://journals.plos.org/plosone/article?id=10.1371/journal.pone.0046045</t>
  </si>
  <si>
    <t>Patnaik (2012)</t>
  </si>
  <si>
    <t>Liao (2020)</t>
  </si>
  <si>
    <t>https://pubmed.ncbi.nlm.nih.gov/31994346/</t>
  </si>
  <si>
    <t>Plasma &amp; serum</t>
  </si>
  <si>
    <t>Wang (2020)</t>
  </si>
  <si>
    <t>https://www.ncbi.nlm.nih.gov/pmc/articles/PMC7301755/</t>
  </si>
  <si>
    <t>Early detection</t>
  </si>
  <si>
    <t>https://www.ncbi.nlm.nih.gov/pmc/articles/PMC4672770/</t>
  </si>
  <si>
    <t>Gasparini (2015)</t>
  </si>
  <si>
    <t>Ser mer på mutasjoner</t>
  </si>
  <si>
    <t>Tan (2011)</t>
  </si>
  <si>
    <t>https://clincancerres.aacrjournals.org/content/17/21/6802.long</t>
  </si>
  <si>
    <t>Tellez (2016)</t>
  </si>
  <si>
    <t>https://pubmed.ncbi.nlm.nih.gov/27302168/</t>
  </si>
  <si>
    <t>Gror cellene kunstig</t>
  </si>
  <si>
    <t>Metaanalyse som ser på risiko</t>
  </si>
  <si>
    <t>https://www.ncbi.nlm.nih.gov/pmc/articles/PMC7050065/</t>
  </si>
  <si>
    <t>Liu (2020)</t>
  </si>
  <si>
    <t>Molina-Pinelo (2014) b)</t>
  </si>
  <si>
    <t>https://journals.plos.org/plosone/article?id=10.1371/journal.pone.0090524</t>
  </si>
  <si>
    <t>Skiller AD og SCC</t>
  </si>
  <si>
    <t>Kim (2013)</t>
  </si>
  <si>
    <t>https://www.ncbi.nlm.nih.gov/pmc/articles/PMC3566005/</t>
  </si>
  <si>
    <t>Wang (2009)</t>
  </si>
  <si>
    <t>https://www.ingentaconnect.com/content/ben/ccdt/2009/00000009/00000004/art00009#</t>
  </si>
  <si>
    <t>Metastudie ish, men gammel</t>
  </si>
  <si>
    <t>Zheng (2011)</t>
  </si>
  <si>
    <t>https://www.ncbi.nlm.nih.gov/pmc/articles/PMC3160609/</t>
  </si>
  <si>
    <t>No</t>
  </si>
  <si>
    <t>Wang (2004)</t>
  </si>
  <si>
    <t>https://www.sciencedirect.com/science/article/pii/S152573041400271X</t>
  </si>
  <si>
    <t>Ying (2020)</t>
  </si>
  <si>
    <t>https://www.pnas.org/content/117/40/25036.short</t>
  </si>
  <si>
    <t>Ma (2015)</t>
  </si>
  <si>
    <t>https://www.nature.com/articles/labinvest201588#MOESM7</t>
  </si>
  <si>
    <t>peripheral blood mononuclear cells</t>
  </si>
  <si>
    <t>Fehlman (2020)</t>
  </si>
  <si>
    <t>https://pubmed.ncbi.nlm.nih.gov/32134442/</t>
  </si>
  <si>
    <t>Også en del med andre sykdommer</t>
  </si>
  <si>
    <t>Arab (2017)</t>
  </si>
  <si>
    <t>https://www.cancergeneticsjournal.org/article/S2210-7762(17)30016-9/fulltext</t>
  </si>
  <si>
    <t>Pan (2018)</t>
  </si>
  <si>
    <t>https://www.nature.com/articles/s41598-018-35139-3</t>
  </si>
  <si>
    <t>Bagheri (2018)</t>
  </si>
  <si>
    <t>https://pubmed.ncbi.nlm.nih.gov/30485511/</t>
  </si>
  <si>
    <t>sputum</t>
  </si>
  <si>
    <t>Geng (2014)</t>
  </si>
  <si>
    <t>https://pubmed.ncbi.nlm.nih.gov/25421010/</t>
  </si>
  <si>
    <t>Peng (2016)</t>
  </si>
  <si>
    <t>https://pubmed.ncbi.nlm.nih.gov/26946307/</t>
  </si>
  <si>
    <t>Yang (2019)</t>
  </si>
  <si>
    <t>https://www.ncbi.nlm.nih.gov/pmc/articles/PMC6643220/</t>
  </si>
  <si>
    <t>Abdollahi (2019)</t>
  </si>
  <si>
    <t>Lu (2018)</t>
  </si>
  <si>
    <t>https://www.lungcancerjournal.info/article/S0169-5002(18)30436-7/fulltext</t>
  </si>
  <si>
    <t>Hennessey (2012)</t>
  </si>
  <si>
    <t>https://journals.plos.org/plosone/article?id=10.1371/journal.pone.0032307</t>
  </si>
  <si>
    <t>Marzi (2016)</t>
  </si>
  <si>
    <t>https://pubmed.ncbi.nlm.nih.gov/27127244/</t>
  </si>
  <si>
    <t>Usikker på tallene</t>
  </si>
  <si>
    <t>Foss (2011)</t>
  </si>
  <si>
    <t>https://www.sciencedirect.com/science/article/pii/S1556086415322012</t>
  </si>
  <si>
    <t>Powrózek (2015)</t>
  </si>
  <si>
    <t>https://www.sciencedirect.com/science/article/pii/S1931524415001760</t>
  </si>
  <si>
    <t>Li (2015)</t>
  </si>
  <si>
    <t>https://journals.plos.org/plosone/article?id=10.1371/journal.pone.0134220</t>
  </si>
  <si>
    <t>Shang (2017)</t>
  </si>
  <si>
    <t>https://europepmc.org/article/med/28253725</t>
  </si>
  <si>
    <t>Pu (2016)</t>
  </si>
  <si>
    <t>https://onlinelibrary.wiley.com/doi/full/10.1111/1759-7714.12317</t>
  </si>
  <si>
    <t>Wang (2019)</t>
  </si>
  <si>
    <t>https://onlinelibrary.wiley.com/doi/full/10.1002/jcb.29214</t>
  </si>
  <si>
    <t>Huang (2014)</t>
  </si>
  <si>
    <t>https://pubmed.ncbi.nlm.nih.gov/25386559/</t>
  </si>
  <si>
    <t>Metastudie ish</t>
  </si>
  <si>
    <t>Tror den er GSE58540. Merkelig data, skjønte ingenting?</t>
  </si>
  <si>
    <t>Abu-Duhier (2018)</t>
  </si>
  <si>
    <t>https://www.ncbi.nlm.nih.gov/pmc/articles/PMC6249464/</t>
  </si>
  <si>
    <t>Qiu (2018)</t>
  </si>
  <si>
    <t>https://pubmed.ncbi.nlm.nih.gov/30556877/</t>
  </si>
  <si>
    <t>Qi (2014)</t>
  </si>
  <si>
    <t>https://www.ncbi.nlm.nih.gov/pmc/articles/PMC7879878/</t>
  </si>
  <si>
    <t>https://link.springer.com/article/10.1007/s12032-014-0195-1</t>
  </si>
  <si>
    <t>Yang (2015)</t>
  </si>
  <si>
    <t>https://link.springer.com/article/10.1007/s13277-014-2938-1</t>
  </si>
  <si>
    <t>Liu (2012)</t>
  </si>
  <si>
    <t>https://link.springer.com/article/10.1007%2Fs12032-011-9923-y</t>
  </si>
  <si>
    <t>https://www.ncbi.nlm.nih.gov/pmc/articles/PMC3408024/</t>
  </si>
  <si>
    <t>Rodrigues (2014)</t>
  </si>
  <si>
    <t>https://onlinelibrary.wiley.com/doi/full/10.1002/gcc.22181</t>
  </si>
  <si>
    <t>Jin (2017)</t>
  </si>
  <si>
    <t>https://clincancerres.aacrjournals.org/content/23/17/5311</t>
  </si>
  <si>
    <t>Data i excel, figures and data</t>
  </si>
  <si>
    <t>Zhu (2016)</t>
  </si>
  <si>
    <t>https://journals.plos.org/plosone/article?id=10.1371/journal.pone.0153046#sec013</t>
  </si>
  <si>
    <t>https://www.ncbi.nlm.nih.gov/pmc/articles/PMC5447959/#B75-cancers-09-00049</t>
  </si>
  <si>
    <t>Fan (2016)</t>
  </si>
  <si>
    <t>https://link.springer.com/article/10.1007/s13277-015-4608-3</t>
  </si>
  <si>
    <t>Halvorsen (2016)</t>
  </si>
  <si>
    <t>https://www.oncotarget.com/article/9363/text/</t>
  </si>
  <si>
    <t>Silva (2011)</t>
  </si>
  <si>
    <t>https://erj.ersjournals.com/content/37/3/617</t>
  </si>
  <si>
    <t>https://www.frontiersin.org/articles/10.3389/fgene.2016.00193/full#B60</t>
  </si>
  <si>
    <t>Giallombardo (2016)</t>
  </si>
  <si>
    <t>https://www.jove.com/t/53900/exosomal-mirna-analysis-non-small-cell-lung-cancer-nsclc-patients</t>
  </si>
  <si>
    <t>Li (2011)</t>
  </si>
  <si>
    <t>Ma (2013)</t>
  </si>
  <si>
    <t>https://www.ncbi.nlm.nih.gov/pmc/articles/PMC3836484/</t>
  </si>
  <si>
    <t>Wang (2015)</t>
  </si>
  <si>
    <t>https://pubmed.ncbi.nlm.nih.gov/25639977/</t>
  </si>
  <si>
    <t>Wang (2015) b)</t>
  </si>
  <si>
    <t>https://www.ncbi.nlm.nih.gov/pmc/articles/PMC4348919/</t>
  </si>
  <si>
    <t>Wang (2015) c)</t>
  </si>
  <si>
    <t>https://onlinelibrary.wiley.com/doi/10.1111/resp.12444</t>
  </si>
  <si>
    <t>Metastudie</t>
  </si>
  <si>
    <t>Jeong (2011)</t>
  </si>
  <si>
    <t>whole blood</t>
  </si>
  <si>
    <t>https://www.spandidos-publications.com/mmr/4/2/383</t>
  </si>
  <si>
    <t>Wei (2011)</t>
  </si>
  <si>
    <t>https://link.springer.com/article/10.1007%2Fs11670-011-0123-2</t>
  </si>
  <si>
    <t>Ma (2012)</t>
  </si>
  <si>
    <t>https://link.springer.com/article/10.1007%2Fs00432-012-1285-0</t>
  </si>
  <si>
    <t>Abd-El-Fattah (2013)</t>
  </si>
  <si>
    <t>https://link.springer.com/article/10.1007%2Fs12013-013-9575-y</t>
  </si>
  <si>
    <t>Cazzoli (2013)</t>
  </si>
  <si>
    <t>https://www.sciencedirect.com/science/article/pii/S1556086415334717</t>
  </si>
  <si>
    <t>Mozzoni (2013)</t>
  </si>
  <si>
    <t>https://www.tandfonline.com/doi/abs/10.3109/1354750X.2013.845610</t>
  </si>
  <si>
    <t>Tang (2013)</t>
  </si>
  <si>
    <t>https://journals.lww.com/eurjcancerprev/Fulltext/2013/11000/Identification_of_plasma_microRNAs_as_novel.7.aspx</t>
  </si>
  <si>
    <t>Ulivi (2013)</t>
  </si>
  <si>
    <t>https://www.mdpi.com/1422-0067/14/5/10332</t>
  </si>
  <si>
    <t>P. Blood</t>
  </si>
  <si>
    <t>Zeng (2013)</t>
  </si>
  <si>
    <t>https://journals.lww.com/cmj/Fulltext/2013/12050/Altered_miR_143_and_miR_150_expressions_in.20.aspx</t>
  </si>
  <si>
    <t>Gao (2013)</t>
  </si>
  <si>
    <t>https://www.spandidos-publications.com/or/31/1/351</t>
  </si>
  <si>
    <t>Su (2016)</t>
  </si>
  <si>
    <t>https://www.ncbi.nlm.nih.gov/pmc/articles/PMC5062829/</t>
  </si>
  <si>
    <t>Retracted + Our data will not be shared temporarily because further studies including these data are being performed.</t>
  </si>
  <si>
    <t>Lv (2017)</t>
  </si>
  <si>
    <t>https://www.jcancer.org/v08p0048.htm</t>
  </si>
  <si>
    <t>Nadal (2015)</t>
  </si>
  <si>
    <t>https://www.nature.com/articles/srep12464</t>
  </si>
  <si>
    <t>Lin (2017)</t>
  </si>
  <si>
    <t>https://onlinelibrary.wiley.com/doi/10.1002/ijc.30822</t>
  </si>
  <si>
    <t>Kontrollene er ikke friske</t>
  </si>
  <si>
    <t>https://jtd.amegroups.com/article/view/21394/16517#B75</t>
  </si>
  <si>
    <t>Powrózek (2016)</t>
  </si>
  <si>
    <t>https://link.springer.com/article/10.1007/s13277-015-3971-4</t>
  </si>
  <si>
    <t>Rani (2013)</t>
  </si>
  <si>
    <t>https://www.tandfonline.com/doi/full/10.4161/cbt.26370</t>
  </si>
  <si>
    <t>Roth (2011)</t>
  </si>
  <si>
    <t>https://febs.onlinelibrary.wiley.com/doi/full/10.1016/j.molonc.2011.02.002</t>
  </si>
  <si>
    <t>Shan (2020)</t>
  </si>
  <si>
    <t>https://journals.lww.com/cmj/Fulltext/2020/11050/Serum_microRNA_expression_profiling_revealing.2.aspx</t>
  </si>
  <si>
    <t>https://onlinelibrary.wiley.com/doi/10.1002/cam4.1782</t>
  </si>
  <si>
    <t>Kumar (2020)</t>
  </si>
  <si>
    <t>https://link.springer.com/article/10.1007%2Fs13577-020-00351-9</t>
  </si>
  <si>
    <t>https://journals.sagepub.com/doi/10.5301/ijbm.5000307?url_ver=Z39.88-2003&amp;rfr_id=ori:rid:crossref.org&amp;rfr_dat=cr_pub%20%200pubmed</t>
  </si>
  <si>
    <t>https://www.oncotarget.com/article/14311/text/</t>
  </si>
  <si>
    <t>Zhou (2017)</t>
  </si>
  <si>
    <t>&lt;- 460 studier eller no</t>
  </si>
  <si>
    <t>Wang (2016)</t>
  </si>
  <si>
    <t>https://jtd.amegroups.com/article/view/8041/7409</t>
  </si>
  <si>
    <t>https://www.mdpi.com/1420-3049/19/6/8220/htm</t>
  </si>
  <si>
    <t>Chen (2012)</t>
  </si>
  <si>
    <t>Shen (2011) b)</t>
  </si>
  <si>
    <t>https://link.springer.com/article/10.1186/1471-2407-11-374</t>
  </si>
  <si>
    <t>Boeri (2011)</t>
  </si>
  <si>
    <t>https://www.pnas.org/content/108/9/3713</t>
  </si>
  <si>
    <t>Lin (2012)</t>
  </si>
  <si>
    <t>https://link.springer.com/article/10.1007%2Fs00432-011-1068-z</t>
  </si>
  <si>
    <t>Heegaard (2011)</t>
  </si>
  <si>
    <t>https://onlinelibrary.wiley.com/doi/10.1002/ijc.26153</t>
  </si>
  <si>
    <t>https://onlinelibrary.wiley.com/doi/10.1002/gcc.22032</t>
  </si>
  <si>
    <t>Pastor-Navarro (2020)</t>
  </si>
  <si>
    <t>https://www.mdpi.com/1422-0067/21/8/2783/htm</t>
  </si>
  <si>
    <t>Tai (2016)</t>
  </si>
  <si>
    <t>https://www.nature.com/articles/srep31389</t>
  </si>
  <si>
    <t xml:space="preserve"> +Noen med annen sykdom</t>
  </si>
  <si>
    <t>Chen (2020)</t>
  </si>
  <si>
    <t>https://www.jbuon.com/archive/25-2-821.pdf</t>
  </si>
  <si>
    <t>Szcyrek (2019)</t>
  </si>
  <si>
    <t>https://www.europeanreview.org/article/17813</t>
  </si>
  <si>
    <t>Fan (2018)</t>
  </si>
  <si>
    <t>https://link.springer.com/article/10.1007%2Fs40291-018-0341-0</t>
  </si>
  <si>
    <t>Markou (2013)</t>
  </si>
  <si>
    <t>https://www.sciencedirect.com/science/article/pii/S0169500213002195?via%3Dihub</t>
  </si>
  <si>
    <t>Aushev (2013)</t>
  </si>
  <si>
    <t>https://journals.plos.org/plosone/article?id=10.1371/journal.pone.0078649</t>
  </si>
  <si>
    <t>Før og etter kirurgi</t>
  </si>
  <si>
    <t>Shan (2018)</t>
  </si>
  <si>
    <t>https://onlinelibrary.wiley.com/doi/10.1002/cam4.1490</t>
  </si>
  <si>
    <t>Rotunno (2011)</t>
  </si>
  <si>
    <t>https://cancerpreventionresearch.aacrjournals.org/content/4/10/1599</t>
  </si>
  <si>
    <t>Zhang (2017)</t>
  </si>
  <si>
    <t>https://www.spandidos-publications.com/10.3892/ol.2016.5462</t>
  </si>
  <si>
    <t>Zhou (2020)</t>
  </si>
  <si>
    <t>https://onlinelibrary.wiley.com/doi/10.1002/jcla.23505</t>
  </si>
  <si>
    <t>Leidinger (2011)</t>
  </si>
  <si>
    <t>https://www.sciencedirect.com/science/article/pii/S016950021100105X?via%3Dihub</t>
  </si>
  <si>
    <t>Mot COPD, må teller for mer nøyaktig data :|</t>
  </si>
  <si>
    <t>Leng (2018)</t>
  </si>
  <si>
    <t>https://www.sciencedirect.com/science/article/pii/S1936523318301682?via%3Dihub</t>
  </si>
  <si>
    <t>He (2018)</t>
  </si>
  <si>
    <t>https://jtd.amegroups.com/article/view/23629/17841</t>
  </si>
  <si>
    <t>Wu (2020)</t>
  </si>
  <si>
    <t>https://www.dovepress.com/combination-of-serum-mirnas-with-serum-exosomal-mirnas-in-early-diagno-peer-reviewed-fulltext-article-CMAR</t>
  </si>
  <si>
    <t>Aiso (2018)</t>
  </si>
  <si>
    <t>https://www.spandidos-publications.com/10.3892/ol.2018.9464</t>
  </si>
  <si>
    <t>https://www.jcancer.org/v10p5090.htm</t>
  </si>
  <si>
    <t>Wang (2019) b)</t>
  </si>
  <si>
    <t>Yang (2019) b)</t>
  </si>
  <si>
    <t>https://tlcr.amegroups.com/article/view/32535/22817</t>
  </si>
  <si>
    <t>Why excluded</t>
  </si>
  <si>
    <t>OK</t>
  </si>
  <si>
    <t>Number miRNA</t>
  </si>
  <si>
    <t>91 i første runde i alle fall</t>
  </si>
  <si>
    <t>https://www.tandfonline.com/doi/abs/10.4161/rna.8.3.14994</t>
  </si>
  <si>
    <t>Number RNA</t>
  </si>
  <si>
    <t>Tissue + sjekket drug resistance</t>
  </si>
  <si>
    <t>Utrolig studie</t>
  </si>
  <si>
    <t>Sjekket resurection</t>
  </si>
  <si>
    <t>https://www.oncotarget.com/article/2419/text/</t>
  </si>
  <si>
    <t>Xue (2020)</t>
  </si>
  <si>
    <t>https://academic.oup.com/abbs/article/52/3/281/5739837</t>
  </si>
  <si>
    <t>Exomal</t>
  </si>
  <si>
    <t>Exomal + før og etter kirurgi</t>
  </si>
  <si>
    <t>Sromek (2017)</t>
  </si>
  <si>
    <t>https://link.springer.com/article/10.1007%2Fs13402-017-0334-8</t>
  </si>
  <si>
    <t>Også data før og etter kirurgi</t>
  </si>
  <si>
    <t>Zhu (2017)</t>
  </si>
  <si>
    <t>https://www.sciencedirect.com/science/article/pii/S0169500217305287</t>
  </si>
  <si>
    <t>Liu (2017)</t>
  </si>
  <si>
    <t>https://www.oncotarget.com/article/14369/text/</t>
  </si>
  <si>
    <t>Leidinger (2012)</t>
  </si>
  <si>
    <t>https://www.tandfonline.com/doi/full/10.4161/rna.20107</t>
  </si>
  <si>
    <t>Wang (2015) d)</t>
  </si>
  <si>
    <t>https://www.sciencedirect.com/science/article/pii/S2352396415300864?via%3Dihub</t>
  </si>
  <si>
    <t>Dejima (2017)</t>
  </si>
  <si>
    <t>https://www.ncbi.nlm.nih.gov/pmc/articles/PMC5403401/</t>
  </si>
  <si>
    <t>Zhang (2020)</t>
  </si>
  <si>
    <t>https://www.frontiersin.org/articles/10.3389/fonc.2020.560025/full</t>
  </si>
  <si>
    <t>On Demand</t>
  </si>
  <si>
    <t>Li (2018)</t>
  </si>
  <si>
    <t>https://cellandbioscience.biomedcentral.com/articles/10.1186/s13578-018-0202-x</t>
  </si>
  <si>
    <t>Chen (2019)</t>
  </si>
  <si>
    <t>https://www.frontiersin.org/articles/10.3389/fgene.2019.00367/full</t>
  </si>
  <si>
    <t>Exomal + ikke, datasett egentlig et annet sted fra? Syke kontroller</t>
  </si>
  <si>
    <t>Poroyko (2018)</t>
  </si>
  <si>
    <t>https://www.oncotarget.com/article/24857/text/</t>
  </si>
  <si>
    <t>https://www.dovepress.com/the-diagnostic-accuracy-of-liquid-exosomes-for-lung-cancer-detection-a-peer-reviewed-fulltext-article-OTT</t>
  </si>
  <si>
    <t>Blood cells</t>
  </si>
  <si>
    <t>Ingen kontroll</t>
  </si>
  <si>
    <t>Høy/lav metastase, ikke diagnostikk</t>
  </si>
  <si>
    <t>Xue (2020) b)</t>
  </si>
  <si>
    <t>https://www.hindawi.com/journals/bmri/2020/9601876/</t>
  </si>
  <si>
    <t>Lodes (2009)</t>
  </si>
  <si>
    <t>https://journals.plos.org/plosone/article?id=10.1371/journal.pone.0006229</t>
  </si>
  <si>
    <t>Qu (2017)</t>
  </si>
  <si>
    <t>https://www.oncotarget.com/article/17416/text/</t>
  </si>
  <si>
    <t>Available (only some?)</t>
  </si>
  <si>
    <t>SCC  hadde begge, se GSE93300</t>
  </si>
  <si>
    <t>Li (2017)</t>
  </si>
  <si>
    <t>https://www.oncotarget.com/article/17535/text/</t>
  </si>
  <si>
    <t>Keller (2014)</t>
  </si>
  <si>
    <t>https://bmcmedicine.biomedcentral.com/articles/10.1186/s12916-014-0224-0</t>
  </si>
  <si>
    <t>Mye andre typer kreft også</t>
  </si>
  <si>
    <t>https://www.ncbi.nlm.nih.gov/pmc/articles/PMC6144214/</t>
  </si>
  <si>
    <t>Før og etter kirurgi + kontroll</t>
  </si>
  <si>
    <t>Hu (2014)</t>
  </si>
  <si>
    <t>https://pubmed.ncbi.nlm.nih.gov/24488924/</t>
  </si>
  <si>
    <t>https://www.hindawi.com/journals/bmri/2020/9601876/#data-availability</t>
  </si>
  <si>
    <t>Świtlik (2019)</t>
  </si>
  <si>
    <t>https://www.liebertpub.com/doi/10.1089/gtmb.2018.0275</t>
  </si>
  <si>
    <t>Keller (2020)</t>
  </si>
  <si>
    <t>https://www.tandfonline.com/doi/full/10.1080/15476286.2020.1771945</t>
  </si>
  <si>
    <t>https://www.amjmedsci.org/article/S0002-9629(20)30177-4/fulltext</t>
  </si>
  <si>
    <t>Yang (2020)</t>
  </si>
  <si>
    <t>Før og etter diagnose</t>
  </si>
  <si>
    <t>Cui (2013)</t>
  </si>
  <si>
    <t>https://www.nature.com/articles/aps2012125</t>
  </si>
  <si>
    <t>Fang (2019)</t>
  </si>
  <si>
    <t>https://www.spandidos-publications.com/ijo/54/5/1821</t>
  </si>
  <si>
    <t>Plasma EV</t>
  </si>
  <si>
    <t>Extracelluar vehicle</t>
  </si>
  <si>
    <t>Zhang (2019)</t>
  </si>
  <si>
    <t>https://www.sciencedirect.com/science/article/pii/S0344033819303395?via%3Dihub</t>
  </si>
  <si>
    <t>O'Farrell (2021)</t>
  </si>
  <si>
    <t>https://www.mdpi.com/1422-0067/22/11/5803/htm</t>
  </si>
  <si>
    <t>Røyker/ikke-røyker + COPD, Extracelluar Vehicle</t>
  </si>
  <si>
    <t>Yang (2018)</t>
  </si>
  <si>
    <t>https://www.dovepress.com/application-of-serum-microrna-9-5p-21-5p-and-223-3p-combined-with-tumo-peer-reviewed-fulltext-article-OTT</t>
  </si>
  <si>
    <t>Le (2012)</t>
  </si>
  <si>
    <t>https://link.springer.com/article/10.1007%2Fs12032-012-0303-z</t>
  </si>
  <si>
    <t>Xu (2018)</t>
  </si>
  <si>
    <t>https://onlinelibrary.wiley.com/doi/10.1002/cam4.1238</t>
  </si>
  <si>
    <t>Ponomaryova (2016)</t>
  </si>
  <si>
    <t>https://www.tandfonline.com/doi/full/10.3109/01902148.2016.1155245?scroll=top&amp;needAccess=true</t>
  </si>
  <si>
    <t>Jiang (2013)</t>
  </si>
  <si>
    <t>https://link.springer.com/article/10.1007%2Fs11010-013-1755-y</t>
  </si>
  <si>
    <t xml:space="preserve"> + noen syke kontroller</t>
  </si>
  <si>
    <t>Ferracin (2015)</t>
  </si>
  <si>
    <t>https://www.oncotarget.com/article/3859/text/</t>
  </si>
  <si>
    <t>Serum &amp; Plasma</t>
  </si>
  <si>
    <t>Også andre typer kreft</t>
  </si>
  <si>
    <t>Li (2017) b)</t>
  </si>
  <si>
    <t>https://wjso.biomedcentral.com/articles/10.1186/s12957-017-1171-y</t>
  </si>
  <si>
    <t>Healthy hadde benign nodules</t>
  </si>
  <si>
    <t>Rabinowits (2009)</t>
  </si>
  <si>
    <t>https://www.sciencedirect.com/science/article/abs/pii/S1525730411700808</t>
  </si>
  <si>
    <t>Exosomal</t>
  </si>
  <si>
    <t>Nigita (2018)</t>
  </si>
  <si>
    <t>https://www.nature.com/articles/s41598-018-28528-1</t>
  </si>
  <si>
    <t>Wu (2020) b)</t>
  </si>
  <si>
    <t>https://www.ncbi.nlm.nih.gov/pmc/articles/PMC7415459/</t>
  </si>
  <si>
    <t>Extracelluar vehicle + hadde en noldus</t>
  </si>
  <si>
    <t>https://www.tandfonline.com/doi/full/10.1080/20013078.2019.1663666?scroll=top&amp;needAccess=true</t>
  </si>
  <si>
    <t>Zhang (2019) b)</t>
  </si>
  <si>
    <t>Zhang (2017) b)</t>
  </si>
  <si>
    <t>https://www.oncotarget.com/article/19666/text/</t>
  </si>
  <si>
    <t>https://onlinelibrary.wiley.com/doi/full/10.1111/1759-7714.13644</t>
  </si>
  <si>
    <t>Wang (2020) b)</t>
  </si>
  <si>
    <t>Chen (2020) b)</t>
  </si>
  <si>
    <t>https://onlinelibrary.wiley.com/doi/full/10.1002/jcb.29612</t>
  </si>
  <si>
    <t>https://www.mdpi.com/2072-6694/13/6/1373/htm</t>
  </si>
  <si>
    <t>Xia (2021)</t>
  </si>
  <si>
    <t>https://onlinelibrary.wiley.com/doi/10.1002/jcla.23743</t>
  </si>
  <si>
    <t>http://www.cancerbiomed.org/index.php/cocr/article/view/1672/1683</t>
  </si>
  <si>
    <t>Trakunram (2020)</t>
  </si>
  <si>
    <t>Dong (2021)</t>
  </si>
  <si>
    <t>https://onlinelibrary.wiley.com/doi/10.1111/1759-7714.13800</t>
  </si>
  <si>
    <t>Kryczka (2021)</t>
  </si>
  <si>
    <t>https://www.mdpi.com/2075-4418/11/3/425/htm</t>
  </si>
  <si>
    <t>Serum EV</t>
  </si>
  <si>
    <t>Xi (2019)</t>
  </si>
  <si>
    <t>https://www.frontiersin.org/articles/10.3389/fonc.2019.00975/full</t>
  </si>
  <si>
    <t>https://molecular-cancer.biomedcentral.com/articles/10.1186/s12943-021-01371-1</t>
  </si>
  <si>
    <t>Kaduthanam (2013)</t>
  </si>
  <si>
    <t>https://www.sciencedirect.com/science/article/pii/S0169500213000238?via%3Dihub</t>
  </si>
  <si>
    <t>Sjekker reoccurence + noen kontroller med benign</t>
  </si>
  <si>
    <t>Hva er en gang pleural lavage?</t>
  </si>
  <si>
    <t>Plasma &amp; sputum</t>
  </si>
  <si>
    <t>For få miRNA</t>
  </si>
  <si>
    <t>Metastudie + ser på risiko for å utvikle</t>
  </si>
  <si>
    <t>Få miRNA</t>
  </si>
  <si>
    <t>https://academic.oup.com/qjmed/article/112/10/779/5522666</t>
  </si>
  <si>
    <t>kun mRNA-21</t>
  </si>
  <si>
    <t>SUM:</t>
  </si>
  <si>
    <t>Retracted + vil ikke dele data</t>
  </si>
  <si>
    <t>mRNA</t>
  </si>
  <si>
    <t>Har nodules</t>
  </si>
  <si>
    <t>Mange</t>
  </si>
  <si>
    <t>Sum:</t>
  </si>
  <si>
    <t>Available (only some)</t>
  </si>
  <si>
    <t>Email sent</t>
  </si>
  <si>
    <t>Yes</t>
  </si>
  <si>
    <t>N/A</t>
  </si>
  <si>
    <t>In supplementary files</t>
  </si>
  <si>
    <t>Mail-adresse ugyldig?</t>
  </si>
  <si>
    <t>(Ser ut som salud.madrid.org ikke kommer frem)</t>
  </si>
  <si>
    <t>Meese</t>
  </si>
  <si>
    <t>Feng</t>
  </si>
  <si>
    <t>Feng + Også noen med benign greier</t>
  </si>
  <si>
    <t>Feng + Kontrollene er ikke friske</t>
  </si>
  <si>
    <t>Feng + peripheral blood mononuclear cells</t>
  </si>
  <si>
    <t>Svar</t>
  </si>
  <si>
    <t>Har dem ikke lenger</t>
  </si>
  <si>
    <t>In Jupyter</t>
  </si>
  <si>
    <t>Fikk data</t>
  </si>
  <si>
    <t>Prutet</t>
  </si>
  <si>
    <t>Fang</t>
  </si>
  <si>
    <t>Har ikke data + ulovlig å dele?</t>
  </si>
  <si>
    <t>Purret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</si>
</sst>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10" fontId="0" fillId="0" borderId="0" xfId="0" applyNumberFormat="1"/>
  </cellXfs>
  <cellStyles count="2">
    <cellStyle name="Hyperlink" xfId="1" builtinId="8"/>
    <cellStyle name="Normal" xfId="0" builtinId="0"/>
  </cellStyles>
  <dxfs count="15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6946307/" TargetMode="External"/><Relationship Id="rId117" Type="http://schemas.openxmlformats.org/officeDocument/2006/relationships/hyperlink" Target="https://onlinelibrary.wiley.com/doi/full/10.1002/jcb.29612" TargetMode="External"/><Relationship Id="rId21" Type="http://schemas.openxmlformats.org/officeDocument/2006/relationships/hyperlink" Target="https://www.pnas.org/content/117/40/25036.short" TargetMode="External"/><Relationship Id="rId42" Type="http://schemas.openxmlformats.org/officeDocument/2006/relationships/hyperlink" Target="https://www.oncotarget.com/article/9363/text/" TargetMode="External"/><Relationship Id="rId47" Type="http://schemas.openxmlformats.org/officeDocument/2006/relationships/hyperlink" Target="https://www.sciencedirect.com/science/article/pii/S1556086415334717" TargetMode="External"/><Relationship Id="rId63" Type="http://schemas.openxmlformats.org/officeDocument/2006/relationships/hyperlink" Target="https://www.nature.com/articles/srep31389" TargetMode="External"/><Relationship Id="rId68" Type="http://schemas.openxmlformats.org/officeDocument/2006/relationships/hyperlink" Target="https://journals.plos.org/plosone/article?id=10.1371/journal.pone.0078649" TargetMode="External"/><Relationship Id="rId84" Type="http://schemas.openxmlformats.org/officeDocument/2006/relationships/hyperlink" Target="https://www.sciencedirect.com/science/article/pii/S2352396415300864?via%3Dihub" TargetMode="External"/><Relationship Id="rId89" Type="http://schemas.openxmlformats.org/officeDocument/2006/relationships/hyperlink" Target="https://www.oncotarget.com/article/24857/text/" TargetMode="External"/><Relationship Id="rId112" Type="http://schemas.openxmlformats.org/officeDocument/2006/relationships/hyperlink" Target="https://www.nature.com/articles/s41598-018-28528-1" TargetMode="External"/><Relationship Id="rId16" Type="http://schemas.openxmlformats.org/officeDocument/2006/relationships/hyperlink" Target="https://journals.plos.org/plosone/article?id=10.1371/journal.pone.0026502" TargetMode="External"/><Relationship Id="rId107" Type="http://schemas.openxmlformats.org/officeDocument/2006/relationships/hyperlink" Target="https://onlinelibrary.wiley.com/doi/10.1002/cam4.1238" TargetMode="External"/><Relationship Id="rId11" Type="http://schemas.openxmlformats.org/officeDocument/2006/relationships/hyperlink" Target="https://www.nature.com/articles/s42003-020-0863-y" TargetMode="External"/><Relationship Id="rId32" Type="http://schemas.openxmlformats.org/officeDocument/2006/relationships/hyperlink" Target="https://www.sciencedirect.com/science/article/pii/S1556086415322012" TargetMode="External"/><Relationship Id="rId37" Type="http://schemas.openxmlformats.org/officeDocument/2006/relationships/hyperlink" Target="https://link.springer.com/article/10.1007%2Fs12032-011-9923-y" TargetMode="External"/><Relationship Id="rId53" Type="http://schemas.openxmlformats.org/officeDocument/2006/relationships/hyperlink" Target="https://onlinelibrary.wiley.com/doi/10.1002/ijc.26153" TargetMode="External"/><Relationship Id="rId58" Type="http://schemas.openxmlformats.org/officeDocument/2006/relationships/hyperlink" Target="https://jtd.amegroups.com/article/view/8041/7409" TargetMode="External"/><Relationship Id="rId74" Type="http://schemas.openxmlformats.org/officeDocument/2006/relationships/hyperlink" Target="https://www.dovepress.com/combination-of-serum-mirnas-with-serum-exosomal-mirnas-in-early-diagno-peer-reviewed-fulltext-article-CMAR" TargetMode="External"/><Relationship Id="rId79" Type="http://schemas.openxmlformats.org/officeDocument/2006/relationships/hyperlink" Target="https://academic.oup.com/abbs/article/52/3/281/5739837" TargetMode="External"/><Relationship Id="rId102" Type="http://schemas.openxmlformats.org/officeDocument/2006/relationships/hyperlink" Target="https://www.spandidos-publications.com/ijo/54/5/1821" TargetMode="External"/><Relationship Id="rId123" Type="http://schemas.openxmlformats.org/officeDocument/2006/relationships/hyperlink" Target="https://www.sciencedirect.com/science/article/pii/S0169500213000238?via%3Dihub" TargetMode="External"/><Relationship Id="rId5" Type="http://schemas.openxmlformats.org/officeDocument/2006/relationships/hyperlink" Target="https://onlinelibrary.wiley.com/doi/full/10.1002/ijc.26177" TargetMode="External"/><Relationship Id="rId61" Type="http://schemas.openxmlformats.org/officeDocument/2006/relationships/hyperlink" Target="https://link.springer.com/article/10.1007%2Fs00432-011-1068-z" TargetMode="External"/><Relationship Id="rId82" Type="http://schemas.openxmlformats.org/officeDocument/2006/relationships/hyperlink" Target="https://www.oncotarget.com/article/14369/text/" TargetMode="External"/><Relationship Id="rId90" Type="http://schemas.openxmlformats.org/officeDocument/2006/relationships/hyperlink" Target="https://www.hindawi.com/journals/bmri/2020/9601876/" TargetMode="External"/><Relationship Id="rId95" Type="http://schemas.openxmlformats.org/officeDocument/2006/relationships/hyperlink" Target="https://www.ncbi.nlm.nih.gov/pmc/articles/PMC4599298/" TargetMode="External"/><Relationship Id="rId19" Type="http://schemas.openxmlformats.org/officeDocument/2006/relationships/hyperlink" Target="https://www.ncbi.nlm.nih.gov/pmc/articles/PMC3160609/" TargetMode="External"/><Relationship Id="rId14" Type="http://schemas.openxmlformats.org/officeDocument/2006/relationships/hyperlink" Target="https://bmccancer.biomedcentral.com/articles/10.1186/1471-2407-9-353" TargetMode="External"/><Relationship Id="rId22" Type="http://schemas.openxmlformats.org/officeDocument/2006/relationships/hyperlink" Target="https://www.nature.com/articles/labinvest201588" TargetMode="External"/><Relationship Id="rId27" Type="http://schemas.openxmlformats.org/officeDocument/2006/relationships/hyperlink" Target="https://www.ncbi.nlm.nih.gov/pmc/articles/PMC6643220/" TargetMode="External"/><Relationship Id="rId30" Type="http://schemas.openxmlformats.org/officeDocument/2006/relationships/hyperlink" Target="https://journals.plos.org/plosone/article?id=10.1371/journal.pone.0032307" TargetMode="External"/><Relationship Id="rId35" Type="http://schemas.openxmlformats.org/officeDocument/2006/relationships/hyperlink" Target="https://pubmed.ncbi.nlm.nih.gov/25386559/" TargetMode="External"/><Relationship Id="rId43" Type="http://schemas.openxmlformats.org/officeDocument/2006/relationships/hyperlink" Target="https://erj.ersjournals.com/content/37/3/617" TargetMode="External"/><Relationship Id="rId48" Type="http://schemas.openxmlformats.org/officeDocument/2006/relationships/hyperlink" Target="https://www.mdpi.com/1422-0067/14/5/10332" TargetMode="External"/><Relationship Id="rId56" Type="http://schemas.openxmlformats.org/officeDocument/2006/relationships/hyperlink" Target="https://journals.lww.com/cmj/Fulltext/2020/11050/Serum_microRNA_expression_profiling_revealing.2.aspx" TargetMode="External"/><Relationship Id="rId64" Type="http://schemas.openxmlformats.org/officeDocument/2006/relationships/hyperlink" Target="https://www.jbuon.com/archive/25-2-821.pdf" TargetMode="External"/><Relationship Id="rId69" Type="http://schemas.openxmlformats.org/officeDocument/2006/relationships/hyperlink" Target="https://onlinelibrary.wiley.com/doi/10.1002/cam4.1490" TargetMode="External"/><Relationship Id="rId77" Type="http://schemas.openxmlformats.org/officeDocument/2006/relationships/hyperlink" Target="https://tlcr.amegroups.com/article/view/32535/22817" TargetMode="External"/><Relationship Id="rId100" Type="http://schemas.openxmlformats.org/officeDocument/2006/relationships/hyperlink" Target="https://www.tandfonline.com/doi/full/10.1080/15476286.2020.1771945" TargetMode="External"/><Relationship Id="rId105" Type="http://schemas.openxmlformats.org/officeDocument/2006/relationships/hyperlink" Target="https://www.dovepress.com/application-of-serum-microrna-9-5p-21-5p-and-223-3p-combined-with-tumo-peer-reviewed-fulltext-article-OTT" TargetMode="External"/><Relationship Id="rId113" Type="http://schemas.openxmlformats.org/officeDocument/2006/relationships/hyperlink" Target="https://www.ncbi.nlm.nih.gov/pmc/articles/PMC7415459/" TargetMode="External"/><Relationship Id="rId118" Type="http://schemas.openxmlformats.org/officeDocument/2006/relationships/hyperlink" Target="https://onlinelibrary.wiley.com/doi/10.1002/jcla.23743" TargetMode="External"/><Relationship Id="rId8" Type="http://schemas.openxmlformats.org/officeDocument/2006/relationships/hyperlink" Target="https://www.oncotarget.com/article/6566/text/" TargetMode="External"/><Relationship Id="rId51" Type="http://schemas.openxmlformats.org/officeDocument/2006/relationships/hyperlink" Target="https://onlinelibrary.wiley.com/doi/10.1002/ijc.30822" TargetMode="External"/><Relationship Id="rId72" Type="http://schemas.openxmlformats.org/officeDocument/2006/relationships/hyperlink" Target="https://www.sciencedirect.com/science/article/pii/S1936523318301682?via%3Dihub" TargetMode="External"/><Relationship Id="rId80" Type="http://schemas.openxmlformats.org/officeDocument/2006/relationships/hyperlink" Target="https://link.springer.com/article/10.1007%2Fs13402-017-0334-8" TargetMode="External"/><Relationship Id="rId85" Type="http://schemas.openxmlformats.org/officeDocument/2006/relationships/hyperlink" Target="https://www.ncbi.nlm.nih.gov/pmc/articles/PMC5403401/" TargetMode="External"/><Relationship Id="rId93" Type="http://schemas.openxmlformats.org/officeDocument/2006/relationships/hyperlink" Target="https://www.oncotarget.com/article/17535/text/" TargetMode="External"/><Relationship Id="rId98" Type="http://schemas.openxmlformats.org/officeDocument/2006/relationships/hyperlink" Target="https://www.spandidos-publications.com/10.3892/ol.2016.5462" TargetMode="External"/><Relationship Id="rId121" Type="http://schemas.openxmlformats.org/officeDocument/2006/relationships/hyperlink" Target="https://www.mdpi.com/2075-4418/11/3/425/htm" TargetMode="External"/><Relationship Id="rId3" Type="http://schemas.openxmlformats.org/officeDocument/2006/relationships/hyperlink" Target="https://ascopubs.org/doi/10.1200/JCO.2013.50.4357" TargetMode="External"/><Relationship Id="rId12" Type="http://schemas.openxmlformats.org/officeDocument/2006/relationships/hyperlink" Target="https://www.frontiersin.org/articles/10.3389/fgene.2021.673926/full" TargetMode="External"/><Relationship Id="rId17" Type="http://schemas.openxmlformats.org/officeDocument/2006/relationships/hyperlink" Target="https://journals.plos.org/plosone/article?id=10.1371/journal.pone.0046045" TargetMode="External"/><Relationship Id="rId25" Type="http://schemas.openxmlformats.org/officeDocument/2006/relationships/hyperlink" Target="https://pubmed.ncbi.nlm.nih.gov/25421010/" TargetMode="External"/><Relationship Id="rId33" Type="http://schemas.openxmlformats.org/officeDocument/2006/relationships/hyperlink" Target="https://journals.plos.org/plosone/article?id=10.1371/journal.pone.0134220" TargetMode="External"/><Relationship Id="rId38" Type="http://schemas.openxmlformats.org/officeDocument/2006/relationships/hyperlink" Target="https://onlinelibrary.wiley.com/doi/full/10.1002/gcc.22181" TargetMode="External"/><Relationship Id="rId46" Type="http://schemas.openxmlformats.org/officeDocument/2006/relationships/hyperlink" Target="https://link.springer.com/article/10.1007%2Fs12013-013-9575-y" TargetMode="External"/><Relationship Id="rId59" Type="http://schemas.openxmlformats.org/officeDocument/2006/relationships/hyperlink" Target="https://link.springer.com/article/10.1186/1471-2407-11-374" TargetMode="External"/><Relationship Id="rId67" Type="http://schemas.openxmlformats.org/officeDocument/2006/relationships/hyperlink" Target="https://www.sciencedirect.com/science/article/pii/S0169500213002195?via%3Dihub" TargetMode="External"/><Relationship Id="rId103" Type="http://schemas.openxmlformats.org/officeDocument/2006/relationships/hyperlink" Target="https://www.sciencedirect.com/science/article/pii/S0344033819303395?via%3Dihub" TargetMode="External"/><Relationship Id="rId108" Type="http://schemas.openxmlformats.org/officeDocument/2006/relationships/hyperlink" Target="https://www.tandfonline.com/doi/full/10.3109/01902148.2016.1155245?scroll=top&amp;needAccess=true" TargetMode="External"/><Relationship Id="rId116" Type="http://schemas.openxmlformats.org/officeDocument/2006/relationships/hyperlink" Target="https://onlinelibrary.wiley.com/doi/full/10.1111/1759-7714.13644" TargetMode="External"/><Relationship Id="rId124" Type="http://schemas.openxmlformats.org/officeDocument/2006/relationships/hyperlink" Target="https://www.tandfonline.com/doi/abs/10.4161/rna.8.3.14994" TargetMode="External"/><Relationship Id="rId20" Type="http://schemas.openxmlformats.org/officeDocument/2006/relationships/hyperlink" Target="https://www.sciencedirect.com/science/article/pii/S152573041400271X" TargetMode="External"/><Relationship Id="rId41" Type="http://schemas.openxmlformats.org/officeDocument/2006/relationships/hyperlink" Target="https://link.springer.com/article/10.1007/s13277-015-4608-3" TargetMode="External"/><Relationship Id="rId54" Type="http://schemas.openxmlformats.org/officeDocument/2006/relationships/hyperlink" Target="https://www.tandfonline.com/doi/full/10.4161/cbt.26370" TargetMode="External"/><Relationship Id="rId62" Type="http://schemas.openxmlformats.org/officeDocument/2006/relationships/hyperlink" Target="https://www.mdpi.com/1422-0067/21/8/2783/htm" TargetMode="External"/><Relationship Id="rId70" Type="http://schemas.openxmlformats.org/officeDocument/2006/relationships/hyperlink" Target="https://onlinelibrary.wiley.com/doi/10.1002/jcla.23505" TargetMode="External"/><Relationship Id="rId75" Type="http://schemas.openxmlformats.org/officeDocument/2006/relationships/hyperlink" Target="https://www.spandidos-publications.com/10.3892/ol.2018.9464" TargetMode="External"/><Relationship Id="rId83" Type="http://schemas.openxmlformats.org/officeDocument/2006/relationships/hyperlink" Target="https://www.tandfonline.com/doi/full/10.4161/rna.20107" TargetMode="External"/><Relationship Id="rId88" Type="http://schemas.openxmlformats.org/officeDocument/2006/relationships/hyperlink" Target="https://www.frontiersin.org/articles/10.3389/fgene.2019.00367/full" TargetMode="External"/><Relationship Id="rId91" Type="http://schemas.openxmlformats.org/officeDocument/2006/relationships/hyperlink" Target="https://journals.plos.org/plosone/article?id=10.1371/journal.pone.0006229" TargetMode="External"/><Relationship Id="rId96" Type="http://schemas.openxmlformats.org/officeDocument/2006/relationships/hyperlink" Target="https://pubmed.ncbi.nlm.nih.gov/24488924/" TargetMode="External"/><Relationship Id="rId111" Type="http://schemas.openxmlformats.org/officeDocument/2006/relationships/hyperlink" Target="https://www.sciencedirect.com/science/article/abs/pii/S1525730411700808" TargetMode="External"/><Relationship Id="rId1" Type="http://schemas.openxmlformats.org/officeDocument/2006/relationships/hyperlink" Target="https://doi.org/10.1371/journal.pone.0125026" TargetMode="External"/><Relationship Id="rId6" Type="http://schemas.openxmlformats.org/officeDocument/2006/relationships/hyperlink" Target="https://www.nature.com/articles/labinvest2010194" TargetMode="External"/><Relationship Id="rId15" Type="http://schemas.openxmlformats.org/officeDocument/2006/relationships/hyperlink" Target="https://journals.plos.org/plosone/article?id=10.1371/journal.pone.0181926" TargetMode="External"/><Relationship Id="rId23" Type="http://schemas.openxmlformats.org/officeDocument/2006/relationships/hyperlink" Target="https://pubmed.ncbi.nlm.nih.gov/32134442/" TargetMode="External"/><Relationship Id="rId28" Type="http://schemas.openxmlformats.org/officeDocument/2006/relationships/hyperlink" Target="https://academic.oup.com/qjmed/article/112/10/779/5522666" TargetMode="External"/><Relationship Id="rId36" Type="http://schemas.openxmlformats.org/officeDocument/2006/relationships/hyperlink" Target="https://link.springer.com/article/10.1007/s13277-014-2938-1" TargetMode="External"/><Relationship Id="rId49" Type="http://schemas.openxmlformats.org/officeDocument/2006/relationships/hyperlink" Target="https://www.jcancer.org/v08p0048.htm" TargetMode="External"/><Relationship Id="rId57" Type="http://schemas.openxmlformats.org/officeDocument/2006/relationships/hyperlink" Target="https://www.oncotarget.com/article/14311/text/" TargetMode="External"/><Relationship Id="rId106" Type="http://schemas.openxmlformats.org/officeDocument/2006/relationships/hyperlink" Target="https://link.springer.com/article/10.1007%2Fs12032-012-0303-z" TargetMode="External"/><Relationship Id="rId114" Type="http://schemas.openxmlformats.org/officeDocument/2006/relationships/hyperlink" Target="https://www.tandfonline.com/doi/full/10.1080/20013078.2019.1663666?scroll=top&amp;needAccess=true" TargetMode="External"/><Relationship Id="rId119" Type="http://schemas.openxmlformats.org/officeDocument/2006/relationships/hyperlink" Target="http://www.cancerbiomed.org/index.php/cocr/article/view/1672/1683" TargetMode="External"/><Relationship Id="rId10" Type="http://schemas.openxmlformats.org/officeDocument/2006/relationships/hyperlink" Target="https://www.ncbi.nlm.nih.gov/pmc/articles/PMC7465670/" TargetMode="External"/><Relationship Id="rId31" Type="http://schemas.openxmlformats.org/officeDocument/2006/relationships/hyperlink" Target="https://pubmed.ncbi.nlm.nih.gov/27127244/" TargetMode="External"/><Relationship Id="rId44" Type="http://schemas.openxmlformats.org/officeDocument/2006/relationships/hyperlink" Target="https://www.jove.com/t/53900/exosomal-mirna-analysis-non-small-cell-lung-cancer-nsclc-patients" TargetMode="External"/><Relationship Id="rId52" Type="http://schemas.openxmlformats.org/officeDocument/2006/relationships/hyperlink" Target="https://link.springer.com/article/10.1007/s13277-015-3971-4" TargetMode="External"/><Relationship Id="rId60" Type="http://schemas.openxmlformats.org/officeDocument/2006/relationships/hyperlink" Target="https://www.pnas.org/content/108/9/3713" TargetMode="External"/><Relationship Id="rId65" Type="http://schemas.openxmlformats.org/officeDocument/2006/relationships/hyperlink" Target="https://www.europeanreview.org/article/17813" TargetMode="External"/><Relationship Id="rId73" Type="http://schemas.openxmlformats.org/officeDocument/2006/relationships/hyperlink" Target="https://jtd.amegroups.com/article/view/23629/17841" TargetMode="External"/><Relationship Id="rId78" Type="http://schemas.openxmlformats.org/officeDocument/2006/relationships/hyperlink" Target="https://bmccancer.biomedcentral.com/articles/10.1186/1471-2407-9-353" TargetMode="External"/><Relationship Id="rId81" Type="http://schemas.openxmlformats.org/officeDocument/2006/relationships/hyperlink" Target="https://www.sciencedirect.com/science/article/pii/S0169500217305287" TargetMode="External"/><Relationship Id="rId86" Type="http://schemas.openxmlformats.org/officeDocument/2006/relationships/hyperlink" Target="https://www.frontiersin.org/articles/10.3389/fonc.2020.560025/full" TargetMode="External"/><Relationship Id="rId94" Type="http://schemas.openxmlformats.org/officeDocument/2006/relationships/hyperlink" Target="https://bmcmedicine.biomedcentral.com/articles/10.1186/s12916-014-0224-0" TargetMode="External"/><Relationship Id="rId99" Type="http://schemas.openxmlformats.org/officeDocument/2006/relationships/hyperlink" Target="https://www.amjmedsci.org/article/S0002-9629(20)30177-4/fulltext" TargetMode="External"/><Relationship Id="rId101" Type="http://schemas.openxmlformats.org/officeDocument/2006/relationships/hyperlink" Target="https://www.nature.com/articles/aps2012125" TargetMode="External"/><Relationship Id="rId122" Type="http://schemas.openxmlformats.org/officeDocument/2006/relationships/hyperlink" Target="https://www.frontiersin.org/articles/10.3389/fonc.2019.00975/full" TargetMode="External"/><Relationship Id="rId4" Type="http://schemas.openxmlformats.org/officeDocument/2006/relationships/hyperlink" Target="https://www.nature.com/articles/s41598-018-24769-2" TargetMode="External"/><Relationship Id="rId9" Type="http://schemas.openxmlformats.org/officeDocument/2006/relationships/hyperlink" Target="https://jtd.amegroups.com/article/view/22438/html" TargetMode="External"/><Relationship Id="rId13" Type="http://schemas.openxmlformats.org/officeDocument/2006/relationships/hyperlink" Target="https://www.oncotarget.com/article/2419/text/" TargetMode="External"/><Relationship Id="rId18" Type="http://schemas.openxmlformats.org/officeDocument/2006/relationships/hyperlink" Target="https://www.ncbi.nlm.nih.gov/pmc/articles/PMC7301755/" TargetMode="External"/><Relationship Id="rId39" Type="http://schemas.openxmlformats.org/officeDocument/2006/relationships/hyperlink" Target="https://clincancerres.aacrjournals.org/content/23/17/5311" TargetMode="External"/><Relationship Id="rId109" Type="http://schemas.openxmlformats.org/officeDocument/2006/relationships/hyperlink" Target="https://www.ncbi.nlm.nih.gov/pmc/articles/PMC6886307/" TargetMode="External"/><Relationship Id="rId34" Type="http://schemas.openxmlformats.org/officeDocument/2006/relationships/hyperlink" Target="https://onlinelibrary.wiley.com/doi/full/10.1111/1759-7714.12317" TargetMode="External"/><Relationship Id="rId50" Type="http://schemas.openxmlformats.org/officeDocument/2006/relationships/hyperlink" Target="https://www.nature.com/articles/srep12464" TargetMode="External"/><Relationship Id="rId55" Type="http://schemas.openxmlformats.org/officeDocument/2006/relationships/hyperlink" Target="https://febs.onlinelibrary.wiley.com/doi/full/10.1016/j.molonc.2011.02.002" TargetMode="External"/><Relationship Id="rId76" Type="http://schemas.openxmlformats.org/officeDocument/2006/relationships/hyperlink" Target="https://www.jcancer.org/v10p5090.htm" TargetMode="External"/><Relationship Id="rId97" Type="http://schemas.openxmlformats.org/officeDocument/2006/relationships/hyperlink" Target="https://www.liebertpub.com/doi/10.1089/gtmb.2018.0275" TargetMode="External"/><Relationship Id="rId104" Type="http://schemas.openxmlformats.org/officeDocument/2006/relationships/hyperlink" Target="https://www.mdpi.com/1422-0067/22/11/5803/htm" TargetMode="External"/><Relationship Id="rId120" Type="http://schemas.openxmlformats.org/officeDocument/2006/relationships/hyperlink" Target="https://onlinelibrary.wiley.com/doi/10.1111/1759-7714.13800" TargetMode="External"/><Relationship Id="rId125" Type="http://schemas.openxmlformats.org/officeDocument/2006/relationships/hyperlink" Target="https://www.ncbi.nlm.nih.gov/pmc/articles/PMC3377091/" TargetMode="External"/><Relationship Id="rId7" Type="http://schemas.openxmlformats.org/officeDocument/2006/relationships/hyperlink" Target="https://www.oncotarget.com/article/22950/text/" TargetMode="External"/><Relationship Id="rId71" Type="http://schemas.openxmlformats.org/officeDocument/2006/relationships/hyperlink" Target="https://www.sciencedirect.com/science/article/pii/S016950021100105X?via%3Dihub" TargetMode="External"/><Relationship Id="rId92" Type="http://schemas.openxmlformats.org/officeDocument/2006/relationships/hyperlink" Target="https://www.oncotarget.com/article/17416/text/" TargetMode="External"/><Relationship Id="rId2" Type="http://schemas.openxmlformats.org/officeDocument/2006/relationships/hyperlink" Target="https://cebp.aacrjournals.org/content/28/2/327" TargetMode="External"/><Relationship Id="rId29" Type="http://schemas.openxmlformats.org/officeDocument/2006/relationships/hyperlink" Target="https://www.lungcancerjournal.info/article/S0169-5002(18)30436-7/fulltext" TargetMode="External"/><Relationship Id="rId24" Type="http://schemas.openxmlformats.org/officeDocument/2006/relationships/hyperlink" Target="https://www.cancergeneticsjournal.org/article/S2210-7762(17)30016-9/fulltext" TargetMode="External"/><Relationship Id="rId40" Type="http://schemas.openxmlformats.org/officeDocument/2006/relationships/hyperlink" Target="https://journals.plos.org/plosone/article?id=10.1371/journal.pone.0153046" TargetMode="External"/><Relationship Id="rId45" Type="http://schemas.openxmlformats.org/officeDocument/2006/relationships/hyperlink" Target="https://pubmed.ncbi.nlm.nih.gov/25639977/" TargetMode="External"/><Relationship Id="rId66" Type="http://schemas.openxmlformats.org/officeDocument/2006/relationships/hyperlink" Target="https://link.springer.com/article/10.1007%2Fs40291-018-0341-0" TargetMode="External"/><Relationship Id="rId87" Type="http://schemas.openxmlformats.org/officeDocument/2006/relationships/hyperlink" Target="https://cellandbioscience.biomedcentral.com/articles/10.1186/s13578-018-0202-x" TargetMode="External"/><Relationship Id="rId110" Type="http://schemas.openxmlformats.org/officeDocument/2006/relationships/hyperlink" Target="https://www.oncotarget.com/article/3859/text/" TargetMode="External"/><Relationship Id="rId115" Type="http://schemas.openxmlformats.org/officeDocument/2006/relationships/hyperlink" Target="https://www.oncotarget.com/article/19666/text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2715493/" TargetMode="External"/><Relationship Id="rId13" Type="http://schemas.openxmlformats.org/officeDocument/2006/relationships/hyperlink" Target="https://www.ncbi.nlm.nih.gov/pmc/articles/PMC4672770/" TargetMode="External"/><Relationship Id="rId18" Type="http://schemas.openxmlformats.org/officeDocument/2006/relationships/hyperlink" Target="https://www.ncbi.nlm.nih.gov/pmc/articles/PMC3566005/" TargetMode="External"/><Relationship Id="rId26" Type="http://schemas.openxmlformats.org/officeDocument/2006/relationships/hyperlink" Target="https://pubmed.ncbi.nlm.nih.gov/30556877/" TargetMode="External"/><Relationship Id="rId39" Type="http://schemas.openxmlformats.org/officeDocument/2006/relationships/hyperlink" Target="https://www.ncbi.nlm.nih.gov/pmc/articles/PMC5062829/" TargetMode="External"/><Relationship Id="rId3" Type="http://schemas.openxmlformats.org/officeDocument/2006/relationships/hyperlink" Target="https://www.karger.com/Article/FullText/495921" TargetMode="External"/><Relationship Id="rId21" Type="http://schemas.openxmlformats.org/officeDocument/2006/relationships/hyperlink" Target="https://pubmed.ncbi.nlm.nih.gov/30485511/" TargetMode="External"/><Relationship Id="rId34" Type="http://schemas.openxmlformats.org/officeDocument/2006/relationships/hyperlink" Target="https://link.springer.com/article/10.1007%2Fs00432-012-1285-0" TargetMode="External"/><Relationship Id="rId42" Type="http://schemas.openxmlformats.org/officeDocument/2006/relationships/hyperlink" Target="https://link.springer.com/article/10.1007%2Fs11010-013-1755-y" TargetMode="External"/><Relationship Id="rId7" Type="http://schemas.openxmlformats.org/officeDocument/2006/relationships/hyperlink" Target="https://pubmed.ncbi.nlm.nih.gov/24743967/" TargetMode="External"/><Relationship Id="rId12" Type="http://schemas.openxmlformats.org/officeDocument/2006/relationships/hyperlink" Target="https://pubmed.ncbi.nlm.nih.gov/31994346/" TargetMode="External"/><Relationship Id="rId17" Type="http://schemas.openxmlformats.org/officeDocument/2006/relationships/hyperlink" Target="https://journals.plos.org/plosone/article?id=10.1371/journal.pone.0090524" TargetMode="External"/><Relationship Id="rId25" Type="http://schemas.openxmlformats.org/officeDocument/2006/relationships/hyperlink" Target="https://www.ncbi.nlm.nih.gov/pmc/articles/PMC6249464/" TargetMode="External"/><Relationship Id="rId33" Type="http://schemas.openxmlformats.org/officeDocument/2006/relationships/hyperlink" Target="https://link.springer.com/article/10.1007%2Fs11670-011-0123-2" TargetMode="External"/><Relationship Id="rId38" Type="http://schemas.openxmlformats.org/officeDocument/2006/relationships/hyperlink" Target="https://www.spandidos-publications.com/or/31/1/351" TargetMode="External"/><Relationship Id="rId2" Type="http://schemas.openxmlformats.org/officeDocument/2006/relationships/hyperlink" Target="https://www.sciencedirect.com/science/article/pii/S0169500209002153" TargetMode="External"/><Relationship Id="rId16" Type="http://schemas.openxmlformats.org/officeDocument/2006/relationships/hyperlink" Target="https://www.ncbi.nlm.nih.gov/pmc/articles/PMC7050065/" TargetMode="External"/><Relationship Id="rId20" Type="http://schemas.openxmlformats.org/officeDocument/2006/relationships/hyperlink" Target="https://www.nature.com/articles/s41598-018-35139-3" TargetMode="External"/><Relationship Id="rId29" Type="http://schemas.openxmlformats.org/officeDocument/2006/relationships/hyperlink" Target="https://www.ncbi.nlm.nih.gov/pmc/articles/PMC3836484/" TargetMode="External"/><Relationship Id="rId41" Type="http://schemas.openxmlformats.org/officeDocument/2006/relationships/hyperlink" Target="https://cancerpreventionresearch.aacrjournals.org/content/4/10/1599" TargetMode="External"/><Relationship Id="rId1" Type="http://schemas.openxmlformats.org/officeDocument/2006/relationships/hyperlink" Target="https://www.sciencedirect.com/science/article/pii/S153561080600033X" TargetMode="External"/><Relationship Id="rId6" Type="http://schemas.openxmlformats.org/officeDocument/2006/relationships/hyperlink" Target="https://pubmed.ncbi.nlm.nih.gov/29196495/" TargetMode="External"/><Relationship Id="rId11" Type="http://schemas.openxmlformats.org/officeDocument/2006/relationships/hyperlink" Target="https://www.nature.com/articles/s41598-019-51578-y" TargetMode="External"/><Relationship Id="rId24" Type="http://schemas.openxmlformats.org/officeDocument/2006/relationships/hyperlink" Target="https://onlinelibrary.wiley.com/doi/full/10.1002/jcb.29214" TargetMode="External"/><Relationship Id="rId32" Type="http://schemas.openxmlformats.org/officeDocument/2006/relationships/hyperlink" Target="https://www.spandidos-publications.com/mmr/4/2/383" TargetMode="External"/><Relationship Id="rId37" Type="http://schemas.openxmlformats.org/officeDocument/2006/relationships/hyperlink" Target="https://journals.lww.com/cmj/Fulltext/2013/12050/Altered_miR_143_and_miR_150_expressions_in.20.aspx" TargetMode="External"/><Relationship Id="rId40" Type="http://schemas.openxmlformats.org/officeDocument/2006/relationships/hyperlink" Target="https://link.springer.com/article/10.1007%2Fs13577-020-00351-9" TargetMode="External"/><Relationship Id="rId5" Type="http://schemas.openxmlformats.org/officeDocument/2006/relationships/hyperlink" Target="https://www.ncbi.nlm.nih.gov/pmc/articles/PMC4599298/" TargetMode="External"/><Relationship Id="rId15" Type="http://schemas.openxmlformats.org/officeDocument/2006/relationships/hyperlink" Target="https://pubmed.ncbi.nlm.nih.gov/27302168/" TargetMode="External"/><Relationship Id="rId23" Type="http://schemas.openxmlformats.org/officeDocument/2006/relationships/hyperlink" Target="https://europepmc.org/article/med/28253725" TargetMode="External"/><Relationship Id="rId28" Type="http://schemas.openxmlformats.org/officeDocument/2006/relationships/hyperlink" Target="https://www.ncbi.nlm.nih.gov/pmc/articles/PMC3408024/" TargetMode="External"/><Relationship Id="rId36" Type="http://schemas.openxmlformats.org/officeDocument/2006/relationships/hyperlink" Target="https://journals.lww.com/eurjcancerprev/Fulltext/2013/11000/Identification_of_plasma_microRNAs_as_novel.7.aspx" TargetMode="External"/><Relationship Id="rId10" Type="http://schemas.openxmlformats.org/officeDocument/2006/relationships/hyperlink" Target="https://pubmed.ncbi.nlm.nih.gov/20885442/" TargetMode="External"/><Relationship Id="rId19" Type="http://schemas.openxmlformats.org/officeDocument/2006/relationships/hyperlink" Target="https://www.ingentaconnect.com/content/ben/ccdt/2009/00000009/00000004/art00009" TargetMode="External"/><Relationship Id="rId31" Type="http://schemas.openxmlformats.org/officeDocument/2006/relationships/hyperlink" Target="https://onlinelibrary.wiley.com/doi/10.1111/resp.12444" TargetMode="External"/><Relationship Id="rId4" Type="http://schemas.openxmlformats.org/officeDocument/2006/relationships/hyperlink" Target="https://pubmed.ncbi.nlm.nih.gov/32194819/" TargetMode="External"/><Relationship Id="rId9" Type="http://schemas.openxmlformats.org/officeDocument/2006/relationships/hyperlink" Target="https://journals.plos.org/plosone/article?id=10.1371/journal.pone.0050141" TargetMode="External"/><Relationship Id="rId14" Type="http://schemas.openxmlformats.org/officeDocument/2006/relationships/hyperlink" Target="https://clincancerres.aacrjournals.org/content/17/21/6802.long" TargetMode="External"/><Relationship Id="rId22" Type="http://schemas.openxmlformats.org/officeDocument/2006/relationships/hyperlink" Target="https://www.sciencedirect.com/science/article/pii/S1931524415001760" TargetMode="External"/><Relationship Id="rId27" Type="http://schemas.openxmlformats.org/officeDocument/2006/relationships/hyperlink" Target="https://link.springer.com/article/10.1007/s12032-014-0195-1" TargetMode="External"/><Relationship Id="rId30" Type="http://schemas.openxmlformats.org/officeDocument/2006/relationships/hyperlink" Target="https://www.ncbi.nlm.nih.gov/pmc/articles/PMC4348919/" TargetMode="External"/><Relationship Id="rId35" Type="http://schemas.openxmlformats.org/officeDocument/2006/relationships/hyperlink" Target="https://www.tandfonline.com/doi/abs/10.3109/1354750X.2013.845610" TargetMode="External"/><Relationship Id="rId43" Type="http://schemas.openxmlformats.org/officeDocument/2006/relationships/hyperlink" Target="https://wjso.biomedcentral.com/articles/10.1186/s12957-017-1171-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dpi.com/1420-3049/19/6/8220/htm" TargetMode="External"/><Relationship Id="rId13" Type="http://schemas.openxmlformats.org/officeDocument/2006/relationships/hyperlink" Target="https://www.mdpi.com/2072-6694/13/6/1373/htm" TargetMode="External"/><Relationship Id="rId3" Type="http://schemas.openxmlformats.org/officeDocument/2006/relationships/hyperlink" Target="https://www.ncbi.nlm.nih.gov/pmc/articles/PMC5447959/" TargetMode="External"/><Relationship Id="rId7" Type="http://schemas.openxmlformats.org/officeDocument/2006/relationships/hyperlink" Target="https://journals.sagepub.com/doi/10.5301/ijbm.5000307?url_ver=Z39.88-2003&amp;rfr_id=ori:rid:crossref.org&amp;rfr_dat=cr_pub%20%200pubmed" TargetMode="External"/><Relationship Id="rId12" Type="http://schemas.openxmlformats.org/officeDocument/2006/relationships/hyperlink" Target="https://www.hindawi.com/journals/bmri/2020/9601876/" TargetMode="External"/><Relationship Id="rId2" Type="http://schemas.openxmlformats.org/officeDocument/2006/relationships/hyperlink" Target="https://www.ncbi.nlm.nih.gov/pmc/articles/PMC7879878/" TargetMode="External"/><Relationship Id="rId1" Type="http://schemas.openxmlformats.org/officeDocument/2006/relationships/hyperlink" Target="https://onlinelibrary.wiley.com/doi/full/10.1002/jcb.29214" TargetMode="External"/><Relationship Id="rId6" Type="http://schemas.openxmlformats.org/officeDocument/2006/relationships/hyperlink" Target="https://onlinelibrary.wiley.com/doi/10.1002/cam4.1782" TargetMode="External"/><Relationship Id="rId11" Type="http://schemas.openxmlformats.org/officeDocument/2006/relationships/hyperlink" Target="https://www.ncbi.nlm.nih.gov/pmc/articles/PMC6144214/" TargetMode="External"/><Relationship Id="rId5" Type="http://schemas.openxmlformats.org/officeDocument/2006/relationships/hyperlink" Target="https://onlinelibrary.wiley.com/doi/10.1111/resp.12444" TargetMode="External"/><Relationship Id="rId10" Type="http://schemas.openxmlformats.org/officeDocument/2006/relationships/hyperlink" Target="https://www.dovepress.com/the-diagnostic-accuracy-of-liquid-exosomes-for-lung-cancer-detection-a-peer-reviewed-fulltext-article-OTT" TargetMode="External"/><Relationship Id="rId4" Type="http://schemas.openxmlformats.org/officeDocument/2006/relationships/hyperlink" Target="https://www.frontiersin.org/articles/10.3389/fgene.2016.00193/full" TargetMode="External"/><Relationship Id="rId9" Type="http://schemas.openxmlformats.org/officeDocument/2006/relationships/hyperlink" Target="https://onlinelibrary.wiley.com/doi/10.1002/gcc.22032" TargetMode="External"/><Relationship Id="rId14" Type="http://schemas.openxmlformats.org/officeDocument/2006/relationships/hyperlink" Target="https://molecular-cancer.biomedcentral.com/articles/10.1186/s12943-021-01371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7F08-BD36-451F-9DA3-A9CF1FA889F9}">
  <dimension ref="A1:R188"/>
  <sheetViews>
    <sheetView tabSelected="1" zoomScale="85" zoomScaleNormal="85" workbookViewId="0">
      <selection activeCell="O10" sqref="O10"/>
    </sheetView>
  </sheetViews>
  <sheetFormatPr defaultRowHeight="15" x14ac:dyDescent="0.25"/>
  <cols>
    <col min="1" max="1" width="12.42578125" customWidth="1"/>
    <col min="2" max="2" width="66.42578125" customWidth="1"/>
    <col min="3" max="3" width="9.42578125" hidden="1" customWidth="1"/>
    <col min="4" max="5" width="10.85546875" hidden="1" customWidth="1"/>
    <col min="6" max="6" width="15.42578125" hidden="1" customWidth="1"/>
    <col min="7" max="7" width="15.28515625" hidden="1" customWidth="1"/>
    <col min="8" max="9" width="10.140625" hidden="1" customWidth="1"/>
    <col min="10" max="10" width="16" hidden="1" customWidth="1"/>
    <col min="11" max="11" width="14.5703125" hidden="1" customWidth="1"/>
    <col min="12" max="12" width="13.5703125" hidden="1" customWidth="1"/>
    <col min="13" max="13" width="0.28515625" customWidth="1"/>
    <col min="14" max="14" width="11.85546875" customWidth="1"/>
    <col min="15" max="16" width="21" customWidth="1"/>
    <col min="17" max="17" width="54.28515625" customWidth="1"/>
  </cols>
  <sheetData>
    <row r="1" spans="1:18" x14ac:dyDescent="0.25">
      <c r="A1" t="s">
        <v>0</v>
      </c>
      <c r="B1" t="s">
        <v>2</v>
      </c>
      <c r="C1" t="s">
        <v>10</v>
      </c>
      <c r="D1" t="s">
        <v>11</v>
      </c>
      <c r="E1" t="s">
        <v>26</v>
      </c>
      <c r="F1" t="s">
        <v>64</v>
      </c>
      <c r="G1" t="s">
        <v>12</v>
      </c>
      <c r="H1" t="s">
        <v>4</v>
      </c>
      <c r="I1" t="s">
        <v>13</v>
      </c>
      <c r="J1" t="s">
        <v>5</v>
      </c>
      <c r="K1" t="s">
        <v>313</v>
      </c>
      <c r="L1" t="s">
        <v>312</v>
      </c>
      <c r="M1" t="s">
        <v>6</v>
      </c>
      <c r="N1" t="s">
        <v>452</v>
      </c>
      <c r="O1" t="s">
        <v>463</v>
      </c>
      <c r="P1" t="s">
        <v>465</v>
      </c>
      <c r="Q1" t="s">
        <v>16</v>
      </c>
    </row>
    <row r="2" spans="1:18" x14ac:dyDescent="0.25">
      <c r="A2" t="s">
        <v>1</v>
      </c>
      <c r="B2" s="1" t="s">
        <v>3</v>
      </c>
      <c r="C2">
        <v>35</v>
      </c>
      <c r="D2">
        <v>65</v>
      </c>
      <c r="G2">
        <f>C2+D2</f>
        <v>100</v>
      </c>
      <c r="H2">
        <v>100</v>
      </c>
      <c r="I2">
        <f t="shared" ref="I2:I33" si="0">G2+H2</f>
        <v>200</v>
      </c>
      <c r="J2" t="s">
        <v>8</v>
      </c>
      <c r="K2">
        <v>24</v>
      </c>
      <c r="L2" t="s">
        <v>312</v>
      </c>
      <c r="M2" t="s">
        <v>7</v>
      </c>
      <c r="N2" t="s">
        <v>454</v>
      </c>
      <c r="O2" t="s">
        <v>454</v>
      </c>
      <c r="P2" t="s">
        <v>453</v>
      </c>
      <c r="R2">
        <f t="shared" ref="R2:R33" si="1">I2*(M2="Available")</f>
        <v>200</v>
      </c>
    </row>
    <row r="3" spans="1:18" x14ac:dyDescent="0.25">
      <c r="A3" t="s">
        <v>14</v>
      </c>
      <c r="B3" s="1" t="s">
        <v>15</v>
      </c>
      <c r="C3">
        <f>25+22</f>
        <v>47</v>
      </c>
      <c r="D3">
        <f>12</f>
        <v>12</v>
      </c>
      <c r="G3">
        <f>C3+D3</f>
        <v>59</v>
      </c>
      <c r="H3">
        <f>39+30</f>
        <v>69</v>
      </c>
      <c r="I3">
        <f t="shared" si="0"/>
        <v>128</v>
      </c>
      <c r="J3" t="s">
        <v>9</v>
      </c>
      <c r="K3">
        <v>34</v>
      </c>
      <c r="L3" t="s">
        <v>312</v>
      </c>
      <c r="M3" t="s">
        <v>7</v>
      </c>
      <c r="N3" t="s">
        <v>454</v>
      </c>
      <c r="O3" t="s">
        <v>454</v>
      </c>
      <c r="P3" t="s">
        <v>124</v>
      </c>
      <c r="Q3" t="s">
        <v>17</v>
      </c>
      <c r="R3">
        <f t="shared" si="1"/>
        <v>128</v>
      </c>
    </row>
    <row r="4" spans="1:18" x14ac:dyDescent="0.25">
      <c r="A4" t="s">
        <v>19</v>
      </c>
      <c r="B4" s="1" t="s">
        <v>20</v>
      </c>
      <c r="G4">
        <f>288+149</f>
        <v>437</v>
      </c>
      <c r="H4">
        <f>288+149</f>
        <v>437</v>
      </c>
      <c r="I4">
        <f t="shared" si="0"/>
        <v>874</v>
      </c>
      <c r="J4" t="s">
        <v>8</v>
      </c>
      <c r="K4">
        <v>9</v>
      </c>
      <c r="L4" t="s">
        <v>312</v>
      </c>
      <c r="M4" t="s">
        <v>18</v>
      </c>
      <c r="N4" t="s">
        <v>453</v>
      </c>
      <c r="O4" t="s">
        <v>467</v>
      </c>
      <c r="R4">
        <f t="shared" si="1"/>
        <v>0</v>
      </c>
    </row>
    <row r="5" spans="1:18" x14ac:dyDescent="0.25">
      <c r="A5" t="s">
        <v>21</v>
      </c>
      <c r="B5" s="1" t="s">
        <v>22</v>
      </c>
      <c r="G5">
        <v>69</v>
      </c>
      <c r="H5">
        <v>870</v>
      </c>
      <c r="I5">
        <f t="shared" si="0"/>
        <v>939</v>
      </c>
      <c r="J5" t="s">
        <v>8</v>
      </c>
      <c r="K5">
        <v>24</v>
      </c>
      <c r="L5" t="s">
        <v>312</v>
      </c>
      <c r="M5" t="s">
        <v>18</v>
      </c>
      <c r="N5" t="s">
        <v>453</v>
      </c>
      <c r="O5" t="s">
        <v>467</v>
      </c>
      <c r="R5">
        <f t="shared" si="1"/>
        <v>0</v>
      </c>
    </row>
    <row r="6" spans="1:18" x14ac:dyDescent="0.25">
      <c r="A6" t="s">
        <v>23</v>
      </c>
      <c r="B6" s="1" t="s">
        <v>24</v>
      </c>
      <c r="C6">
        <v>8</v>
      </c>
      <c r="D6">
        <f>14+28</f>
        <v>42</v>
      </c>
      <c r="G6">
        <f>C6+D6</f>
        <v>50</v>
      </c>
      <c r="H6">
        <v>30</v>
      </c>
      <c r="I6">
        <f t="shared" si="0"/>
        <v>80</v>
      </c>
      <c r="J6" t="s">
        <v>8</v>
      </c>
      <c r="K6">
        <v>179</v>
      </c>
      <c r="L6" t="s">
        <v>312</v>
      </c>
      <c r="M6" t="s">
        <v>7</v>
      </c>
      <c r="N6" t="s">
        <v>454</v>
      </c>
      <c r="O6" t="s">
        <v>454</v>
      </c>
      <c r="P6" t="s">
        <v>124</v>
      </c>
      <c r="R6">
        <f t="shared" si="1"/>
        <v>80</v>
      </c>
    </row>
    <row r="7" spans="1:18" x14ac:dyDescent="0.25">
      <c r="A7" t="s">
        <v>262</v>
      </c>
      <c r="B7" s="1" t="s">
        <v>25</v>
      </c>
      <c r="C7">
        <f>124+108</f>
        <v>232</v>
      </c>
      <c r="D7">
        <f>60+75</f>
        <v>135</v>
      </c>
      <c r="E7">
        <f>16+17</f>
        <v>33</v>
      </c>
      <c r="G7">
        <f>SUM(C7:E7)</f>
        <v>400</v>
      </c>
      <c r="H7">
        <v>220</v>
      </c>
      <c r="I7">
        <f t="shared" si="0"/>
        <v>620</v>
      </c>
      <c r="J7" t="s">
        <v>9</v>
      </c>
      <c r="K7">
        <v>91</v>
      </c>
      <c r="L7" t="s">
        <v>312</v>
      </c>
      <c r="M7" t="s">
        <v>18</v>
      </c>
      <c r="N7" t="s">
        <v>453</v>
      </c>
      <c r="O7" t="s">
        <v>467</v>
      </c>
      <c r="Q7" t="s">
        <v>314</v>
      </c>
      <c r="R7">
        <f t="shared" si="1"/>
        <v>0</v>
      </c>
    </row>
    <row r="8" spans="1:18" x14ac:dyDescent="0.25">
      <c r="A8" t="s">
        <v>27</v>
      </c>
      <c r="B8" s="1" t="s">
        <v>28</v>
      </c>
      <c r="C8">
        <v>34</v>
      </c>
      <c r="D8">
        <v>24</v>
      </c>
      <c r="G8">
        <f>SUM(C8:D8)</f>
        <v>58</v>
      </c>
      <c r="H8">
        <v>29</v>
      </c>
      <c r="I8">
        <f t="shared" si="0"/>
        <v>87</v>
      </c>
      <c r="J8" t="s">
        <v>8</v>
      </c>
      <c r="K8">
        <v>12</v>
      </c>
      <c r="L8" t="s">
        <v>312</v>
      </c>
      <c r="M8" t="s">
        <v>18</v>
      </c>
      <c r="N8" t="s">
        <v>453</v>
      </c>
      <c r="O8" t="s">
        <v>470</v>
      </c>
      <c r="R8">
        <f t="shared" si="1"/>
        <v>0</v>
      </c>
    </row>
    <row r="9" spans="1:18" x14ac:dyDescent="0.25">
      <c r="A9" t="s">
        <v>29</v>
      </c>
      <c r="B9" s="1" t="s">
        <v>30</v>
      </c>
      <c r="C9">
        <f>55+21</f>
        <v>76</v>
      </c>
      <c r="D9">
        <f>37+13</f>
        <v>50</v>
      </c>
      <c r="G9">
        <f>SUM(C9:D9)</f>
        <v>126</v>
      </c>
      <c r="H9">
        <f>30+88</f>
        <v>118</v>
      </c>
      <c r="I9">
        <f t="shared" si="0"/>
        <v>244</v>
      </c>
      <c r="J9" t="s">
        <v>8</v>
      </c>
      <c r="K9">
        <v>54</v>
      </c>
      <c r="L9" t="s">
        <v>312</v>
      </c>
      <c r="M9" t="s">
        <v>18</v>
      </c>
      <c r="N9" t="s">
        <v>453</v>
      </c>
      <c r="O9" t="s">
        <v>470</v>
      </c>
      <c r="Q9" t="s">
        <v>459</v>
      </c>
      <c r="R9">
        <f t="shared" si="1"/>
        <v>0</v>
      </c>
    </row>
    <row r="10" spans="1:18" x14ac:dyDescent="0.25">
      <c r="A10" t="s">
        <v>31</v>
      </c>
      <c r="B10" s="1" t="s">
        <v>32</v>
      </c>
      <c r="G10">
        <v>74</v>
      </c>
      <c r="H10">
        <v>20</v>
      </c>
      <c r="I10">
        <f t="shared" si="0"/>
        <v>94</v>
      </c>
      <c r="J10" t="s">
        <v>33</v>
      </c>
      <c r="K10">
        <v>235</v>
      </c>
      <c r="L10" t="s">
        <v>312</v>
      </c>
      <c r="M10" t="s">
        <v>7</v>
      </c>
      <c r="N10" t="s">
        <v>454</v>
      </c>
      <c r="O10" t="s">
        <v>454</v>
      </c>
      <c r="Q10" t="s">
        <v>455</v>
      </c>
      <c r="R10">
        <f t="shared" si="1"/>
        <v>94</v>
      </c>
    </row>
    <row r="11" spans="1:18" x14ac:dyDescent="0.25">
      <c r="A11" t="s">
        <v>34</v>
      </c>
      <c r="B11" s="1" t="s">
        <v>35</v>
      </c>
      <c r="G11">
        <v>42</v>
      </c>
      <c r="H11">
        <v>15</v>
      </c>
      <c r="I11">
        <f t="shared" si="0"/>
        <v>57</v>
      </c>
      <c r="J11" t="s">
        <v>8</v>
      </c>
      <c r="K11">
        <v>12</v>
      </c>
      <c r="L11" t="s">
        <v>312</v>
      </c>
      <c r="M11" t="s">
        <v>18</v>
      </c>
      <c r="N11" t="s">
        <v>453</v>
      </c>
      <c r="O11" t="s">
        <v>467</v>
      </c>
      <c r="R11">
        <f t="shared" si="1"/>
        <v>0</v>
      </c>
    </row>
    <row r="12" spans="1:18" x14ac:dyDescent="0.25">
      <c r="A12" t="s">
        <v>40</v>
      </c>
      <c r="B12" s="1" t="s">
        <v>315</v>
      </c>
      <c r="G12">
        <v>8</v>
      </c>
      <c r="H12">
        <v>6</v>
      </c>
      <c r="I12">
        <f t="shared" si="0"/>
        <v>14</v>
      </c>
      <c r="J12" t="s">
        <v>9</v>
      </c>
      <c r="K12">
        <v>904</v>
      </c>
      <c r="L12" t="s">
        <v>312</v>
      </c>
      <c r="M12" t="s">
        <v>124</v>
      </c>
      <c r="N12" t="s">
        <v>456</v>
      </c>
      <c r="Q12" t="s">
        <v>41</v>
      </c>
      <c r="R12">
        <f t="shared" si="1"/>
        <v>0</v>
      </c>
    </row>
    <row r="13" spans="1:18" x14ac:dyDescent="0.25">
      <c r="A13" t="s">
        <v>45</v>
      </c>
      <c r="B13" s="1" t="s">
        <v>46</v>
      </c>
      <c r="C13">
        <v>40</v>
      </c>
      <c r="D13">
        <v>38</v>
      </c>
      <c r="G13">
        <f>SUM(C13:D13)</f>
        <v>78</v>
      </c>
      <c r="H13">
        <v>61</v>
      </c>
      <c r="I13">
        <f t="shared" si="0"/>
        <v>139</v>
      </c>
      <c r="J13" t="s">
        <v>8</v>
      </c>
      <c r="K13">
        <v>606</v>
      </c>
      <c r="L13" t="s">
        <v>312</v>
      </c>
      <c r="M13" t="s">
        <v>7</v>
      </c>
      <c r="N13" t="s">
        <v>454</v>
      </c>
      <c r="O13" t="s">
        <v>454</v>
      </c>
      <c r="P13" t="s">
        <v>453</v>
      </c>
      <c r="R13">
        <f t="shared" si="1"/>
        <v>139</v>
      </c>
    </row>
    <row r="14" spans="1:18" x14ac:dyDescent="0.25">
      <c r="A14" t="s">
        <v>54</v>
      </c>
      <c r="B14" s="1" t="s">
        <v>55</v>
      </c>
      <c r="G14">
        <f>208+1358</f>
        <v>1566</v>
      </c>
      <c r="H14">
        <f>208+1970</f>
        <v>2178</v>
      </c>
      <c r="I14">
        <f t="shared" si="0"/>
        <v>3744</v>
      </c>
      <c r="J14" t="s">
        <v>9</v>
      </c>
      <c r="K14">
        <v>2588</v>
      </c>
      <c r="L14" t="s">
        <v>312</v>
      </c>
      <c r="M14" t="s">
        <v>7</v>
      </c>
      <c r="N14" t="s">
        <v>454</v>
      </c>
      <c r="O14" t="s">
        <v>454</v>
      </c>
      <c r="P14" t="s">
        <v>453</v>
      </c>
      <c r="Q14" t="s">
        <v>318</v>
      </c>
      <c r="R14">
        <f t="shared" si="1"/>
        <v>3744</v>
      </c>
    </row>
    <row r="15" spans="1:18" x14ac:dyDescent="0.25">
      <c r="A15" t="s">
        <v>56</v>
      </c>
      <c r="B15" s="1" t="s">
        <v>58</v>
      </c>
      <c r="C15">
        <f>8+47</f>
        <v>55</v>
      </c>
      <c r="D15">
        <f>4+13</f>
        <v>17</v>
      </c>
      <c r="G15">
        <f>SUM(C15:D15)</f>
        <v>72</v>
      </c>
      <c r="H15">
        <v>72</v>
      </c>
      <c r="I15">
        <f t="shared" si="0"/>
        <v>144</v>
      </c>
      <c r="J15" t="s">
        <v>9</v>
      </c>
      <c r="K15">
        <v>577</v>
      </c>
      <c r="L15" t="s">
        <v>312</v>
      </c>
      <c r="M15" t="s">
        <v>7</v>
      </c>
      <c r="N15" t="s">
        <v>454</v>
      </c>
      <c r="O15" t="s">
        <v>454</v>
      </c>
      <c r="P15" t="s">
        <v>453</v>
      </c>
      <c r="Q15" t="s">
        <v>57</v>
      </c>
      <c r="R15">
        <f t="shared" si="1"/>
        <v>144</v>
      </c>
    </row>
    <row r="16" spans="1:18" x14ac:dyDescent="0.25">
      <c r="A16" t="s">
        <v>62</v>
      </c>
      <c r="B16" s="1" t="s">
        <v>68</v>
      </c>
      <c r="C16">
        <v>7</v>
      </c>
      <c r="D16">
        <v>7</v>
      </c>
      <c r="F16">
        <v>3</v>
      </c>
      <c r="G16">
        <f>SUM(C16:F16)</f>
        <v>17</v>
      </c>
      <c r="H16">
        <v>19</v>
      </c>
      <c r="I16">
        <f t="shared" si="0"/>
        <v>36</v>
      </c>
      <c r="J16" t="s">
        <v>63</v>
      </c>
      <c r="K16">
        <v>866</v>
      </c>
      <c r="L16" t="s">
        <v>312</v>
      </c>
      <c r="M16" t="s">
        <v>7</v>
      </c>
      <c r="N16" t="s">
        <v>454</v>
      </c>
      <c r="O16" t="s">
        <v>454</v>
      </c>
      <c r="P16" t="s">
        <v>453</v>
      </c>
      <c r="R16">
        <f t="shared" si="1"/>
        <v>36</v>
      </c>
    </row>
    <row r="17" spans="1:18" x14ac:dyDescent="0.25">
      <c r="A17" t="s">
        <v>65</v>
      </c>
      <c r="B17" s="1" t="s">
        <v>320</v>
      </c>
      <c r="C17">
        <v>5</v>
      </c>
      <c r="D17">
        <v>1</v>
      </c>
      <c r="F17">
        <v>1</v>
      </c>
      <c r="G17">
        <f>SUM(C17:F17)</f>
        <v>7</v>
      </c>
      <c r="H17">
        <v>7</v>
      </c>
      <c r="I17">
        <f t="shared" si="0"/>
        <v>14</v>
      </c>
      <c r="J17" t="s">
        <v>33</v>
      </c>
      <c r="K17">
        <v>1205</v>
      </c>
      <c r="L17" t="s">
        <v>312</v>
      </c>
      <c r="M17" t="s">
        <v>7</v>
      </c>
      <c r="N17" t="s">
        <v>454</v>
      </c>
      <c r="O17" t="s">
        <v>454</v>
      </c>
      <c r="P17" t="s">
        <v>124</v>
      </c>
      <c r="Q17" t="s">
        <v>66</v>
      </c>
      <c r="R17">
        <f t="shared" si="1"/>
        <v>14</v>
      </c>
    </row>
    <row r="18" spans="1:18" x14ac:dyDescent="0.25">
      <c r="A18" t="s">
        <v>67</v>
      </c>
      <c r="B18" s="1" t="s">
        <v>68</v>
      </c>
      <c r="H18">
        <f>7+12</f>
        <v>19</v>
      </c>
      <c r="I18">
        <f t="shared" si="0"/>
        <v>19</v>
      </c>
      <c r="J18" t="s">
        <v>349</v>
      </c>
      <c r="K18">
        <v>866</v>
      </c>
      <c r="L18" t="s">
        <v>312</v>
      </c>
      <c r="M18" t="s">
        <v>7</v>
      </c>
      <c r="N18" t="s">
        <v>454</v>
      </c>
      <c r="O18" t="s">
        <v>454</v>
      </c>
      <c r="P18" t="s">
        <v>453</v>
      </c>
      <c r="Q18" t="s">
        <v>69</v>
      </c>
      <c r="R18">
        <f t="shared" si="1"/>
        <v>19</v>
      </c>
    </row>
    <row r="19" spans="1:18" x14ac:dyDescent="0.25">
      <c r="A19" t="s">
        <v>70</v>
      </c>
      <c r="B19" s="1" t="s">
        <v>72</v>
      </c>
      <c r="C19">
        <v>45</v>
      </c>
      <c r="D19">
        <v>33</v>
      </c>
      <c r="F19">
        <v>7</v>
      </c>
      <c r="G19">
        <f>SUM(C19:F19)</f>
        <v>85</v>
      </c>
      <c r="H19">
        <v>76</v>
      </c>
      <c r="I19">
        <f t="shared" si="0"/>
        <v>161</v>
      </c>
      <c r="J19" t="s">
        <v>33</v>
      </c>
      <c r="K19">
        <v>1941</v>
      </c>
      <c r="L19" t="s">
        <v>312</v>
      </c>
      <c r="M19" t="s">
        <v>7</v>
      </c>
      <c r="N19" t="s">
        <v>454</v>
      </c>
      <c r="O19" t="s">
        <v>454</v>
      </c>
      <c r="P19" t="s">
        <v>124</v>
      </c>
      <c r="Q19" t="s">
        <v>71</v>
      </c>
      <c r="R19">
        <f t="shared" si="1"/>
        <v>161</v>
      </c>
    </row>
    <row r="20" spans="1:18" x14ac:dyDescent="0.25">
      <c r="A20" t="s">
        <v>77</v>
      </c>
      <c r="B20" s="1" t="s">
        <v>78</v>
      </c>
      <c r="G20">
        <f>6+35</f>
        <v>41</v>
      </c>
      <c r="H20">
        <v>41</v>
      </c>
      <c r="I20">
        <f t="shared" si="0"/>
        <v>82</v>
      </c>
      <c r="J20" t="s">
        <v>76</v>
      </c>
      <c r="K20">
        <v>728</v>
      </c>
      <c r="L20" t="s">
        <v>312</v>
      </c>
      <c r="M20" t="s">
        <v>7</v>
      </c>
      <c r="N20" t="s">
        <v>454</v>
      </c>
      <c r="O20" t="s">
        <v>454</v>
      </c>
      <c r="P20" t="s">
        <v>453</v>
      </c>
      <c r="R20">
        <f t="shared" si="1"/>
        <v>82</v>
      </c>
    </row>
    <row r="21" spans="1:18" x14ac:dyDescent="0.25">
      <c r="A21" t="s">
        <v>96</v>
      </c>
      <c r="B21" s="1" t="s">
        <v>95</v>
      </c>
      <c r="C21">
        <v>22</v>
      </c>
      <c r="G21">
        <v>22</v>
      </c>
      <c r="H21">
        <v>23</v>
      </c>
      <c r="I21">
        <f t="shared" si="0"/>
        <v>45</v>
      </c>
      <c r="J21" t="s">
        <v>33</v>
      </c>
      <c r="K21">
        <v>1282</v>
      </c>
      <c r="L21" t="s">
        <v>312</v>
      </c>
      <c r="M21" t="s">
        <v>7</v>
      </c>
      <c r="N21" t="s">
        <v>454</v>
      </c>
      <c r="O21" t="s">
        <v>454</v>
      </c>
      <c r="P21" t="s">
        <v>453</v>
      </c>
      <c r="R21">
        <f t="shared" si="1"/>
        <v>45</v>
      </c>
    </row>
    <row r="22" spans="1:18" x14ac:dyDescent="0.25">
      <c r="A22" t="s">
        <v>100</v>
      </c>
      <c r="B22" s="1" t="s">
        <v>101</v>
      </c>
      <c r="C22">
        <f>27+22</f>
        <v>49</v>
      </c>
      <c r="D22">
        <v>3</v>
      </c>
      <c r="F22">
        <v>2</v>
      </c>
      <c r="G22">
        <f>SUM(C22:F22)</f>
        <v>54</v>
      </c>
      <c r="H22">
        <v>28</v>
      </c>
      <c r="I22">
        <f t="shared" si="0"/>
        <v>82</v>
      </c>
      <c r="J22" t="s">
        <v>8</v>
      </c>
      <c r="K22">
        <v>12</v>
      </c>
      <c r="L22" t="s">
        <v>312</v>
      </c>
      <c r="M22" t="s">
        <v>7</v>
      </c>
      <c r="N22" t="s">
        <v>454</v>
      </c>
      <c r="O22" t="s">
        <v>454</v>
      </c>
      <c r="P22" t="s">
        <v>124</v>
      </c>
      <c r="Q22" t="s">
        <v>102</v>
      </c>
      <c r="R22">
        <f t="shared" si="1"/>
        <v>82</v>
      </c>
    </row>
    <row r="23" spans="1:18" x14ac:dyDescent="0.25">
      <c r="A23" t="s">
        <v>122</v>
      </c>
      <c r="B23" s="1" t="s">
        <v>123</v>
      </c>
      <c r="C23">
        <v>18</v>
      </c>
      <c r="D23">
        <v>23</v>
      </c>
      <c r="E23">
        <v>7</v>
      </c>
      <c r="F23">
        <f>17+9</f>
        <v>26</v>
      </c>
      <c r="G23">
        <f>SUM(C23:F23)</f>
        <v>74</v>
      </c>
      <c r="H23">
        <v>68</v>
      </c>
      <c r="I23">
        <f t="shared" si="0"/>
        <v>142</v>
      </c>
      <c r="J23" t="s">
        <v>8</v>
      </c>
      <c r="K23">
        <v>15</v>
      </c>
      <c r="L23" t="s">
        <v>312</v>
      </c>
      <c r="M23" t="s">
        <v>124</v>
      </c>
      <c r="N23" t="s">
        <v>453</v>
      </c>
      <c r="O23" t="s">
        <v>467</v>
      </c>
      <c r="R23">
        <f t="shared" si="1"/>
        <v>0</v>
      </c>
    </row>
    <row r="24" spans="1:18" x14ac:dyDescent="0.25">
      <c r="A24" t="s">
        <v>125</v>
      </c>
      <c r="B24" s="1" t="s">
        <v>126</v>
      </c>
      <c r="C24">
        <v>101</v>
      </c>
      <c r="D24">
        <v>22</v>
      </c>
      <c r="F24">
        <v>19</v>
      </c>
      <c r="G24">
        <f>SUM(C24:F24)</f>
        <v>142</v>
      </c>
      <c r="H24">
        <v>111</v>
      </c>
      <c r="I24">
        <f t="shared" si="0"/>
        <v>253</v>
      </c>
      <c r="J24" t="s">
        <v>9</v>
      </c>
      <c r="K24">
        <v>9</v>
      </c>
      <c r="L24" t="s">
        <v>312</v>
      </c>
      <c r="M24" t="s">
        <v>124</v>
      </c>
      <c r="N24" t="s">
        <v>453</v>
      </c>
      <c r="O24" t="s">
        <v>467</v>
      </c>
      <c r="R24">
        <f t="shared" si="1"/>
        <v>0</v>
      </c>
    </row>
    <row r="25" spans="1:18" x14ac:dyDescent="0.25">
      <c r="A25" t="s">
        <v>127</v>
      </c>
      <c r="B25" s="1" t="s">
        <v>128</v>
      </c>
      <c r="C25">
        <f>48+134+39+97+33+24</f>
        <v>375</v>
      </c>
      <c r="D25">
        <f>132+103+43+20+16+4</f>
        <v>318</v>
      </c>
      <c r="F25">
        <f>5+19+3+18+6</f>
        <v>51</v>
      </c>
      <c r="G25">
        <f>SUM(C25:F25)</f>
        <v>744</v>
      </c>
      <c r="H25">
        <f>216+190+117+117+273+31</f>
        <v>944</v>
      </c>
      <c r="I25">
        <f t="shared" si="0"/>
        <v>1688</v>
      </c>
      <c r="J25" t="s">
        <v>9</v>
      </c>
      <c r="K25">
        <v>35</v>
      </c>
      <c r="L25" t="s">
        <v>312</v>
      </c>
      <c r="M25" t="s">
        <v>124</v>
      </c>
      <c r="N25" t="s">
        <v>453</v>
      </c>
      <c r="O25" t="s">
        <v>467</v>
      </c>
      <c r="R25">
        <f t="shared" si="1"/>
        <v>0</v>
      </c>
    </row>
    <row r="26" spans="1:18" x14ac:dyDescent="0.25">
      <c r="A26" t="s">
        <v>129</v>
      </c>
      <c r="B26" s="1" t="s">
        <v>130</v>
      </c>
      <c r="C26">
        <f>9+44+29</f>
        <v>82</v>
      </c>
      <c r="D26">
        <f>7+27+40</f>
        <v>74</v>
      </c>
      <c r="G26">
        <f>SUM(C26:D26)</f>
        <v>156</v>
      </c>
      <c r="H26">
        <f>16+69+46</f>
        <v>131</v>
      </c>
      <c r="I26">
        <f t="shared" si="0"/>
        <v>287</v>
      </c>
      <c r="J26" t="s">
        <v>131</v>
      </c>
      <c r="K26">
        <v>372</v>
      </c>
      <c r="L26" t="s">
        <v>312</v>
      </c>
      <c r="M26" t="s">
        <v>124</v>
      </c>
      <c r="N26" t="s">
        <v>453</v>
      </c>
      <c r="O26" t="s">
        <v>470</v>
      </c>
      <c r="Q26" t="s">
        <v>462</v>
      </c>
      <c r="R26">
        <f t="shared" si="1"/>
        <v>0</v>
      </c>
    </row>
    <row r="27" spans="1:18" x14ac:dyDescent="0.25">
      <c r="A27" t="s">
        <v>132</v>
      </c>
      <c r="B27" s="1" t="s">
        <v>133</v>
      </c>
      <c r="G27">
        <v>606</v>
      </c>
      <c r="H27">
        <v>964</v>
      </c>
      <c r="I27">
        <f t="shared" si="0"/>
        <v>1570</v>
      </c>
      <c r="J27" t="s">
        <v>33</v>
      </c>
      <c r="K27">
        <v>15</v>
      </c>
      <c r="L27" t="s">
        <v>312</v>
      </c>
      <c r="M27" t="s">
        <v>7</v>
      </c>
      <c r="N27" t="s">
        <v>454</v>
      </c>
      <c r="O27" t="s">
        <v>454</v>
      </c>
      <c r="P27" t="s">
        <v>453</v>
      </c>
      <c r="Q27" t="s">
        <v>134</v>
      </c>
      <c r="R27">
        <f t="shared" si="1"/>
        <v>1570</v>
      </c>
    </row>
    <row r="28" spans="1:18" x14ac:dyDescent="0.25">
      <c r="A28" t="s">
        <v>135</v>
      </c>
      <c r="B28" s="1" t="s">
        <v>136</v>
      </c>
      <c r="C28">
        <f>19+41</f>
        <v>60</v>
      </c>
      <c r="D28">
        <f>31+15</f>
        <v>46</v>
      </c>
      <c r="G28">
        <f>SUM(C28:D28)</f>
        <v>106</v>
      </c>
      <c r="H28">
        <f>20+50</f>
        <v>70</v>
      </c>
      <c r="I28">
        <f t="shared" si="0"/>
        <v>176</v>
      </c>
      <c r="J28" t="s">
        <v>8</v>
      </c>
      <c r="K28">
        <v>44</v>
      </c>
      <c r="L28" t="s">
        <v>312</v>
      </c>
      <c r="M28" t="s">
        <v>124</v>
      </c>
      <c r="N28" t="s">
        <v>453</v>
      </c>
      <c r="O28" t="s">
        <v>467</v>
      </c>
      <c r="R28">
        <f t="shared" si="1"/>
        <v>0</v>
      </c>
    </row>
    <row r="29" spans="1:18" x14ac:dyDescent="0.25">
      <c r="A29" t="s">
        <v>142</v>
      </c>
      <c r="B29" s="1" t="s">
        <v>143</v>
      </c>
      <c r="C29">
        <f>8+45</f>
        <v>53</v>
      </c>
      <c r="D29">
        <f>13+64</f>
        <v>77</v>
      </c>
      <c r="F29">
        <f>4+17</f>
        <v>21</v>
      </c>
      <c r="G29">
        <f>SUM(C29:F29)</f>
        <v>151</v>
      </c>
      <c r="H29">
        <f>25+60</f>
        <v>85</v>
      </c>
      <c r="I29">
        <f t="shared" si="0"/>
        <v>236</v>
      </c>
      <c r="J29" t="s">
        <v>8</v>
      </c>
      <c r="K29">
        <v>12</v>
      </c>
      <c r="L29" t="s">
        <v>312</v>
      </c>
      <c r="M29" t="s">
        <v>124</v>
      </c>
      <c r="N29" t="s">
        <v>456</v>
      </c>
      <c r="R29">
        <f t="shared" si="1"/>
        <v>0</v>
      </c>
    </row>
    <row r="30" spans="1:18" x14ac:dyDescent="0.25">
      <c r="A30" t="s">
        <v>144</v>
      </c>
      <c r="B30" s="1" t="s">
        <v>145</v>
      </c>
      <c r="C30">
        <f>20+54</f>
        <v>74</v>
      </c>
      <c r="D30">
        <f>16+66</f>
        <v>82</v>
      </c>
      <c r="G30">
        <f>SUM(C30:D30)</f>
        <v>156</v>
      </c>
      <c r="H30">
        <f>36+71</f>
        <v>107</v>
      </c>
      <c r="I30">
        <f t="shared" si="0"/>
        <v>263</v>
      </c>
      <c r="J30" t="s">
        <v>9</v>
      </c>
      <c r="K30">
        <v>11</v>
      </c>
      <c r="L30" t="s">
        <v>312</v>
      </c>
      <c r="M30" t="s">
        <v>124</v>
      </c>
      <c r="N30" t="s">
        <v>453</v>
      </c>
      <c r="O30" t="s">
        <v>467</v>
      </c>
      <c r="R30">
        <f t="shared" si="1"/>
        <v>0</v>
      </c>
    </row>
    <row r="31" spans="1:18" x14ac:dyDescent="0.25">
      <c r="A31" t="s">
        <v>146</v>
      </c>
      <c r="B31" s="1" t="s">
        <v>147</v>
      </c>
      <c r="C31">
        <f>30+36</f>
        <v>66</v>
      </c>
      <c r="D31">
        <f>33+29</f>
        <v>62</v>
      </c>
      <c r="G31">
        <f>SUM(C31:D31)</f>
        <v>128</v>
      </c>
      <c r="H31">
        <f>15+32</f>
        <v>47</v>
      </c>
      <c r="I31">
        <f t="shared" si="0"/>
        <v>175</v>
      </c>
      <c r="J31" t="s">
        <v>9</v>
      </c>
      <c r="K31">
        <v>8</v>
      </c>
      <c r="L31" t="s">
        <v>312</v>
      </c>
      <c r="M31" t="s">
        <v>124</v>
      </c>
      <c r="N31" t="s">
        <v>453</v>
      </c>
      <c r="O31" t="s">
        <v>467</v>
      </c>
      <c r="R31">
        <f t="shared" si="1"/>
        <v>0</v>
      </c>
    </row>
    <row r="32" spans="1:18" x14ac:dyDescent="0.25">
      <c r="A32" t="s">
        <v>148</v>
      </c>
      <c r="B32" s="1" t="s">
        <v>443</v>
      </c>
      <c r="G32">
        <v>43</v>
      </c>
      <c r="H32">
        <v>43</v>
      </c>
      <c r="I32">
        <f t="shared" si="0"/>
        <v>86</v>
      </c>
      <c r="J32" t="s">
        <v>33</v>
      </c>
      <c r="K32">
        <v>4</v>
      </c>
      <c r="L32" t="s">
        <v>312</v>
      </c>
      <c r="M32" t="s">
        <v>124</v>
      </c>
      <c r="N32" t="s">
        <v>453</v>
      </c>
      <c r="O32" t="s">
        <v>467</v>
      </c>
      <c r="R32">
        <f t="shared" si="1"/>
        <v>0</v>
      </c>
    </row>
    <row r="33" spans="1:18" x14ac:dyDescent="0.25">
      <c r="A33" t="s">
        <v>149</v>
      </c>
      <c r="B33" s="1" t="s">
        <v>150</v>
      </c>
      <c r="C33">
        <f>26+156+133</f>
        <v>315</v>
      </c>
      <c r="D33">
        <f>26+122+76</f>
        <v>224</v>
      </c>
      <c r="F33">
        <f>21+67+49</f>
        <v>137</v>
      </c>
      <c r="G33">
        <f>SUM(C33:F33)</f>
        <v>676</v>
      </c>
      <c r="H33">
        <f>33+220+203</f>
        <v>456</v>
      </c>
      <c r="I33">
        <f t="shared" si="0"/>
        <v>1132</v>
      </c>
      <c r="J33" t="s">
        <v>8</v>
      </c>
      <c r="K33">
        <v>732</v>
      </c>
      <c r="L33" t="s">
        <v>312</v>
      </c>
      <c r="M33" t="s">
        <v>124</v>
      </c>
      <c r="N33" t="s">
        <v>453</v>
      </c>
      <c r="O33" t="s">
        <v>467</v>
      </c>
      <c r="R33">
        <f t="shared" si="1"/>
        <v>0</v>
      </c>
    </row>
    <row r="34" spans="1:18" x14ac:dyDescent="0.25">
      <c r="A34" t="s">
        <v>151</v>
      </c>
      <c r="B34" s="1" t="s">
        <v>152</v>
      </c>
      <c r="C34">
        <f>50</f>
        <v>50</v>
      </c>
      <c r="D34">
        <f>35</f>
        <v>35</v>
      </c>
      <c r="G34">
        <f>SUM(C34:D34)</f>
        <v>85</v>
      </c>
      <c r="H34">
        <v>95</v>
      </c>
      <c r="I34">
        <f t="shared" ref="I34:I64" si="2">G34+H34</f>
        <v>180</v>
      </c>
      <c r="J34" t="s">
        <v>9</v>
      </c>
      <c r="K34">
        <v>181</v>
      </c>
      <c r="L34" t="s">
        <v>312</v>
      </c>
      <c r="M34" t="s">
        <v>124</v>
      </c>
      <c r="N34" t="s">
        <v>453</v>
      </c>
      <c r="O34" t="s">
        <v>467</v>
      </c>
      <c r="R34">
        <f t="shared" ref="R34:R64" si="3">I34*(M34="Available")</f>
        <v>0</v>
      </c>
    </row>
    <row r="35" spans="1:18" x14ac:dyDescent="0.25">
      <c r="A35" t="s">
        <v>153</v>
      </c>
      <c r="B35" s="1" t="s">
        <v>154</v>
      </c>
      <c r="G35">
        <v>36</v>
      </c>
      <c r="H35">
        <v>972</v>
      </c>
      <c r="I35">
        <f t="shared" si="2"/>
        <v>1008</v>
      </c>
      <c r="J35" t="s">
        <v>9</v>
      </c>
      <c r="K35">
        <v>12</v>
      </c>
      <c r="L35" t="s">
        <v>312</v>
      </c>
      <c r="M35" t="s">
        <v>7</v>
      </c>
      <c r="N35" t="s">
        <v>454</v>
      </c>
      <c r="O35" t="s">
        <v>454</v>
      </c>
      <c r="P35" t="s">
        <v>453</v>
      </c>
      <c r="Q35" t="s">
        <v>155</v>
      </c>
      <c r="R35">
        <f t="shared" si="3"/>
        <v>1008</v>
      </c>
    </row>
    <row r="36" spans="1:18" x14ac:dyDescent="0.25">
      <c r="A36" t="s">
        <v>156</v>
      </c>
      <c r="B36" s="1" t="s">
        <v>157</v>
      </c>
      <c r="C36">
        <f>6+10</f>
        <v>16</v>
      </c>
      <c r="D36">
        <f>1+6</f>
        <v>7</v>
      </c>
      <c r="E36">
        <f>1+2</f>
        <v>3</v>
      </c>
      <c r="F36">
        <v>7</v>
      </c>
      <c r="G36">
        <f>SUM(C36:F36)</f>
        <v>33</v>
      </c>
      <c r="H36">
        <f>31+11</f>
        <v>42</v>
      </c>
      <c r="I36">
        <f t="shared" si="2"/>
        <v>75</v>
      </c>
      <c r="J36" t="s">
        <v>9</v>
      </c>
      <c r="K36">
        <v>25</v>
      </c>
      <c r="L36" t="s">
        <v>312</v>
      </c>
      <c r="M36" t="s">
        <v>124</v>
      </c>
      <c r="N36" t="s">
        <v>456</v>
      </c>
      <c r="R36">
        <f t="shared" si="3"/>
        <v>0</v>
      </c>
    </row>
    <row r="37" spans="1:18" x14ac:dyDescent="0.25">
      <c r="A37" t="s">
        <v>160</v>
      </c>
      <c r="B37" s="1" t="s">
        <v>161</v>
      </c>
      <c r="G37">
        <v>11</v>
      </c>
      <c r="H37">
        <v>11</v>
      </c>
      <c r="I37">
        <f t="shared" si="2"/>
        <v>22</v>
      </c>
      <c r="J37" t="s">
        <v>8</v>
      </c>
      <c r="K37">
        <v>10</v>
      </c>
      <c r="L37" t="s">
        <v>312</v>
      </c>
      <c r="M37" t="s">
        <v>124</v>
      </c>
      <c r="N37" t="s">
        <v>453</v>
      </c>
      <c r="O37" t="s">
        <v>467</v>
      </c>
      <c r="R37">
        <f t="shared" si="3"/>
        <v>0</v>
      </c>
    </row>
    <row r="38" spans="1:18" x14ac:dyDescent="0.25">
      <c r="A38" t="s">
        <v>164</v>
      </c>
      <c r="B38" s="1" t="s">
        <v>165</v>
      </c>
      <c r="C38">
        <v>27</v>
      </c>
      <c r="D38">
        <v>13</v>
      </c>
      <c r="G38">
        <f>SUM(C38:D38)</f>
        <v>40</v>
      </c>
      <c r="H38">
        <v>10</v>
      </c>
      <c r="I38">
        <f t="shared" si="2"/>
        <v>50</v>
      </c>
      <c r="J38" t="s">
        <v>8</v>
      </c>
      <c r="K38">
        <v>15</v>
      </c>
      <c r="L38" t="s">
        <v>312</v>
      </c>
      <c r="M38" t="s">
        <v>124</v>
      </c>
      <c r="N38" t="s">
        <v>453</v>
      </c>
      <c r="O38" t="s">
        <v>467</v>
      </c>
      <c r="R38">
        <f t="shared" si="3"/>
        <v>0</v>
      </c>
    </row>
    <row r="39" spans="1:18" x14ac:dyDescent="0.25">
      <c r="A39" t="s">
        <v>168</v>
      </c>
      <c r="B39" s="1" t="s">
        <v>169</v>
      </c>
      <c r="C39">
        <f>23+3</f>
        <v>26</v>
      </c>
      <c r="D39">
        <f>30+28</f>
        <v>58</v>
      </c>
      <c r="G39">
        <f>SUM(C39:D39)</f>
        <v>84</v>
      </c>
      <c r="H39">
        <v>165</v>
      </c>
      <c r="I39">
        <f t="shared" si="2"/>
        <v>249</v>
      </c>
      <c r="J39" t="s">
        <v>9</v>
      </c>
      <c r="K39">
        <v>1891</v>
      </c>
      <c r="L39" t="s">
        <v>312</v>
      </c>
      <c r="M39" t="s">
        <v>18</v>
      </c>
      <c r="N39" t="s">
        <v>453</v>
      </c>
      <c r="O39" t="s">
        <v>467</v>
      </c>
      <c r="Q39" t="s">
        <v>171</v>
      </c>
      <c r="R39">
        <f t="shared" si="3"/>
        <v>0</v>
      </c>
    </row>
    <row r="40" spans="1:18" x14ac:dyDescent="0.25">
      <c r="A40" t="s">
        <v>179</v>
      </c>
      <c r="B40" s="1" t="s">
        <v>180</v>
      </c>
      <c r="C40">
        <v>57</v>
      </c>
      <c r="D40">
        <v>74</v>
      </c>
      <c r="F40">
        <v>21</v>
      </c>
      <c r="G40">
        <f>SUM(C40:F40)</f>
        <v>152</v>
      </c>
      <c r="H40">
        <v>300</v>
      </c>
      <c r="I40">
        <f t="shared" si="2"/>
        <v>452</v>
      </c>
      <c r="J40" t="s">
        <v>9</v>
      </c>
      <c r="K40">
        <v>4</v>
      </c>
      <c r="L40" t="s">
        <v>312</v>
      </c>
      <c r="M40" t="s">
        <v>124</v>
      </c>
      <c r="N40" t="s">
        <v>453</v>
      </c>
      <c r="O40" t="s">
        <v>467</v>
      </c>
      <c r="R40">
        <f t="shared" si="3"/>
        <v>0</v>
      </c>
    </row>
    <row r="41" spans="1:18" x14ac:dyDescent="0.25">
      <c r="A41" t="s">
        <v>181</v>
      </c>
      <c r="B41" s="1" t="s">
        <v>182</v>
      </c>
      <c r="C41">
        <v>34</v>
      </c>
      <c r="D41">
        <v>36</v>
      </c>
      <c r="G41">
        <f>SUM(C41:D41)</f>
        <v>70</v>
      </c>
      <c r="H41">
        <v>44</v>
      </c>
      <c r="I41">
        <f t="shared" si="2"/>
        <v>114</v>
      </c>
      <c r="J41" t="s">
        <v>9</v>
      </c>
      <c r="K41">
        <v>723</v>
      </c>
      <c r="L41" t="s">
        <v>312</v>
      </c>
      <c r="M41" t="s">
        <v>124</v>
      </c>
      <c r="N41" t="s">
        <v>453</v>
      </c>
      <c r="O41" t="s">
        <v>467</v>
      </c>
      <c r="R41">
        <f t="shared" si="3"/>
        <v>0</v>
      </c>
    </row>
    <row r="42" spans="1:18" x14ac:dyDescent="0.25">
      <c r="A42" t="s">
        <v>184</v>
      </c>
      <c r="B42" s="1" t="s">
        <v>185</v>
      </c>
      <c r="G42">
        <v>30</v>
      </c>
      <c r="H42">
        <v>75</v>
      </c>
      <c r="I42">
        <f t="shared" si="2"/>
        <v>105</v>
      </c>
      <c r="J42" t="s">
        <v>8</v>
      </c>
      <c r="K42">
        <v>84</v>
      </c>
      <c r="L42" t="s">
        <v>312</v>
      </c>
      <c r="M42" t="s">
        <v>124</v>
      </c>
      <c r="N42" t="s">
        <v>456</v>
      </c>
      <c r="R42">
        <f t="shared" si="3"/>
        <v>0</v>
      </c>
    </row>
    <row r="43" spans="1:18" x14ac:dyDescent="0.25">
      <c r="A43" t="s">
        <v>186</v>
      </c>
      <c r="B43" s="1" t="s">
        <v>187</v>
      </c>
      <c r="C43">
        <f>16+10+34</f>
        <v>60</v>
      </c>
      <c r="D43">
        <f>10+10+13</f>
        <v>33</v>
      </c>
      <c r="G43">
        <f>SUM(C43:D43)</f>
        <v>93</v>
      </c>
      <c r="H43">
        <f>12+30+13</f>
        <v>55</v>
      </c>
      <c r="I43">
        <f t="shared" si="2"/>
        <v>148</v>
      </c>
      <c r="J43" t="s">
        <v>8</v>
      </c>
      <c r="K43">
        <v>956</v>
      </c>
      <c r="L43" t="s">
        <v>312</v>
      </c>
      <c r="M43" t="s">
        <v>7</v>
      </c>
      <c r="N43" t="s">
        <v>454</v>
      </c>
      <c r="O43" t="s">
        <v>454</v>
      </c>
      <c r="P43" t="s">
        <v>124</v>
      </c>
      <c r="Q43" t="s">
        <v>188</v>
      </c>
      <c r="R43">
        <f t="shared" si="3"/>
        <v>148</v>
      </c>
    </row>
    <row r="44" spans="1:18" x14ac:dyDescent="0.25">
      <c r="A44" t="s">
        <v>189</v>
      </c>
      <c r="B44" s="1" t="s">
        <v>190</v>
      </c>
      <c r="C44">
        <f>90+21</f>
        <v>111</v>
      </c>
      <c r="D44">
        <v>22</v>
      </c>
      <c r="G44">
        <f>SUM(C44:D44)</f>
        <v>133</v>
      </c>
      <c r="H44">
        <f>23+20+40</f>
        <v>83</v>
      </c>
      <c r="I44">
        <f t="shared" si="2"/>
        <v>216</v>
      </c>
      <c r="J44" t="s">
        <v>9</v>
      </c>
      <c r="K44">
        <v>4</v>
      </c>
      <c r="L44" t="s">
        <v>312</v>
      </c>
      <c r="M44" t="s">
        <v>124</v>
      </c>
      <c r="N44" t="s">
        <v>453</v>
      </c>
      <c r="O44" t="s">
        <v>467</v>
      </c>
      <c r="R44">
        <f t="shared" si="3"/>
        <v>0</v>
      </c>
    </row>
    <row r="45" spans="1:18" x14ac:dyDescent="0.25">
      <c r="A45" t="s">
        <v>192</v>
      </c>
      <c r="B45" s="1" t="s">
        <v>193</v>
      </c>
      <c r="C45">
        <f>76+56</f>
        <v>132</v>
      </c>
      <c r="D45">
        <f>16+12</f>
        <v>28</v>
      </c>
      <c r="E45">
        <v>4</v>
      </c>
      <c r="G45">
        <f>SUM(C45:E45)</f>
        <v>164</v>
      </c>
      <c r="H45">
        <f>58+54</f>
        <v>112</v>
      </c>
      <c r="I45">
        <f t="shared" si="2"/>
        <v>276</v>
      </c>
      <c r="J45" t="s">
        <v>9</v>
      </c>
      <c r="K45">
        <v>12</v>
      </c>
      <c r="L45" t="s">
        <v>312</v>
      </c>
      <c r="M45" t="s">
        <v>124</v>
      </c>
      <c r="N45" t="s">
        <v>453</v>
      </c>
      <c r="O45" t="s">
        <v>467</v>
      </c>
      <c r="R45">
        <f t="shared" si="3"/>
        <v>0</v>
      </c>
    </row>
    <row r="46" spans="1:18" x14ac:dyDescent="0.25">
      <c r="A46" t="s">
        <v>194</v>
      </c>
      <c r="B46" s="1" t="s">
        <v>195</v>
      </c>
      <c r="C46">
        <f>38+98</f>
        <v>136</v>
      </c>
      <c r="D46">
        <v>2</v>
      </c>
      <c r="G46">
        <f>SUM(C46:D46)</f>
        <v>138</v>
      </c>
      <c r="H46">
        <f>16+58</f>
        <v>74</v>
      </c>
      <c r="I46">
        <f t="shared" si="2"/>
        <v>212</v>
      </c>
      <c r="J46" t="s">
        <v>9</v>
      </c>
      <c r="K46">
        <v>754</v>
      </c>
      <c r="L46" t="s">
        <v>312</v>
      </c>
      <c r="M46" t="s">
        <v>7</v>
      </c>
      <c r="N46" t="s">
        <v>454</v>
      </c>
      <c r="O46" t="s">
        <v>454</v>
      </c>
      <c r="P46" t="s">
        <v>124</v>
      </c>
      <c r="R46">
        <f t="shared" si="3"/>
        <v>212</v>
      </c>
    </row>
    <row r="47" spans="1:18" x14ac:dyDescent="0.25">
      <c r="A47" t="s">
        <v>196</v>
      </c>
      <c r="B47" s="1" t="s">
        <v>197</v>
      </c>
      <c r="G47">
        <f>28+78</f>
        <v>106</v>
      </c>
      <c r="H47">
        <f>20+48</f>
        <v>68</v>
      </c>
      <c r="I47">
        <f t="shared" si="2"/>
        <v>174</v>
      </c>
      <c r="J47" t="s">
        <v>8</v>
      </c>
      <c r="K47">
        <v>365</v>
      </c>
      <c r="L47" t="s">
        <v>312</v>
      </c>
      <c r="M47" t="s">
        <v>124</v>
      </c>
      <c r="N47" t="s">
        <v>456</v>
      </c>
      <c r="Q47" t="s">
        <v>457</v>
      </c>
      <c r="R47">
        <f t="shared" si="3"/>
        <v>0</v>
      </c>
    </row>
    <row r="48" spans="1:18" x14ac:dyDescent="0.25">
      <c r="A48" t="s">
        <v>199</v>
      </c>
      <c r="B48" s="1" t="s">
        <v>200</v>
      </c>
      <c r="G48">
        <v>12</v>
      </c>
      <c r="H48">
        <v>6</v>
      </c>
      <c r="I48">
        <f t="shared" si="2"/>
        <v>18</v>
      </c>
      <c r="J48" t="s">
        <v>8</v>
      </c>
      <c r="K48">
        <v>8</v>
      </c>
      <c r="L48" t="s">
        <v>312</v>
      </c>
      <c r="M48" t="s">
        <v>124</v>
      </c>
      <c r="N48" t="s">
        <v>456</v>
      </c>
      <c r="R48">
        <f t="shared" si="3"/>
        <v>0</v>
      </c>
    </row>
    <row r="49" spans="1:18" x14ac:dyDescent="0.25">
      <c r="A49" t="s">
        <v>204</v>
      </c>
      <c r="B49" s="1" t="s">
        <v>205</v>
      </c>
      <c r="C49">
        <v>101</v>
      </c>
      <c r="D49">
        <v>22</v>
      </c>
      <c r="F49">
        <v>19</v>
      </c>
      <c r="G49">
        <f>SUM(C49:F49)</f>
        <v>142</v>
      </c>
      <c r="H49">
        <v>111</v>
      </c>
      <c r="I49">
        <f t="shared" si="2"/>
        <v>253</v>
      </c>
      <c r="J49" t="s">
        <v>9</v>
      </c>
      <c r="K49">
        <v>9</v>
      </c>
      <c r="L49" t="s">
        <v>312</v>
      </c>
      <c r="M49" t="s">
        <v>124</v>
      </c>
      <c r="N49" t="s">
        <v>453</v>
      </c>
      <c r="O49" t="s">
        <v>467</v>
      </c>
      <c r="R49">
        <f t="shared" si="3"/>
        <v>0</v>
      </c>
    </row>
    <row r="50" spans="1:18" x14ac:dyDescent="0.25">
      <c r="A50" t="s">
        <v>218</v>
      </c>
      <c r="B50" s="1" t="s">
        <v>219</v>
      </c>
      <c r="C50">
        <v>39</v>
      </c>
      <c r="D50">
        <v>26</v>
      </c>
      <c r="G50">
        <f>SUM(C50:D50)</f>
        <v>65</v>
      </c>
      <c r="H50">
        <v>37</v>
      </c>
      <c r="I50">
        <f t="shared" si="2"/>
        <v>102</v>
      </c>
      <c r="J50" t="s">
        <v>9</v>
      </c>
      <c r="K50">
        <v>4</v>
      </c>
      <c r="L50" t="s">
        <v>312</v>
      </c>
      <c r="M50" t="s">
        <v>124</v>
      </c>
      <c r="N50" t="s">
        <v>453</v>
      </c>
      <c r="O50" t="s">
        <v>467</v>
      </c>
      <c r="R50">
        <f t="shared" si="3"/>
        <v>0</v>
      </c>
    </row>
    <row r="51" spans="1:18" x14ac:dyDescent="0.25">
      <c r="A51" t="s">
        <v>220</v>
      </c>
      <c r="B51" s="1" t="s">
        <v>221</v>
      </c>
      <c r="C51">
        <f>10+50</f>
        <v>60</v>
      </c>
      <c r="G51">
        <f>C51</f>
        <v>60</v>
      </c>
      <c r="H51">
        <f>10+25</f>
        <v>35</v>
      </c>
      <c r="I51">
        <f t="shared" si="2"/>
        <v>95</v>
      </c>
      <c r="J51" t="s">
        <v>8</v>
      </c>
      <c r="K51">
        <v>14</v>
      </c>
      <c r="L51" t="s">
        <v>312</v>
      </c>
      <c r="M51" t="s">
        <v>124</v>
      </c>
      <c r="N51" t="s">
        <v>453</v>
      </c>
      <c r="O51" t="s">
        <v>467</v>
      </c>
      <c r="R51">
        <f t="shared" si="3"/>
        <v>0</v>
      </c>
    </row>
    <row r="52" spans="1:18" x14ac:dyDescent="0.25">
      <c r="A52" t="s">
        <v>226</v>
      </c>
      <c r="B52" s="1" t="s">
        <v>227</v>
      </c>
      <c r="C52">
        <v>63</v>
      </c>
      <c r="D52">
        <v>22</v>
      </c>
      <c r="F52">
        <v>1</v>
      </c>
      <c r="G52">
        <f>SUM(C52:F52)</f>
        <v>86</v>
      </c>
      <c r="H52">
        <v>24</v>
      </c>
      <c r="I52">
        <f t="shared" si="2"/>
        <v>110</v>
      </c>
      <c r="J52" t="s">
        <v>228</v>
      </c>
      <c r="K52">
        <v>14</v>
      </c>
      <c r="L52" t="s">
        <v>312</v>
      </c>
      <c r="M52" t="s">
        <v>124</v>
      </c>
      <c r="N52" t="s">
        <v>453</v>
      </c>
      <c r="O52" t="s">
        <v>467</v>
      </c>
      <c r="R52">
        <f t="shared" si="3"/>
        <v>0</v>
      </c>
    </row>
    <row r="53" spans="1:18" x14ac:dyDescent="0.25">
      <c r="A53" t="s">
        <v>236</v>
      </c>
      <c r="B53" s="1" t="s">
        <v>237</v>
      </c>
      <c r="C53">
        <v>180</v>
      </c>
      <c r="G53">
        <f>C53</f>
        <v>180</v>
      </c>
      <c r="H53">
        <v>180</v>
      </c>
      <c r="I53">
        <f t="shared" si="2"/>
        <v>360</v>
      </c>
      <c r="J53" t="s">
        <v>9</v>
      </c>
      <c r="K53">
        <v>766</v>
      </c>
      <c r="L53" t="s">
        <v>312</v>
      </c>
      <c r="M53" t="s">
        <v>124</v>
      </c>
      <c r="N53" t="s">
        <v>453</v>
      </c>
      <c r="O53" t="s">
        <v>467</v>
      </c>
      <c r="R53">
        <f t="shared" si="3"/>
        <v>0</v>
      </c>
    </row>
    <row r="54" spans="1:18" x14ac:dyDescent="0.25">
      <c r="A54" t="s">
        <v>238</v>
      </c>
      <c r="B54" s="1" t="s">
        <v>239</v>
      </c>
      <c r="C54">
        <f>60+55</f>
        <v>115</v>
      </c>
      <c r="D54">
        <f>10+29</f>
        <v>39</v>
      </c>
      <c r="G54">
        <f>SUM(C54:D54)</f>
        <v>154</v>
      </c>
      <c r="H54">
        <f>22+23</f>
        <v>45</v>
      </c>
      <c r="I54">
        <f t="shared" si="2"/>
        <v>199</v>
      </c>
      <c r="J54" t="s">
        <v>9</v>
      </c>
      <c r="K54">
        <v>334</v>
      </c>
      <c r="L54" t="s">
        <v>312</v>
      </c>
      <c r="M54" t="s">
        <v>124</v>
      </c>
      <c r="N54" t="s">
        <v>453</v>
      </c>
      <c r="O54" t="s">
        <v>467</v>
      </c>
      <c r="R54">
        <f t="shared" si="3"/>
        <v>0</v>
      </c>
    </row>
    <row r="55" spans="1:18" x14ac:dyDescent="0.25">
      <c r="A55" t="s">
        <v>240</v>
      </c>
      <c r="B55" s="1" t="s">
        <v>241</v>
      </c>
      <c r="C55">
        <f>33+31</f>
        <v>64</v>
      </c>
      <c r="D55">
        <f>29+28</f>
        <v>57</v>
      </c>
      <c r="E55">
        <f>7+4</f>
        <v>11</v>
      </c>
      <c r="G55">
        <f>SUM(C55:E55)</f>
        <v>132</v>
      </c>
      <c r="H55">
        <f>66+63</f>
        <v>129</v>
      </c>
      <c r="I55">
        <f t="shared" si="2"/>
        <v>261</v>
      </c>
      <c r="J55" t="s">
        <v>8</v>
      </c>
      <c r="K55">
        <v>375</v>
      </c>
      <c r="L55" t="s">
        <v>312</v>
      </c>
      <c r="M55" t="s">
        <v>124</v>
      </c>
      <c r="N55" t="s">
        <v>453</v>
      </c>
      <c r="O55" t="s">
        <v>470</v>
      </c>
      <c r="Q55" t="s">
        <v>461</v>
      </c>
      <c r="R55">
        <f t="shared" si="3"/>
        <v>0</v>
      </c>
    </row>
    <row r="56" spans="1:18" x14ac:dyDescent="0.25">
      <c r="A56" t="s">
        <v>244</v>
      </c>
      <c r="B56" s="1" t="s">
        <v>245</v>
      </c>
      <c r="C56">
        <v>30</v>
      </c>
      <c r="D56">
        <v>35</v>
      </c>
      <c r="F56">
        <v>25</v>
      </c>
      <c r="G56">
        <f>SUM(C56:F56)</f>
        <v>90</v>
      </c>
      <c r="H56">
        <v>85</v>
      </c>
      <c r="I56">
        <f t="shared" si="2"/>
        <v>175</v>
      </c>
      <c r="J56" t="s">
        <v>8</v>
      </c>
      <c r="K56">
        <v>4</v>
      </c>
      <c r="L56" t="s">
        <v>312</v>
      </c>
      <c r="M56" t="s">
        <v>124</v>
      </c>
      <c r="N56" t="s">
        <v>453</v>
      </c>
      <c r="O56" t="s">
        <v>469</v>
      </c>
      <c r="R56">
        <f t="shared" si="3"/>
        <v>0</v>
      </c>
    </row>
    <row r="57" spans="1:18" x14ac:dyDescent="0.25">
      <c r="A57" t="s">
        <v>246</v>
      </c>
      <c r="B57" s="1" t="s">
        <v>247</v>
      </c>
      <c r="C57">
        <v>40</v>
      </c>
      <c r="G57">
        <f>C57</f>
        <v>40</v>
      </c>
      <c r="H57">
        <v>40</v>
      </c>
      <c r="I57">
        <f t="shared" si="2"/>
        <v>80</v>
      </c>
      <c r="J57" t="s">
        <v>9</v>
      </c>
      <c r="K57">
        <v>390</v>
      </c>
      <c r="L57" t="s">
        <v>312</v>
      </c>
      <c r="M57" t="s">
        <v>124</v>
      </c>
      <c r="N57" t="s">
        <v>453</v>
      </c>
      <c r="O57" t="s">
        <v>467</v>
      </c>
      <c r="R57">
        <f t="shared" si="3"/>
        <v>0</v>
      </c>
    </row>
    <row r="58" spans="1:18" x14ac:dyDescent="0.25">
      <c r="A58" t="s">
        <v>269</v>
      </c>
      <c r="B58" s="1" t="s">
        <v>270</v>
      </c>
      <c r="C58">
        <v>99</v>
      </c>
      <c r="D58">
        <v>58</v>
      </c>
      <c r="F58">
        <f>35+28</f>
        <v>63</v>
      </c>
      <c r="G58">
        <f>SUM(C58:F58)</f>
        <v>220</v>
      </c>
      <c r="H58">
        <v>220</v>
      </c>
      <c r="I58">
        <f t="shared" si="2"/>
        <v>440</v>
      </c>
      <c r="J58" t="s">
        <v>99</v>
      </c>
      <c r="K58">
        <v>30</v>
      </c>
      <c r="L58" t="s">
        <v>312</v>
      </c>
      <c r="M58" t="s">
        <v>124</v>
      </c>
      <c r="N58" t="s">
        <v>453</v>
      </c>
      <c r="O58" t="s">
        <v>464</v>
      </c>
      <c r="R58">
        <f t="shared" si="3"/>
        <v>0</v>
      </c>
    </row>
    <row r="59" spans="1:18" x14ac:dyDescent="0.25">
      <c r="A59" t="s">
        <v>248</v>
      </c>
      <c r="B59" s="1" t="s">
        <v>249</v>
      </c>
      <c r="G59">
        <v>35</v>
      </c>
      <c r="H59">
        <v>28</v>
      </c>
      <c r="I59">
        <f t="shared" si="2"/>
        <v>63</v>
      </c>
      <c r="J59" t="s">
        <v>9</v>
      </c>
      <c r="K59">
        <v>4</v>
      </c>
      <c r="L59" t="s">
        <v>312</v>
      </c>
      <c r="M59" t="s">
        <v>124</v>
      </c>
      <c r="N59" t="s">
        <v>456</v>
      </c>
      <c r="R59">
        <f t="shared" si="3"/>
        <v>0</v>
      </c>
    </row>
    <row r="60" spans="1:18" x14ac:dyDescent="0.25">
      <c r="A60" t="s">
        <v>250</v>
      </c>
      <c r="B60" s="1" t="s">
        <v>251</v>
      </c>
      <c r="C60">
        <v>170</v>
      </c>
      <c r="G60">
        <f>C60</f>
        <v>170</v>
      </c>
      <c r="H60">
        <v>170</v>
      </c>
      <c r="I60">
        <f t="shared" si="2"/>
        <v>340</v>
      </c>
      <c r="J60" t="s">
        <v>9</v>
      </c>
      <c r="K60">
        <v>168</v>
      </c>
      <c r="L60" t="s">
        <v>312</v>
      </c>
      <c r="M60" t="s">
        <v>124</v>
      </c>
      <c r="N60" t="s">
        <v>453</v>
      </c>
      <c r="O60" t="s">
        <v>467</v>
      </c>
      <c r="R60">
        <f t="shared" si="3"/>
        <v>0</v>
      </c>
    </row>
    <row r="61" spans="1:18" x14ac:dyDescent="0.25">
      <c r="A61" t="s">
        <v>257</v>
      </c>
      <c r="B61" s="1" t="s">
        <v>256</v>
      </c>
      <c r="C61">
        <v>141</v>
      </c>
      <c r="G61">
        <f>C61</f>
        <v>141</v>
      </c>
      <c r="H61">
        <v>124</v>
      </c>
      <c r="I61">
        <f t="shared" si="2"/>
        <v>265</v>
      </c>
      <c r="J61" t="s">
        <v>8</v>
      </c>
      <c r="K61">
        <v>168</v>
      </c>
      <c r="L61" t="s">
        <v>312</v>
      </c>
      <c r="M61" t="s">
        <v>124</v>
      </c>
      <c r="N61" t="s">
        <v>453</v>
      </c>
      <c r="O61" t="s">
        <v>467</v>
      </c>
      <c r="R61">
        <f t="shared" si="3"/>
        <v>0</v>
      </c>
    </row>
    <row r="62" spans="1:18" x14ac:dyDescent="0.25">
      <c r="A62" t="s">
        <v>259</v>
      </c>
      <c r="B62" s="1" t="s">
        <v>260</v>
      </c>
      <c r="C62">
        <v>30</v>
      </c>
      <c r="D62">
        <v>26</v>
      </c>
      <c r="E62">
        <v>3</v>
      </c>
      <c r="G62">
        <f>SUM(C62:E62)</f>
        <v>59</v>
      </c>
      <c r="H62">
        <v>59</v>
      </c>
      <c r="I62">
        <f t="shared" si="2"/>
        <v>118</v>
      </c>
      <c r="J62" t="s">
        <v>8</v>
      </c>
      <c r="K62">
        <v>10</v>
      </c>
      <c r="L62" t="s">
        <v>312</v>
      </c>
      <c r="M62" t="s">
        <v>124</v>
      </c>
      <c r="N62" t="s">
        <v>453</v>
      </c>
      <c r="O62" t="s">
        <v>467</v>
      </c>
      <c r="R62">
        <f t="shared" si="3"/>
        <v>0</v>
      </c>
    </row>
    <row r="63" spans="1:18" x14ac:dyDescent="0.25">
      <c r="A63" t="s">
        <v>263</v>
      </c>
      <c r="B63" s="1" t="s">
        <v>264</v>
      </c>
      <c r="C63">
        <v>18</v>
      </c>
      <c r="D63">
        <v>14</v>
      </c>
      <c r="G63">
        <f>SUM(C63:D63)</f>
        <v>32</v>
      </c>
      <c r="H63">
        <v>29</v>
      </c>
      <c r="I63">
        <f t="shared" si="2"/>
        <v>61</v>
      </c>
      <c r="J63" t="s">
        <v>8</v>
      </c>
      <c r="K63">
        <v>5</v>
      </c>
      <c r="L63" t="s">
        <v>312</v>
      </c>
      <c r="M63" t="s">
        <v>124</v>
      </c>
      <c r="N63" t="s">
        <v>453</v>
      </c>
      <c r="O63" t="s">
        <v>470</v>
      </c>
      <c r="Q63" t="s">
        <v>460</v>
      </c>
      <c r="R63">
        <f t="shared" si="3"/>
        <v>0</v>
      </c>
    </row>
    <row r="64" spans="1:18" x14ac:dyDescent="0.25">
      <c r="A64" t="s">
        <v>265</v>
      </c>
      <c r="B64" s="1" t="s">
        <v>266</v>
      </c>
      <c r="C64">
        <v>28</v>
      </c>
      <c r="D64">
        <v>7</v>
      </c>
      <c r="F64">
        <v>6</v>
      </c>
      <c r="G64">
        <f>SUM(C64:F64)</f>
        <v>41</v>
      </c>
      <c r="H64">
        <v>15</v>
      </c>
      <c r="I64">
        <f t="shared" si="2"/>
        <v>56</v>
      </c>
      <c r="J64" t="s">
        <v>8</v>
      </c>
      <c r="K64">
        <v>100</v>
      </c>
      <c r="L64" t="s">
        <v>312</v>
      </c>
      <c r="M64" t="s">
        <v>124</v>
      </c>
      <c r="N64" t="s">
        <v>453</v>
      </c>
      <c r="O64" t="s">
        <v>466</v>
      </c>
      <c r="R64">
        <f t="shared" si="3"/>
        <v>0</v>
      </c>
    </row>
    <row r="65" spans="1:18" x14ac:dyDescent="0.25">
      <c r="A65" t="s">
        <v>267</v>
      </c>
      <c r="B65" s="1" t="s">
        <v>268</v>
      </c>
      <c r="C65">
        <v>17</v>
      </c>
      <c r="D65">
        <v>13</v>
      </c>
      <c r="F65">
        <v>32</v>
      </c>
      <c r="G65">
        <f>SUM(C65:F65)</f>
        <v>62</v>
      </c>
      <c r="H65">
        <v>20</v>
      </c>
      <c r="I65">
        <f t="shared" ref="I65:I96" si="4">G65+H65</f>
        <v>82</v>
      </c>
      <c r="J65" t="s">
        <v>9</v>
      </c>
      <c r="K65">
        <v>6</v>
      </c>
      <c r="L65" t="s">
        <v>312</v>
      </c>
      <c r="M65" t="s">
        <v>124</v>
      </c>
      <c r="N65" t="s">
        <v>456</v>
      </c>
      <c r="R65">
        <f t="shared" ref="R65:R96" si="5">I65*(M65="Available")</f>
        <v>0</v>
      </c>
    </row>
    <row r="66" spans="1:18" x14ac:dyDescent="0.25">
      <c r="A66" t="s">
        <v>272</v>
      </c>
      <c r="B66" s="1" t="s">
        <v>273</v>
      </c>
      <c r="C66">
        <v>33</v>
      </c>
      <c r="D66">
        <v>8</v>
      </c>
      <c r="E66">
        <v>2</v>
      </c>
      <c r="F66">
        <v>1</v>
      </c>
      <c r="G66">
        <f>SUM(C66:F66)</f>
        <v>44</v>
      </c>
      <c r="H66">
        <v>45</v>
      </c>
      <c r="I66">
        <f t="shared" si="4"/>
        <v>89</v>
      </c>
      <c r="J66" t="s">
        <v>9</v>
      </c>
      <c r="K66">
        <v>18</v>
      </c>
      <c r="L66" t="s">
        <v>312</v>
      </c>
      <c r="M66" t="s">
        <v>124</v>
      </c>
      <c r="N66" t="s">
        <v>453</v>
      </c>
      <c r="O66" t="s">
        <v>467</v>
      </c>
      <c r="R66">
        <f t="shared" si="5"/>
        <v>0</v>
      </c>
    </row>
    <row r="67" spans="1:18" x14ac:dyDescent="0.25">
      <c r="A67" t="s">
        <v>274</v>
      </c>
      <c r="B67" s="1" t="s">
        <v>275</v>
      </c>
      <c r="C67">
        <v>110</v>
      </c>
      <c r="G67">
        <f>C67</f>
        <v>110</v>
      </c>
      <c r="H67">
        <v>52</v>
      </c>
      <c r="I67">
        <f t="shared" si="4"/>
        <v>162</v>
      </c>
      <c r="J67" t="s">
        <v>9</v>
      </c>
      <c r="K67">
        <v>768</v>
      </c>
      <c r="L67" t="s">
        <v>312</v>
      </c>
      <c r="M67" t="s">
        <v>124</v>
      </c>
      <c r="N67" t="s">
        <v>453</v>
      </c>
      <c r="O67" t="s">
        <v>467</v>
      </c>
      <c r="Q67" t="s">
        <v>276</v>
      </c>
      <c r="R67">
        <f t="shared" si="5"/>
        <v>0</v>
      </c>
    </row>
    <row r="68" spans="1:18" x14ac:dyDescent="0.25">
      <c r="A68" t="s">
        <v>277</v>
      </c>
      <c r="B68" s="1" t="s">
        <v>278</v>
      </c>
      <c r="C68">
        <v>50</v>
      </c>
      <c r="G68">
        <f>C68</f>
        <v>50</v>
      </c>
      <c r="H68">
        <v>50</v>
      </c>
      <c r="I68">
        <f t="shared" si="4"/>
        <v>100</v>
      </c>
      <c r="J68" t="s">
        <v>9</v>
      </c>
      <c r="K68">
        <v>233</v>
      </c>
      <c r="L68" t="s">
        <v>312</v>
      </c>
      <c r="M68" t="s">
        <v>124</v>
      </c>
      <c r="N68" t="s">
        <v>453</v>
      </c>
      <c r="O68" t="s">
        <v>467</v>
      </c>
      <c r="R68">
        <f t="shared" si="5"/>
        <v>0</v>
      </c>
    </row>
    <row r="69" spans="1:18" x14ac:dyDescent="0.25">
      <c r="A69" t="s">
        <v>279</v>
      </c>
      <c r="B69" s="1" t="s">
        <v>280</v>
      </c>
      <c r="C69">
        <v>79</v>
      </c>
      <c r="D69">
        <v>50</v>
      </c>
      <c r="E69">
        <v>2</v>
      </c>
      <c r="F69">
        <f>7+22</f>
        <v>29</v>
      </c>
      <c r="G69">
        <f>SUM(C69:F69)</f>
        <v>160</v>
      </c>
      <c r="H69">
        <v>45</v>
      </c>
      <c r="I69">
        <f t="shared" si="4"/>
        <v>205</v>
      </c>
      <c r="J69" t="s">
        <v>8</v>
      </c>
      <c r="K69">
        <v>4</v>
      </c>
      <c r="L69" t="s">
        <v>312</v>
      </c>
      <c r="M69" t="s">
        <v>124</v>
      </c>
      <c r="N69" t="s">
        <v>453</v>
      </c>
      <c r="O69" t="s">
        <v>467</v>
      </c>
      <c r="R69">
        <f t="shared" si="5"/>
        <v>0</v>
      </c>
    </row>
    <row r="70" spans="1:18" x14ac:dyDescent="0.25">
      <c r="A70" t="s">
        <v>281</v>
      </c>
      <c r="B70" s="1" t="s">
        <v>282</v>
      </c>
      <c r="C70">
        <f>38+64</f>
        <v>102</v>
      </c>
      <c r="D70">
        <f>10+6</f>
        <v>16</v>
      </c>
      <c r="G70">
        <f>SUM(C70:D70)</f>
        <v>118</v>
      </c>
      <c r="H70">
        <f>20+60+22+101</f>
        <v>203</v>
      </c>
      <c r="I70">
        <f t="shared" si="4"/>
        <v>321</v>
      </c>
      <c r="J70" t="s">
        <v>9</v>
      </c>
      <c r="K70">
        <v>7</v>
      </c>
      <c r="L70" t="s">
        <v>312</v>
      </c>
      <c r="M70" t="s">
        <v>124</v>
      </c>
      <c r="N70" t="s">
        <v>453</v>
      </c>
      <c r="O70" t="s">
        <v>467</v>
      </c>
      <c r="Q70" t="s">
        <v>242</v>
      </c>
      <c r="R70">
        <f t="shared" si="5"/>
        <v>0</v>
      </c>
    </row>
    <row r="71" spans="1:18" x14ac:dyDescent="0.25">
      <c r="A71" t="s">
        <v>283</v>
      </c>
      <c r="B71" s="1" t="s">
        <v>284</v>
      </c>
      <c r="G71">
        <v>37</v>
      </c>
      <c r="H71">
        <v>28</v>
      </c>
      <c r="I71">
        <f t="shared" si="4"/>
        <v>65</v>
      </c>
      <c r="J71" t="s">
        <v>8</v>
      </c>
      <c r="K71">
        <v>5</v>
      </c>
      <c r="L71" t="s">
        <v>312</v>
      </c>
      <c r="M71" t="s">
        <v>124</v>
      </c>
      <c r="N71" t="s">
        <v>453</v>
      </c>
      <c r="O71" t="s">
        <v>467</v>
      </c>
      <c r="R71">
        <f t="shared" si="5"/>
        <v>0</v>
      </c>
    </row>
    <row r="72" spans="1:18" x14ac:dyDescent="0.25">
      <c r="A72" t="s">
        <v>285</v>
      </c>
      <c r="B72" s="1" t="s">
        <v>286</v>
      </c>
      <c r="D72">
        <v>32</v>
      </c>
      <c r="G72">
        <f>D72</f>
        <v>32</v>
      </c>
      <c r="H72">
        <v>34</v>
      </c>
      <c r="I72">
        <f t="shared" si="4"/>
        <v>66</v>
      </c>
      <c r="J72" t="s">
        <v>8</v>
      </c>
      <c r="K72">
        <v>90</v>
      </c>
      <c r="L72" t="s">
        <v>312</v>
      </c>
      <c r="M72" t="s">
        <v>124</v>
      </c>
      <c r="N72" t="s">
        <v>453</v>
      </c>
      <c r="O72" t="s">
        <v>467</v>
      </c>
      <c r="Q72" t="s">
        <v>287</v>
      </c>
      <c r="R72">
        <f t="shared" si="5"/>
        <v>0</v>
      </c>
    </row>
    <row r="73" spans="1:18" x14ac:dyDescent="0.25">
      <c r="A73" t="s">
        <v>288</v>
      </c>
      <c r="B73" s="1" t="s">
        <v>289</v>
      </c>
      <c r="D73">
        <v>102</v>
      </c>
      <c r="G73">
        <f>D73</f>
        <v>102</v>
      </c>
      <c r="H73">
        <v>101</v>
      </c>
      <c r="I73">
        <f t="shared" si="4"/>
        <v>203</v>
      </c>
      <c r="J73" t="s">
        <v>8</v>
      </c>
      <c r="K73">
        <v>168</v>
      </c>
      <c r="L73" t="s">
        <v>312</v>
      </c>
      <c r="M73" t="s">
        <v>124</v>
      </c>
      <c r="N73" t="s">
        <v>453</v>
      </c>
      <c r="O73" t="s">
        <v>467</v>
      </c>
      <c r="R73">
        <f t="shared" si="5"/>
        <v>0</v>
      </c>
    </row>
    <row r="74" spans="1:18" x14ac:dyDescent="0.25">
      <c r="A74" t="s">
        <v>292</v>
      </c>
      <c r="B74" s="1" t="s">
        <v>293</v>
      </c>
      <c r="C74">
        <f>9+49</f>
        <v>58</v>
      </c>
      <c r="D74">
        <f>11+42</f>
        <v>53</v>
      </c>
      <c r="G74">
        <f>SUM(C74:D74)</f>
        <v>111</v>
      </c>
      <c r="H74">
        <v>129</v>
      </c>
      <c r="I74">
        <f t="shared" si="4"/>
        <v>240</v>
      </c>
      <c r="J74" t="s">
        <v>8</v>
      </c>
      <c r="K74">
        <v>10</v>
      </c>
      <c r="L74" t="s">
        <v>312</v>
      </c>
      <c r="M74" t="s">
        <v>124</v>
      </c>
      <c r="N74" t="s">
        <v>453</v>
      </c>
      <c r="O74" t="s">
        <v>467</v>
      </c>
      <c r="R74">
        <f t="shared" si="5"/>
        <v>0</v>
      </c>
    </row>
    <row r="75" spans="1:18" x14ac:dyDescent="0.25">
      <c r="A75" t="s">
        <v>294</v>
      </c>
      <c r="B75" s="1" t="s">
        <v>295</v>
      </c>
      <c r="G75">
        <v>125</v>
      </c>
      <c r="H75">
        <v>60</v>
      </c>
      <c r="I75">
        <f t="shared" si="4"/>
        <v>185</v>
      </c>
      <c r="J75" t="s">
        <v>9</v>
      </c>
      <c r="K75">
        <v>4</v>
      </c>
      <c r="L75" t="s">
        <v>312</v>
      </c>
      <c r="M75" t="s">
        <v>124</v>
      </c>
      <c r="N75" t="s">
        <v>453</v>
      </c>
      <c r="O75" t="s">
        <v>467</v>
      </c>
      <c r="R75">
        <f t="shared" si="5"/>
        <v>0</v>
      </c>
    </row>
    <row r="76" spans="1:18" x14ac:dyDescent="0.25">
      <c r="A76" t="s">
        <v>296</v>
      </c>
      <c r="B76" s="1" t="s">
        <v>297</v>
      </c>
      <c r="G76">
        <v>28</v>
      </c>
      <c r="H76">
        <v>24</v>
      </c>
      <c r="I76">
        <f t="shared" si="4"/>
        <v>52</v>
      </c>
      <c r="J76" t="s">
        <v>212</v>
      </c>
      <c r="K76">
        <v>863</v>
      </c>
      <c r="L76" t="s">
        <v>312</v>
      </c>
      <c r="M76" t="s">
        <v>7</v>
      </c>
      <c r="N76" t="s">
        <v>454</v>
      </c>
      <c r="O76" t="s">
        <v>454</v>
      </c>
      <c r="P76" t="s">
        <v>124</v>
      </c>
      <c r="Q76" t="s">
        <v>298</v>
      </c>
      <c r="R76">
        <f t="shared" si="5"/>
        <v>52</v>
      </c>
    </row>
    <row r="77" spans="1:18" x14ac:dyDescent="0.25">
      <c r="A77" t="s">
        <v>299</v>
      </c>
      <c r="B77" s="1" t="s">
        <v>300</v>
      </c>
      <c r="C77">
        <v>28</v>
      </c>
      <c r="D77">
        <v>28</v>
      </c>
      <c r="G77">
        <f>SUM(C77:D77)</f>
        <v>56</v>
      </c>
      <c r="H77">
        <v>28</v>
      </c>
      <c r="I77">
        <f t="shared" si="4"/>
        <v>84</v>
      </c>
      <c r="J77" t="s">
        <v>8</v>
      </c>
      <c r="K77">
        <v>11</v>
      </c>
      <c r="L77" t="s">
        <v>312</v>
      </c>
      <c r="M77" t="s">
        <v>124</v>
      </c>
      <c r="N77" t="s">
        <v>453</v>
      </c>
      <c r="O77" t="s">
        <v>470</v>
      </c>
      <c r="Q77" t="s">
        <v>459</v>
      </c>
      <c r="R77">
        <f t="shared" si="5"/>
        <v>0</v>
      </c>
    </row>
    <row r="78" spans="1:18" x14ac:dyDescent="0.25">
      <c r="A78" t="s">
        <v>301</v>
      </c>
      <c r="B78" s="1" t="s">
        <v>302</v>
      </c>
      <c r="C78">
        <f>107+85</f>
        <v>192</v>
      </c>
      <c r="G78">
        <f>C78</f>
        <v>192</v>
      </c>
      <c r="H78">
        <v>122</v>
      </c>
      <c r="I78">
        <f t="shared" si="4"/>
        <v>314</v>
      </c>
      <c r="J78" t="s">
        <v>9</v>
      </c>
      <c r="K78">
        <v>5</v>
      </c>
      <c r="L78" t="s">
        <v>312</v>
      </c>
      <c r="M78" t="s">
        <v>124</v>
      </c>
      <c r="N78" t="s">
        <v>453</v>
      </c>
      <c r="O78" t="s">
        <v>470</v>
      </c>
      <c r="Q78" t="s">
        <v>448</v>
      </c>
      <c r="R78">
        <f t="shared" si="5"/>
        <v>0</v>
      </c>
    </row>
    <row r="79" spans="1:18" x14ac:dyDescent="0.25">
      <c r="A79" t="s">
        <v>303</v>
      </c>
      <c r="B79" s="1" t="s">
        <v>304</v>
      </c>
      <c r="C79">
        <v>33</v>
      </c>
      <c r="D79">
        <v>13</v>
      </c>
      <c r="E79">
        <v>2</v>
      </c>
      <c r="G79">
        <f>SUM(C79:E79)</f>
        <v>48</v>
      </c>
      <c r="H79">
        <v>48</v>
      </c>
      <c r="I79">
        <f t="shared" si="4"/>
        <v>96</v>
      </c>
      <c r="J79" t="s">
        <v>9</v>
      </c>
      <c r="K79">
        <v>8</v>
      </c>
      <c r="L79" t="s">
        <v>312</v>
      </c>
      <c r="M79" t="s">
        <v>124</v>
      </c>
      <c r="N79" t="s">
        <v>453</v>
      </c>
      <c r="O79" t="s">
        <v>470</v>
      </c>
      <c r="R79">
        <f t="shared" si="5"/>
        <v>0</v>
      </c>
    </row>
    <row r="80" spans="1:18" x14ac:dyDescent="0.25">
      <c r="A80" t="s">
        <v>305</v>
      </c>
      <c r="B80" s="1" t="s">
        <v>306</v>
      </c>
      <c r="C80">
        <v>46</v>
      </c>
      <c r="D80">
        <v>10</v>
      </c>
      <c r="G80">
        <f>SUM(C80:D80)</f>
        <v>56</v>
      </c>
      <c r="H80">
        <v>26</v>
      </c>
      <c r="I80">
        <f t="shared" si="4"/>
        <v>82</v>
      </c>
      <c r="J80" t="s">
        <v>9</v>
      </c>
      <c r="K80">
        <v>4</v>
      </c>
      <c r="L80" t="s">
        <v>312</v>
      </c>
      <c r="M80" t="s">
        <v>340</v>
      </c>
      <c r="N80" t="s">
        <v>453</v>
      </c>
      <c r="O80" t="s">
        <v>470</v>
      </c>
      <c r="R80">
        <f t="shared" si="5"/>
        <v>0</v>
      </c>
    </row>
    <row r="81" spans="1:18" x14ac:dyDescent="0.25">
      <c r="A81" t="s">
        <v>308</v>
      </c>
      <c r="B81" s="1" t="s">
        <v>307</v>
      </c>
      <c r="C81">
        <v>66</v>
      </c>
      <c r="D81">
        <v>36</v>
      </c>
      <c r="E81">
        <v>2</v>
      </c>
      <c r="F81">
        <f>18+26</f>
        <v>44</v>
      </c>
      <c r="G81">
        <f>SUM(C81:F81)</f>
        <v>148</v>
      </c>
      <c r="H81">
        <v>148</v>
      </c>
      <c r="I81">
        <f t="shared" si="4"/>
        <v>296</v>
      </c>
      <c r="J81" t="s">
        <v>8</v>
      </c>
      <c r="K81">
        <v>11</v>
      </c>
      <c r="L81" t="s">
        <v>312</v>
      </c>
      <c r="M81" t="s">
        <v>124</v>
      </c>
      <c r="N81" t="s">
        <v>453</v>
      </c>
      <c r="O81" t="s">
        <v>470</v>
      </c>
      <c r="R81">
        <f t="shared" si="5"/>
        <v>0</v>
      </c>
    </row>
    <row r="82" spans="1:18" x14ac:dyDescent="0.25">
      <c r="A82" t="s">
        <v>309</v>
      </c>
      <c r="B82" s="1" t="s">
        <v>310</v>
      </c>
      <c r="C82">
        <v>113</v>
      </c>
      <c r="D82">
        <v>56</v>
      </c>
      <c r="E82">
        <v>17</v>
      </c>
      <c r="F82">
        <v>27</v>
      </c>
      <c r="G82">
        <f>SUM(C82:F82)</f>
        <v>213</v>
      </c>
      <c r="H82">
        <v>185</v>
      </c>
      <c r="I82">
        <f t="shared" si="4"/>
        <v>398</v>
      </c>
      <c r="J82" t="s">
        <v>9</v>
      </c>
      <c r="K82">
        <v>4</v>
      </c>
      <c r="L82" t="s">
        <v>312</v>
      </c>
      <c r="M82" t="s">
        <v>124</v>
      </c>
      <c r="N82" t="s">
        <v>453</v>
      </c>
      <c r="O82" t="s">
        <v>470</v>
      </c>
      <c r="R82">
        <f t="shared" si="5"/>
        <v>0</v>
      </c>
    </row>
    <row r="83" spans="1:18" x14ac:dyDescent="0.25">
      <c r="A83" t="s">
        <v>321</v>
      </c>
      <c r="B83" s="1" t="s">
        <v>322</v>
      </c>
      <c r="C83">
        <v>36</v>
      </c>
      <c r="G83">
        <f>C83</f>
        <v>36</v>
      </c>
      <c r="H83">
        <v>50</v>
      </c>
      <c r="I83">
        <f t="shared" si="4"/>
        <v>86</v>
      </c>
      <c r="J83" t="s">
        <v>8</v>
      </c>
      <c r="K83" t="s">
        <v>449</v>
      </c>
      <c r="L83" t="s">
        <v>312</v>
      </c>
      <c r="M83" t="s">
        <v>124</v>
      </c>
      <c r="N83" t="s">
        <v>453</v>
      </c>
      <c r="O83" t="s">
        <v>470</v>
      </c>
      <c r="Q83" t="s">
        <v>324</v>
      </c>
      <c r="R83">
        <f t="shared" si="5"/>
        <v>0</v>
      </c>
    </row>
    <row r="84" spans="1:18" x14ac:dyDescent="0.25">
      <c r="A84" t="s">
        <v>325</v>
      </c>
      <c r="B84" s="1" t="s">
        <v>326</v>
      </c>
      <c r="C84">
        <v>23</v>
      </c>
      <c r="D84">
        <v>23</v>
      </c>
      <c r="E84">
        <v>5</v>
      </c>
      <c r="F84">
        <v>10</v>
      </c>
      <c r="G84">
        <f>SUM(C84:F84)</f>
        <v>61</v>
      </c>
      <c r="H84">
        <f>27+23</f>
        <v>50</v>
      </c>
      <c r="I84">
        <f t="shared" si="4"/>
        <v>111</v>
      </c>
      <c r="J84" t="s">
        <v>8</v>
      </c>
      <c r="K84">
        <v>4</v>
      </c>
      <c r="L84" t="s">
        <v>312</v>
      </c>
      <c r="M84" t="s">
        <v>124</v>
      </c>
      <c r="N84" t="s">
        <v>453</v>
      </c>
      <c r="O84" t="s">
        <v>470</v>
      </c>
      <c r="Q84" t="s">
        <v>327</v>
      </c>
      <c r="R84">
        <f t="shared" si="5"/>
        <v>0</v>
      </c>
    </row>
    <row r="85" spans="1:18" x14ac:dyDescent="0.25">
      <c r="A85" t="s">
        <v>328</v>
      </c>
      <c r="B85" s="1" t="s">
        <v>329</v>
      </c>
      <c r="C85">
        <v>23</v>
      </c>
      <c r="D85">
        <v>13</v>
      </c>
      <c r="G85">
        <f>8+6</f>
        <v>14</v>
      </c>
      <c r="H85">
        <v>50</v>
      </c>
      <c r="I85">
        <f t="shared" si="4"/>
        <v>64</v>
      </c>
      <c r="J85" t="s">
        <v>9</v>
      </c>
      <c r="K85">
        <v>355</v>
      </c>
      <c r="L85" t="s">
        <v>312</v>
      </c>
      <c r="M85" t="s">
        <v>124</v>
      </c>
      <c r="N85" t="s">
        <v>453</v>
      </c>
      <c r="O85" t="s">
        <v>470</v>
      </c>
      <c r="R85">
        <f t="shared" si="5"/>
        <v>0</v>
      </c>
    </row>
    <row r="86" spans="1:18" x14ac:dyDescent="0.25">
      <c r="A86" t="s">
        <v>330</v>
      </c>
      <c r="B86" s="1" t="s">
        <v>331</v>
      </c>
      <c r="C86">
        <v>10</v>
      </c>
      <c r="G86">
        <f>C86</f>
        <v>10</v>
      </c>
      <c r="H86">
        <v>10</v>
      </c>
      <c r="I86">
        <f t="shared" si="4"/>
        <v>20</v>
      </c>
      <c r="J86" t="s">
        <v>8</v>
      </c>
      <c r="K86">
        <v>84</v>
      </c>
      <c r="L86" t="s">
        <v>312</v>
      </c>
      <c r="M86" t="s">
        <v>124</v>
      </c>
      <c r="N86" t="s">
        <v>453</v>
      </c>
      <c r="O86" t="s">
        <v>470</v>
      </c>
      <c r="Q86" t="s">
        <v>323</v>
      </c>
      <c r="R86">
        <f t="shared" si="5"/>
        <v>0</v>
      </c>
    </row>
    <row r="87" spans="1:18" x14ac:dyDescent="0.25">
      <c r="A87" t="s">
        <v>332</v>
      </c>
      <c r="B87" s="1" t="s">
        <v>333</v>
      </c>
      <c r="C87">
        <v>2</v>
      </c>
      <c r="D87">
        <v>3</v>
      </c>
      <c r="G87">
        <f>SUM(C87:D87)</f>
        <v>5</v>
      </c>
      <c r="H87">
        <v>5</v>
      </c>
      <c r="I87">
        <f t="shared" si="4"/>
        <v>10</v>
      </c>
      <c r="J87" t="s">
        <v>8</v>
      </c>
      <c r="K87">
        <v>1205</v>
      </c>
      <c r="L87" t="s">
        <v>312</v>
      </c>
      <c r="M87" t="s">
        <v>124</v>
      </c>
      <c r="N87" t="s">
        <v>453</v>
      </c>
      <c r="O87" t="s">
        <v>458</v>
      </c>
      <c r="Q87" t="s">
        <v>458</v>
      </c>
      <c r="R87">
        <f t="shared" si="5"/>
        <v>0</v>
      </c>
    </row>
    <row r="88" spans="1:18" x14ac:dyDescent="0.25">
      <c r="A88" t="s">
        <v>334</v>
      </c>
      <c r="B88" s="1" t="s">
        <v>335</v>
      </c>
      <c r="C88">
        <f>12+9+26</f>
        <v>47</v>
      </c>
      <c r="D88">
        <f>9+4+26</f>
        <v>39</v>
      </c>
      <c r="F88">
        <f>10+6+11</f>
        <v>27</v>
      </c>
      <c r="G88">
        <f>SUM(C88:F88)</f>
        <v>113</v>
      </c>
      <c r="H88">
        <v>113</v>
      </c>
      <c r="I88">
        <f t="shared" si="4"/>
        <v>226</v>
      </c>
      <c r="J88" t="s">
        <v>9</v>
      </c>
      <c r="K88">
        <v>760</v>
      </c>
      <c r="L88" t="s">
        <v>312</v>
      </c>
      <c r="M88" t="s">
        <v>124</v>
      </c>
      <c r="N88" t="s">
        <v>453</v>
      </c>
      <c r="O88" t="s">
        <v>470</v>
      </c>
      <c r="R88">
        <f t="shared" si="5"/>
        <v>0</v>
      </c>
    </row>
    <row r="89" spans="1:18" x14ac:dyDescent="0.25">
      <c r="A89" t="s">
        <v>336</v>
      </c>
      <c r="B89" s="1" t="s">
        <v>337</v>
      </c>
      <c r="C89">
        <f>4+134</f>
        <v>138</v>
      </c>
      <c r="D89">
        <f>2+53</f>
        <v>55</v>
      </c>
      <c r="F89">
        <v>8</v>
      </c>
      <c r="G89">
        <f>SUM(C89:D89)</f>
        <v>193</v>
      </c>
      <c r="H89">
        <v>30</v>
      </c>
      <c r="I89">
        <f t="shared" si="4"/>
        <v>223</v>
      </c>
      <c r="J89" t="s">
        <v>8</v>
      </c>
      <c r="K89">
        <v>5</v>
      </c>
      <c r="L89" t="s">
        <v>312</v>
      </c>
      <c r="M89" t="s">
        <v>124</v>
      </c>
      <c r="N89" t="s">
        <v>456</v>
      </c>
      <c r="Q89" t="s">
        <v>324</v>
      </c>
      <c r="R89">
        <f t="shared" si="5"/>
        <v>0</v>
      </c>
    </row>
    <row r="90" spans="1:18" x14ac:dyDescent="0.25">
      <c r="A90" t="s">
        <v>338</v>
      </c>
      <c r="B90" s="1" t="s">
        <v>339</v>
      </c>
      <c r="C90">
        <v>220</v>
      </c>
      <c r="D90">
        <v>98</v>
      </c>
      <c r="F90">
        <v>12</v>
      </c>
      <c r="G90">
        <f>SUM(C90:F90)</f>
        <v>330</v>
      </c>
      <c r="H90">
        <v>312</v>
      </c>
      <c r="I90">
        <f t="shared" si="4"/>
        <v>642</v>
      </c>
      <c r="J90" t="s">
        <v>9</v>
      </c>
      <c r="K90">
        <v>22</v>
      </c>
      <c r="L90" t="s">
        <v>312</v>
      </c>
      <c r="M90" t="s">
        <v>340</v>
      </c>
      <c r="N90" t="s">
        <v>453</v>
      </c>
      <c r="O90" t="s">
        <v>470</v>
      </c>
      <c r="Q90" t="s">
        <v>323</v>
      </c>
      <c r="R90">
        <f t="shared" si="5"/>
        <v>0</v>
      </c>
    </row>
    <row r="91" spans="1:18" x14ac:dyDescent="0.25">
      <c r="A91" t="s">
        <v>341</v>
      </c>
      <c r="B91" s="1" t="s">
        <v>342</v>
      </c>
      <c r="C91">
        <f>28+37</f>
        <v>65</v>
      </c>
      <c r="D91">
        <f>13+27</f>
        <v>40</v>
      </c>
      <c r="G91">
        <f>SUM(C91:D91)</f>
        <v>105</v>
      </c>
      <c r="H91">
        <f>13+16</f>
        <v>29</v>
      </c>
      <c r="I91">
        <f t="shared" si="4"/>
        <v>134</v>
      </c>
      <c r="J91" t="s">
        <v>8</v>
      </c>
      <c r="K91">
        <v>18</v>
      </c>
      <c r="L91" t="s">
        <v>312</v>
      </c>
      <c r="M91" t="s">
        <v>7</v>
      </c>
      <c r="N91" t="s">
        <v>454</v>
      </c>
      <c r="O91" t="s">
        <v>454</v>
      </c>
      <c r="P91" t="s">
        <v>124</v>
      </c>
      <c r="Q91" t="s">
        <v>323</v>
      </c>
      <c r="R91">
        <f t="shared" si="5"/>
        <v>134</v>
      </c>
    </row>
    <row r="92" spans="1:18" x14ac:dyDescent="0.25">
      <c r="A92" t="s">
        <v>343</v>
      </c>
      <c r="B92" s="1" t="s">
        <v>344</v>
      </c>
      <c r="C92">
        <v>10</v>
      </c>
      <c r="G92">
        <f>C92</f>
        <v>10</v>
      </c>
      <c r="H92">
        <v>9</v>
      </c>
      <c r="I92">
        <f t="shared" si="4"/>
        <v>19</v>
      </c>
      <c r="J92" t="s">
        <v>8</v>
      </c>
      <c r="K92">
        <v>1509</v>
      </c>
      <c r="L92" t="s">
        <v>312</v>
      </c>
      <c r="M92" t="s">
        <v>7</v>
      </c>
      <c r="N92" t="s">
        <v>454</v>
      </c>
      <c r="O92" t="s">
        <v>454</v>
      </c>
      <c r="P92" t="s">
        <v>124</v>
      </c>
      <c r="Q92" t="s">
        <v>345</v>
      </c>
      <c r="R92">
        <f t="shared" si="5"/>
        <v>19</v>
      </c>
    </row>
    <row r="93" spans="1:18" x14ac:dyDescent="0.25">
      <c r="A93" t="s">
        <v>346</v>
      </c>
      <c r="B93" s="1" t="s">
        <v>347</v>
      </c>
      <c r="C93">
        <v>11</v>
      </c>
      <c r="F93">
        <v>9</v>
      </c>
      <c r="G93">
        <f>SUM(C93:F93)</f>
        <v>20</v>
      </c>
      <c r="H93">
        <v>10</v>
      </c>
      <c r="I93">
        <f t="shared" si="4"/>
        <v>30</v>
      </c>
      <c r="J93" t="s">
        <v>9</v>
      </c>
      <c r="K93">
        <v>36</v>
      </c>
      <c r="L93" t="s">
        <v>312</v>
      </c>
      <c r="M93" t="s">
        <v>124</v>
      </c>
      <c r="N93" t="s">
        <v>453</v>
      </c>
      <c r="O93" t="s">
        <v>470</v>
      </c>
      <c r="Q93" t="s">
        <v>323</v>
      </c>
      <c r="R93">
        <f t="shared" si="5"/>
        <v>0</v>
      </c>
    </row>
    <row r="94" spans="1:18" x14ac:dyDescent="0.25">
      <c r="A94" t="s">
        <v>352</v>
      </c>
      <c r="B94" s="1" t="s">
        <v>353</v>
      </c>
      <c r="C94">
        <v>37</v>
      </c>
      <c r="D94">
        <v>13</v>
      </c>
      <c r="G94">
        <f>SUM(C94:D94)</f>
        <v>50</v>
      </c>
      <c r="H94">
        <v>50</v>
      </c>
      <c r="I94">
        <f t="shared" si="4"/>
        <v>100</v>
      </c>
      <c r="J94" t="s">
        <v>9</v>
      </c>
      <c r="K94">
        <v>5</v>
      </c>
      <c r="L94" t="s">
        <v>312</v>
      </c>
      <c r="M94" t="s">
        <v>340</v>
      </c>
      <c r="N94" t="s">
        <v>453</v>
      </c>
      <c r="O94" t="s">
        <v>470</v>
      </c>
      <c r="R94">
        <f t="shared" si="5"/>
        <v>0</v>
      </c>
    </row>
    <row r="95" spans="1:18" x14ac:dyDescent="0.25">
      <c r="A95" t="s">
        <v>354</v>
      </c>
      <c r="B95" s="1" t="s">
        <v>355</v>
      </c>
      <c r="F95">
        <v>2</v>
      </c>
      <c r="G95">
        <f>F95</f>
        <v>2</v>
      </c>
      <c r="H95">
        <v>14</v>
      </c>
      <c r="I95">
        <f t="shared" si="4"/>
        <v>16</v>
      </c>
      <c r="J95" t="s">
        <v>9</v>
      </c>
      <c r="K95">
        <v>547</v>
      </c>
      <c r="L95" t="s">
        <v>312</v>
      </c>
      <c r="M95" t="s">
        <v>7</v>
      </c>
      <c r="N95" t="s">
        <v>454</v>
      </c>
      <c r="O95" t="s">
        <v>454</v>
      </c>
      <c r="R95">
        <f t="shared" si="5"/>
        <v>16</v>
      </c>
    </row>
    <row r="96" spans="1:18" x14ac:dyDescent="0.25">
      <c r="A96" t="s">
        <v>356</v>
      </c>
      <c r="B96" s="1" t="s">
        <v>357</v>
      </c>
      <c r="C96">
        <f>59+34+93+51</f>
        <v>237</v>
      </c>
      <c r="D96">
        <f>5+2+7+2</f>
        <v>16</v>
      </c>
      <c r="G96">
        <f>SUM(C96:D96)</f>
        <v>253</v>
      </c>
      <c r="H96">
        <v>41</v>
      </c>
      <c r="I96">
        <f t="shared" si="4"/>
        <v>294</v>
      </c>
      <c r="J96" t="s">
        <v>8</v>
      </c>
      <c r="K96">
        <v>2568</v>
      </c>
      <c r="L96" t="s">
        <v>312</v>
      </c>
      <c r="M96" t="s">
        <v>358</v>
      </c>
      <c r="N96" t="s">
        <v>454</v>
      </c>
      <c r="O96" t="s">
        <v>454</v>
      </c>
      <c r="Q96" t="s">
        <v>359</v>
      </c>
      <c r="R96">
        <f t="shared" si="5"/>
        <v>0</v>
      </c>
    </row>
    <row r="97" spans="1:18" x14ac:dyDescent="0.25">
      <c r="A97" t="s">
        <v>360</v>
      </c>
      <c r="B97" s="1" t="s">
        <v>361</v>
      </c>
      <c r="F97">
        <v>6</v>
      </c>
      <c r="G97">
        <f>SUM(C97:F97)</f>
        <v>6</v>
      </c>
      <c r="H97">
        <v>3</v>
      </c>
      <c r="I97">
        <f t="shared" ref="I97:I124" si="6">G97+H97</f>
        <v>9</v>
      </c>
      <c r="J97" t="s">
        <v>8</v>
      </c>
      <c r="K97">
        <v>2568</v>
      </c>
      <c r="L97" t="s">
        <v>312</v>
      </c>
      <c r="M97" t="s">
        <v>7</v>
      </c>
      <c r="N97" t="s">
        <v>454</v>
      </c>
      <c r="O97" t="s">
        <v>454</v>
      </c>
      <c r="R97">
        <f t="shared" ref="R97:R126" si="7">I97*(M97="Available")</f>
        <v>9</v>
      </c>
    </row>
    <row r="98" spans="1:18" x14ac:dyDescent="0.25">
      <c r="A98" t="s">
        <v>362</v>
      </c>
      <c r="B98" s="1" t="s">
        <v>363</v>
      </c>
      <c r="G98">
        <v>73</v>
      </c>
      <c r="H98">
        <v>94</v>
      </c>
      <c r="I98">
        <f t="shared" si="6"/>
        <v>167</v>
      </c>
      <c r="J98" t="s">
        <v>228</v>
      </c>
      <c r="K98">
        <v>866</v>
      </c>
      <c r="L98" t="s">
        <v>312</v>
      </c>
      <c r="M98" t="s">
        <v>7</v>
      </c>
      <c r="N98" t="s">
        <v>454</v>
      </c>
      <c r="O98" t="s">
        <v>454</v>
      </c>
      <c r="Q98" t="s">
        <v>364</v>
      </c>
      <c r="R98">
        <f t="shared" si="7"/>
        <v>167</v>
      </c>
    </row>
    <row r="99" spans="1:18" x14ac:dyDescent="0.25">
      <c r="A99" t="s">
        <v>59</v>
      </c>
      <c r="B99" s="1" t="s">
        <v>60</v>
      </c>
      <c r="C99">
        <v>10</v>
      </c>
      <c r="D99">
        <v>13</v>
      </c>
      <c r="F99">
        <v>3</v>
      </c>
      <c r="G99">
        <f>SUM(C99:F99)</f>
        <v>26</v>
      </c>
      <c r="H99">
        <v>12</v>
      </c>
      <c r="I99">
        <f t="shared" si="6"/>
        <v>38</v>
      </c>
      <c r="J99" t="s">
        <v>8</v>
      </c>
      <c r="K99">
        <v>1205</v>
      </c>
      <c r="L99" t="s">
        <v>312</v>
      </c>
      <c r="M99" t="s">
        <v>7</v>
      </c>
      <c r="N99" t="s">
        <v>454</v>
      </c>
      <c r="O99" t="s">
        <v>454</v>
      </c>
      <c r="Q99" t="s">
        <v>366</v>
      </c>
      <c r="R99">
        <f t="shared" si="7"/>
        <v>38</v>
      </c>
    </row>
    <row r="100" spans="1:18" x14ac:dyDescent="0.25">
      <c r="A100" t="s">
        <v>367</v>
      </c>
      <c r="B100" s="1" t="s">
        <v>368</v>
      </c>
      <c r="C100">
        <f>26+11</f>
        <v>37</v>
      </c>
      <c r="D100">
        <f>26+10</f>
        <v>36</v>
      </c>
      <c r="F100">
        <f>21+9</f>
        <v>30</v>
      </c>
      <c r="G100">
        <f>SUM(C100:F100)</f>
        <v>103</v>
      </c>
      <c r="H100">
        <v>168</v>
      </c>
      <c r="I100">
        <f t="shared" si="6"/>
        <v>271</v>
      </c>
      <c r="J100" t="s">
        <v>8</v>
      </c>
      <c r="K100">
        <v>732</v>
      </c>
      <c r="L100" t="s">
        <v>312</v>
      </c>
      <c r="M100" t="s">
        <v>124</v>
      </c>
      <c r="N100" t="s">
        <v>453</v>
      </c>
      <c r="O100" t="s">
        <v>470</v>
      </c>
      <c r="R100">
        <f t="shared" si="7"/>
        <v>0</v>
      </c>
    </row>
    <row r="101" spans="1:18" x14ac:dyDescent="0.25">
      <c r="A101" t="s">
        <v>370</v>
      </c>
      <c r="B101" s="1" t="s">
        <v>371</v>
      </c>
      <c r="C101">
        <v>14</v>
      </c>
      <c r="D101">
        <v>30</v>
      </c>
      <c r="F101">
        <v>6</v>
      </c>
      <c r="G101">
        <f>SUM(C101:F101)</f>
        <v>50</v>
      </c>
      <c r="H101">
        <v>29</v>
      </c>
      <c r="I101">
        <f t="shared" si="6"/>
        <v>79</v>
      </c>
      <c r="J101" t="s">
        <v>9</v>
      </c>
      <c r="K101">
        <v>6</v>
      </c>
      <c r="L101" t="s">
        <v>312</v>
      </c>
      <c r="M101" t="s">
        <v>124</v>
      </c>
      <c r="N101" t="s">
        <v>453</v>
      </c>
      <c r="O101" t="s">
        <v>470</v>
      </c>
      <c r="R101">
        <f t="shared" si="7"/>
        <v>0</v>
      </c>
    </row>
    <row r="102" spans="1:18" x14ac:dyDescent="0.25">
      <c r="A102" t="s">
        <v>375</v>
      </c>
      <c r="B102" s="1" t="s">
        <v>374</v>
      </c>
      <c r="C102">
        <v>44</v>
      </c>
      <c r="D102">
        <v>13</v>
      </c>
      <c r="E102">
        <v>5</v>
      </c>
      <c r="F102">
        <v>12</v>
      </c>
      <c r="G102">
        <f>SUM(C102:F102)</f>
        <v>74</v>
      </c>
      <c r="H102">
        <v>23</v>
      </c>
      <c r="I102">
        <f t="shared" si="6"/>
        <v>97</v>
      </c>
      <c r="J102" t="s">
        <v>9</v>
      </c>
      <c r="K102">
        <v>6</v>
      </c>
      <c r="L102" t="s">
        <v>312</v>
      </c>
      <c r="M102" t="s">
        <v>124</v>
      </c>
      <c r="N102" t="s">
        <v>453</v>
      </c>
      <c r="O102" t="s">
        <v>470</v>
      </c>
      <c r="R102">
        <f t="shared" si="7"/>
        <v>0</v>
      </c>
    </row>
    <row r="103" spans="1:18" x14ac:dyDescent="0.25">
      <c r="A103" t="s">
        <v>372</v>
      </c>
      <c r="B103" s="1" t="s">
        <v>373</v>
      </c>
      <c r="G103">
        <v>70</v>
      </c>
      <c r="I103">
        <f t="shared" si="6"/>
        <v>70</v>
      </c>
      <c r="J103" t="s">
        <v>9</v>
      </c>
      <c r="K103">
        <v>2549</v>
      </c>
      <c r="L103" t="s">
        <v>312</v>
      </c>
      <c r="M103" t="s">
        <v>7</v>
      </c>
      <c r="N103" t="s">
        <v>454</v>
      </c>
      <c r="O103" t="s">
        <v>454</v>
      </c>
      <c r="Q103" t="s">
        <v>376</v>
      </c>
      <c r="R103">
        <f t="shared" si="7"/>
        <v>70</v>
      </c>
    </row>
    <row r="104" spans="1:18" x14ac:dyDescent="0.25">
      <c r="A104" t="s">
        <v>377</v>
      </c>
      <c r="B104" s="1" t="s">
        <v>378</v>
      </c>
      <c r="C104">
        <v>117</v>
      </c>
      <c r="D104">
        <v>101</v>
      </c>
      <c r="E104">
        <v>32</v>
      </c>
      <c r="F104">
        <v>10</v>
      </c>
      <c r="G104">
        <f>SUM(C104:F104)</f>
        <v>260</v>
      </c>
      <c r="H104">
        <v>260</v>
      </c>
      <c r="I104">
        <f t="shared" si="6"/>
        <v>520</v>
      </c>
      <c r="J104" t="s">
        <v>9</v>
      </c>
      <c r="K104">
        <v>4</v>
      </c>
      <c r="L104" t="s">
        <v>312</v>
      </c>
      <c r="M104" t="s">
        <v>124</v>
      </c>
      <c r="N104" t="s">
        <v>453</v>
      </c>
      <c r="O104" t="s">
        <v>470</v>
      </c>
      <c r="R104">
        <f t="shared" si="7"/>
        <v>0</v>
      </c>
    </row>
    <row r="105" spans="1:18" x14ac:dyDescent="0.25">
      <c r="A105" t="s">
        <v>379</v>
      </c>
      <c r="B105" s="1" t="s">
        <v>380</v>
      </c>
      <c r="C105">
        <v>153</v>
      </c>
      <c r="G105">
        <f>C105</f>
        <v>153</v>
      </c>
      <c r="H105">
        <v>75</v>
      </c>
      <c r="I105">
        <f t="shared" si="6"/>
        <v>228</v>
      </c>
      <c r="J105" t="s">
        <v>381</v>
      </c>
      <c r="K105">
        <v>4</v>
      </c>
      <c r="L105" t="s">
        <v>312</v>
      </c>
      <c r="M105" t="s">
        <v>340</v>
      </c>
      <c r="N105" t="s">
        <v>453</v>
      </c>
      <c r="O105" t="s">
        <v>470</v>
      </c>
      <c r="Q105" t="s">
        <v>382</v>
      </c>
      <c r="R105">
        <f t="shared" si="7"/>
        <v>0</v>
      </c>
    </row>
    <row r="106" spans="1:18" x14ac:dyDescent="0.25">
      <c r="A106" t="s">
        <v>383</v>
      </c>
      <c r="B106" s="1" t="s">
        <v>384</v>
      </c>
      <c r="C106">
        <v>131</v>
      </c>
      <c r="D106">
        <v>41</v>
      </c>
      <c r="G106">
        <f>SUM(C106:D106)</f>
        <v>172</v>
      </c>
      <c r="H106">
        <f>90+47</f>
        <v>137</v>
      </c>
      <c r="I106">
        <f t="shared" si="6"/>
        <v>309</v>
      </c>
      <c r="J106" t="s">
        <v>9</v>
      </c>
      <c r="K106">
        <v>6</v>
      </c>
      <c r="L106" t="s">
        <v>312</v>
      </c>
      <c r="M106" t="s">
        <v>124</v>
      </c>
      <c r="N106" t="s">
        <v>453</v>
      </c>
      <c r="O106" t="s">
        <v>470</v>
      </c>
      <c r="Q106" t="s">
        <v>323</v>
      </c>
      <c r="R106">
        <f t="shared" si="7"/>
        <v>0</v>
      </c>
    </row>
    <row r="107" spans="1:18" x14ac:dyDescent="0.25">
      <c r="A107" t="s">
        <v>385</v>
      </c>
      <c r="B107" s="1" t="s">
        <v>386</v>
      </c>
      <c r="C107">
        <v>14</v>
      </c>
      <c r="D107">
        <v>2</v>
      </c>
      <c r="F107">
        <v>4</v>
      </c>
      <c r="G107">
        <f>SUM(C107:F107)</f>
        <v>20</v>
      </c>
      <c r="H107">
        <v>40</v>
      </c>
      <c r="I107">
        <f t="shared" si="6"/>
        <v>60</v>
      </c>
      <c r="J107" t="s">
        <v>381</v>
      </c>
      <c r="K107">
        <v>26</v>
      </c>
      <c r="L107" t="s">
        <v>312</v>
      </c>
      <c r="M107" t="s">
        <v>124</v>
      </c>
      <c r="N107" t="s">
        <v>453</v>
      </c>
      <c r="O107" t="s">
        <v>470</v>
      </c>
      <c r="Q107" t="s">
        <v>387</v>
      </c>
      <c r="R107">
        <f t="shared" si="7"/>
        <v>0</v>
      </c>
    </row>
    <row r="108" spans="1:18" x14ac:dyDescent="0.25">
      <c r="A108" t="s">
        <v>388</v>
      </c>
      <c r="B108" s="1" t="s">
        <v>389</v>
      </c>
      <c r="C108">
        <v>59</v>
      </c>
      <c r="D108">
        <v>40</v>
      </c>
      <c r="F108">
        <v>5</v>
      </c>
      <c r="G108">
        <f>SUM(C108:F108)</f>
        <v>104</v>
      </c>
      <c r="H108">
        <v>50</v>
      </c>
      <c r="I108">
        <f t="shared" si="6"/>
        <v>154</v>
      </c>
      <c r="J108" t="s">
        <v>9</v>
      </c>
      <c r="K108">
        <v>6</v>
      </c>
      <c r="L108" t="s">
        <v>312</v>
      </c>
      <c r="M108" t="s">
        <v>124</v>
      </c>
      <c r="N108" t="s">
        <v>453</v>
      </c>
      <c r="O108" t="s">
        <v>470</v>
      </c>
      <c r="R108">
        <f t="shared" si="7"/>
        <v>0</v>
      </c>
    </row>
    <row r="109" spans="1:18" x14ac:dyDescent="0.25">
      <c r="A109" t="s">
        <v>390</v>
      </c>
      <c r="B109" s="1" t="s">
        <v>391</v>
      </c>
      <c r="C109">
        <v>41</v>
      </c>
      <c r="D109">
        <v>19</v>
      </c>
      <c r="F109">
        <v>22</v>
      </c>
      <c r="G109">
        <f>SUM(C109:F109)</f>
        <v>82</v>
      </c>
      <c r="H109">
        <v>50</v>
      </c>
      <c r="I109">
        <f t="shared" si="6"/>
        <v>132</v>
      </c>
      <c r="J109" t="s">
        <v>9</v>
      </c>
      <c r="K109">
        <v>4</v>
      </c>
      <c r="L109" t="s">
        <v>312</v>
      </c>
      <c r="M109" t="s">
        <v>124</v>
      </c>
      <c r="N109" t="s">
        <v>453</v>
      </c>
      <c r="O109" t="s">
        <v>470</v>
      </c>
      <c r="R109">
        <f t="shared" si="7"/>
        <v>0</v>
      </c>
    </row>
    <row r="110" spans="1:18" x14ac:dyDescent="0.25">
      <c r="A110" t="s">
        <v>392</v>
      </c>
      <c r="B110" s="1" t="s">
        <v>393</v>
      </c>
      <c r="C110">
        <v>95</v>
      </c>
      <c r="D110">
        <v>91</v>
      </c>
      <c r="F110">
        <v>10</v>
      </c>
      <c r="G110">
        <f>SUM(C110:F110)</f>
        <v>196</v>
      </c>
      <c r="H110">
        <v>98</v>
      </c>
      <c r="I110">
        <f t="shared" si="6"/>
        <v>294</v>
      </c>
      <c r="J110" t="s">
        <v>228</v>
      </c>
      <c r="K110">
        <v>13</v>
      </c>
      <c r="L110" t="s">
        <v>312</v>
      </c>
      <c r="M110" t="s">
        <v>124</v>
      </c>
      <c r="N110" t="s">
        <v>453</v>
      </c>
      <c r="O110" t="s">
        <v>470</v>
      </c>
      <c r="R110">
        <f t="shared" si="7"/>
        <v>0</v>
      </c>
    </row>
    <row r="111" spans="1:18" x14ac:dyDescent="0.25">
      <c r="A111" t="s">
        <v>394</v>
      </c>
      <c r="B111" s="1" t="s">
        <v>395</v>
      </c>
      <c r="C111">
        <v>15</v>
      </c>
      <c r="D111">
        <v>8</v>
      </c>
      <c r="G111">
        <f>SUM(C111:D111)</f>
        <v>23</v>
      </c>
      <c r="H111">
        <v>15</v>
      </c>
      <c r="I111">
        <f t="shared" si="6"/>
        <v>38</v>
      </c>
      <c r="J111" t="s">
        <v>8</v>
      </c>
      <c r="K111">
        <v>6</v>
      </c>
      <c r="L111" t="s">
        <v>312</v>
      </c>
      <c r="M111" t="s">
        <v>124</v>
      </c>
      <c r="N111" t="s">
        <v>453</v>
      </c>
      <c r="O111" t="s">
        <v>470</v>
      </c>
      <c r="Q111" t="s">
        <v>287</v>
      </c>
      <c r="R111">
        <f t="shared" si="7"/>
        <v>0</v>
      </c>
    </row>
    <row r="112" spans="1:18" x14ac:dyDescent="0.25">
      <c r="A112" t="s">
        <v>47</v>
      </c>
      <c r="B112" s="1" t="s">
        <v>48</v>
      </c>
      <c r="C112">
        <f>45+389+39+23</f>
        <v>496</v>
      </c>
      <c r="G112">
        <f>C112</f>
        <v>496</v>
      </c>
      <c r="H112">
        <f>45+104+39</f>
        <v>188</v>
      </c>
      <c r="I112">
        <f t="shared" si="6"/>
        <v>684</v>
      </c>
      <c r="J112" t="s">
        <v>381</v>
      </c>
      <c r="K112">
        <v>7</v>
      </c>
      <c r="L112" t="s">
        <v>312</v>
      </c>
      <c r="M112" t="s">
        <v>451</v>
      </c>
      <c r="N112" t="s">
        <v>454</v>
      </c>
      <c r="O112" t="s">
        <v>454</v>
      </c>
      <c r="Q112" t="s">
        <v>382</v>
      </c>
      <c r="R112">
        <f t="shared" si="7"/>
        <v>0</v>
      </c>
    </row>
    <row r="113" spans="1:18" x14ac:dyDescent="0.25">
      <c r="A113" t="s">
        <v>399</v>
      </c>
      <c r="B113" s="1" t="s">
        <v>400</v>
      </c>
      <c r="G113">
        <v>40</v>
      </c>
      <c r="H113">
        <v>80</v>
      </c>
      <c r="I113">
        <f t="shared" si="6"/>
        <v>120</v>
      </c>
      <c r="J113" t="s">
        <v>401</v>
      </c>
      <c r="K113">
        <v>255</v>
      </c>
      <c r="L113" t="s">
        <v>312</v>
      </c>
      <c r="M113" t="s">
        <v>124</v>
      </c>
      <c r="N113" t="s">
        <v>453</v>
      </c>
      <c r="O113" t="s">
        <v>470</v>
      </c>
      <c r="Q113" t="s">
        <v>402</v>
      </c>
      <c r="R113">
        <f t="shared" si="7"/>
        <v>0</v>
      </c>
    </row>
    <row r="114" spans="1:18" x14ac:dyDescent="0.25">
      <c r="A114" t="s">
        <v>406</v>
      </c>
      <c r="B114" s="1" t="s">
        <v>407</v>
      </c>
      <c r="C114">
        <v>27</v>
      </c>
      <c r="G114">
        <f>C114</f>
        <v>27</v>
      </c>
      <c r="H114">
        <v>9</v>
      </c>
      <c r="I114">
        <f t="shared" si="6"/>
        <v>36</v>
      </c>
      <c r="J114" t="s">
        <v>8</v>
      </c>
      <c r="K114">
        <v>12</v>
      </c>
      <c r="L114" t="s">
        <v>312</v>
      </c>
      <c r="M114" t="s">
        <v>124</v>
      </c>
      <c r="N114" t="s">
        <v>453</v>
      </c>
      <c r="O114" t="s">
        <v>470</v>
      </c>
      <c r="Q114" t="s">
        <v>408</v>
      </c>
      <c r="R114">
        <f t="shared" si="7"/>
        <v>0</v>
      </c>
    </row>
    <row r="115" spans="1:18" x14ac:dyDescent="0.25">
      <c r="A115" t="s">
        <v>409</v>
      </c>
      <c r="B115" s="1" t="s">
        <v>410</v>
      </c>
      <c r="G115">
        <f>11+8</f>
        <v>19</v>
      </c>
      <c r="H115">
        <v>7</v>
      </c>
      <c r="I115">
        <f t="shared" si="6"/>
        <v>26</v>
      </c>
      <c r="J115" t="s">
        <v>8</v>
      </c>
      <c r="K115">
        <v>3762</v>
      </c>
      <c r="L115" t="s">
        <v>312</v>
      </c>
      <c r="M115" t="s">
        <v>7</v>
      </c>
      <c r="N115" t="s">
        <v>454</v>
      </c>
      <c r="O115" t="s">
        <v>454</v>
      </c>
      <c r="Q115" t="s">
        <v>408</v>
      </c>
      <c r="R115">
        <f t="shared" si="7"/>
        <v>26</v>
      </c>
    </row>
    <row r="116" spans="1:18" x14ac:dyDescent="0.25">
      <c r="A116" t="s">
        <v>411</v>
      </c>
      <c r="B116" s="1" t="s">
        <v>412</v>
      </c>
      <c r="C116">
        <v>70</v>
      </c>
      <c r="G116">
        <f>C116</f>
        <v>70</v>
      </c>
      <c r="H116">
        <v>40</v>
      </c>
      <c r="I116">
        <f t="shared" si="6"/>
        <v>110</v>
      </c>
      <c r="J116" t="s">
        <v>9</v>
      </c>
      <c r="K116">
        <v>6</v>
      </c>
      <c r="L116" t="s">
        <v>312</v>
      </c>
      <c r="M116" t="s">
        <v>124</v>
      </c>
      <c r="N116" t="s">
        <v>453</v>
      </c>
      <c r="O116" t="s">
        <v>470</v>
      </c>
      <c r="Q116" t="s">
        <v>323</v>
      </c>
      <c r="R116">
        <f t="shared" si="7"/>
        <v>0</v>
      </c>
    </row>
    <row r="117" spans="1:18" x14ac:dyDescent="0.25">
      <c r="A117" t="s">
        <v>415</v>
      </c>
      <c r="B117" s="1" t="s">
        <v>414</v>
      </c>
      <c r="C117">
        <f>7+2+38+3+3+26</f>
        <v>79</v>
      </c>
      <c r="G117">
        <f>C117</f>
        <v>79</v>
      </c>
      <c r="H117">
        <f>3+5+2+2+5+2+1</f>
        <v>20</v>
      </c>
      <c r="I117">
        <f t="shared" si="6"/>
        <v>99</v>
      </c>
      <c r="J117" t="s">
        <v>381</v>
      </c>
      <c r="K117">
        <v>18</v>
      </c>
      <c r="L117" t="s">
        <v>312</v>
      </c>
      <c r="M117" t="s">
        <v>124</v>
      </c>
      <c r="N117" t="s">
        <v>453</v>
      </c>
      <c r="O117" t="s">
        <v>470</v>
      </c>
      <c r="Q117" t="s">
        <v>413</v>
      </c>
      <c r="R117">
        <f t="shared" si="7"/>
        <v>0</v>
      </c>
    </row>
    <row r="118" spans="1:18" x14ac:dyDescent="0.25">
      <c r="A118" t="s">
        <v>416</v>
      </c>
      <c r="B118" s="1" t="s">
        <v>417</v>
      </c>
      <c r="D118">
        <f>3+24+44+34</f>
        <v>105</v>
      </c>
      <c r="G118">
        <f>D118</f>
        <v>105</v>
      </c>
      <c r="H118">
        <f>1+15+57+36+10</f>
        <v>119</v>
      </c>
      <c r="I118">
        <f t="shared" si="6"/>
        <v>224</v>
      </c>
      <c r="J118" t="s">
        <v>9</v>
      </c>
      <c r="K118">
        <v>168</v>
      </c>
      <c r="L118" t="s">
        <v>312</v>
      </c>
      <c r="M118" t="s">
        <v>124</v>
      </c>
      <c r="N118" t="s">
        <v>453</v>
      </c>
      <c r="O118" t="s">
        <v>470</v>
      </c>
      <c r="R118">
        <f t="shared" si="7"/>
        <v>0</v>
      </c>
    </row>
    <row r="119" spans="1:18" x14ac:dyDescent="0.25">
      <c r="A119" t="s">
        <v>419</v>
      </c>
      <c r="B119" s="1" t="s">
        <v>418</v>
      </c>
      <c r="C119">
        <f>51+58</f>
        <v>109</v>
      </c>
      <c r="D119">
        <f>23+15</f>
        <v>38</v>
      </c>
      <c r="G119">
        <f>SUM(C119:D119)</f>
        <v>147</v>
      </c>
      <c r="H119">
        <f>74+75</f>
        <v>149</v>
      </c>
      <c r="I119">
        <f t="shared" si="6"/>
        <v>296</v>
      </c>
      <c r="J119" t="s">
        <v>9</v>
      </c>
      <c r="K119">
        <v>4</v>
      </c>
      <c r="L119" t="s">
        <v>312</v>
      </c>
      <c r="M119" t="s">
        <v>124</v>
      </c>
      <c r="N119" t="s">
        <v>453</v>
      </c>
      <c r="O119" t="s">
        <v>470</v>
      </c>
      <c r="Q119" t="s">
        <v>408</v>
      </c>
      <c r="R119">
        <f t="shared" si="7"/>
        <v>0</v>
      </c>
    </row>
    <row r="120" spans="1:18" x14ac:dyDescent="0.25">
      <c r="A120" t="s">
        <v>420</v>
      </c>
      <c r="B120" s="1" t="s">
        <v>421</v>
      </c>
      <c r="C120">
        <v>65</v>
      </c>
      <c r="G120">
        <f>C120</f>
        <v>65</v>
      </c>
      <c r="H120">
        <v>65</v>
      </c>
      <c r="I120">
        <f t="shared" si="6"/>
        <v>130</v>
      </c>
      <c r="J120" t="s">
        <v>9</v>
      </c>
      <c r="K120">
        <v>60</v>
      </c>
      <c r="L120" t="s">
        <v>312</v>
      </c>
      <c r="M120" t="s">
        <v>124</v>
      </c>
      <c r="N120" t="s">
        <v>453</v>
      </c>
      <c r="O120" t="s">
        <v>470</v>
      </c>
      <c r="Q120" t="s">
        <v>408</v>
      </c>
      <c r="R120">
        <f t="shared" si="7"/>
        <v>0</v>
      </c>
    </row>
    <row r="121" spans="1:18" x14ac:dyDescent="0.25">
      <c r="A121" t="s">
        <v>423</v>
      </c>
      <c r="B121" s="1" t="s">
        <v>424</v>
      </c>
      <c r="G121">
        <v>64</v>
      </c>
      <c r="H121">
        <v>20</v>
      </c>
      <c r="I121">
        <f t="shared" si="6"/>
        <v>84</v>
      </c>
      <c r="J121" t="s">
        <v>9</v>
      </c>
      <c r="K121">
        <v>96</v>
      </c>
      <c r="L121" t="s">
        <v>312</v>
      </c>
      <c r="M121" t="s">
        <v>124</v>
      </c>
      <c r="N121" t="s">
        <v>453</v>
      </c>
      <c r="O121" t="s">
        <v>470</v>
      </c>
      <c r="Q121" t="s">
        <v>408</v>
      </c>
      <c r="R121">
        <f t="shared" si="7"/>
        <v>0</v>
      </c>
    </row>
    <row r="122" spans="1:18" x14ac:dyDescent="0.25">
      <c r="A122" t="s">
        <v>426</v>
      </c>
      <c r="B122" s="1" t="s">
        <v>425</v>
      </c>
      <c r="C122">
        <f>6+22+79</f>
        <v>107</v>
      </c>
      <c r="D122">
        <f>2+3+22</f>
        <v>27</v>
      </c>
      <c r="F122">
        <v>16</v>
      </c>
      <c r="G122">
        <f>SUM(C122:F122)</f>
        <v>150</v>
      </c>
      <c r="H122">
        <f>8+49+113</f>
        <v>170</v>
      </c>
      <c r="I122">
        <f t="shared" si="6"/>
        <v>320</v>
      </c>
      <c r="J122" t="s">
        <v>9</v>
      </c>
      <c r="K122">
        <v>745</v>
      </c>
      <c r="L122" t="s">
        <v>312</v>
      </c>
      <c r="M122" t="s">
        <v>124</v>
      </c>
      <c r="N122" t="s">
        <v>453</v>
      </c>
      <c r="O122" t="s">
        <v>470</v>
      </c>
      <c r="R122">
        <f t="shared" si="7"/>
        <v>0</v>
      </c>
    </row>
    <row r="123" spans="1:18" x14ac:dyDescent="0.25">
      <c r="A123" t="s">
        <v>427</v>
      </c>
      <c r="B123" s="1" t="s">
        <v>428</v>
      </c>
      <c r="C123">
        <v>108</v>
      </c>
      <c r="D123">
        <v>35</v>
      </c>
      <c r="F123">
        <v>11</v>
      </c>
      <c r="G123">
        <f>SUM(C123:F123)</f>
        <v>154</v>
      </c>
      <c r="H123">
        <v>146</v>
      </c>
      <c r="I123">
        <f t="shared" si="6"/>
        <v>300</v>
      </c>
      <c r="J123" t="s">
        <v>8</v>
      </c>
      <c r="K123">
        <v>11</v>
      </c>
      <c r="L123" t="s">
        <v>312</v>
      </c>
      <c r="M123" t="s">
        <v>124</v>
      </c>
      <c r="N123" t="s">
        <v>453</v>
      </c>
      <c r="O123" t="s">
        <v>470</v>
      </c>
      <c r="R123">
        <f t="shared" si="7"/>
        <v>0</v>
      </c>
    </row>
    <row r="124" spans="1:18" x14ac:dyDescent="0.25">
      <c r="A124" t="s">
        <v>429</v>
      </c>
      <c r="B124" s="1" t="s">
        <v>430</v>
      </c>
      <c r="C124">
        <v>15</v>
      </c>
      <c r="D124">
        <v>15</v>
      </c>
      <c r="E124">
        <v>1</v>
      </c>
      <c r="G124">
        <f>SUM(C124:E124)</f>
        <v>31</v>
      </c>
      <c r="H124">
        <v>21</v>
      </c>
      <c r="I124">
        <f t="shared" si="6"/>
        <v>52</v>
      </c>
      <c r="J124" t="s">
        <v>431</v>
      </c>
      <c r="K124">
        <v>4</v>
      </c>
      <c r="L124" t="s">
        <v>312</v>
      </c>
      <c r="M124" t="s">
        <v>7</v>
      </c>
      <c r="N124" t="s">
        <v>454</v>
      </c>
      <c r="O124" t="s">
        <v>454</v>
      </c>
      <c r="Q124" t="s">
        <v>382</v>
      </c>
      <c r="R124">
        <f t="shared" si="7"/>
        <v>52</v>
      </c>
    </row>
    <row r="125" spans="1:18" x14ac:dyDescent="0.25">
      <c r="A125" t="s">
        <v>432</v>
      </c>
      <c r="B125" s="1" t="s">
        <v>433</v>
      </c>
      <c r="G125">
        <f>28+39</f>
        <v>67</v>
      </c>
      <c r="H125">
        <f>12+13</f>
        <v>25</v>
      </c>
      <c r="I125">
        <f t="shared" ref="I125:I132" si="8">G125+H125</f>
        <v>92</v>
      </c>
      <c r="J125" t="s">
        <v>8</v>
      </c>
      <c r="K125">
        <v>10</v>
      </c>
      <c r="L125" t="s">
        <v>312</v>
      </c>
      <c r="M125" t="s">
        <v>124</v>
      </c>
      <c r="N125" t="s">
        <v>453</v>
      </c>
      <c r="O125" t="s">
        <v>470</v>
      </c>
      <c r="R125">
        <f t="shared" si="7"/>
        <v>0</v>
      </c>
    </row>
    <row r="126" spans="1:18" x14ac:dyDescent="0.25">
      <c r="A126" t="s">
        <v>435</v>
      </c>
      <c r="B126" s="1" t="s">
        <v>436</v>
      </c>
      <c r="C126">
        <v>40</v>
      </c>
      <c r="G126">
        <f>C126</f>
        <v>40</v>
      </c>
      <c r="H126">
        <v>21</v>
      </c>
      <c r="I126">
        <f t="shared" si="8"/>
        <v>61</v>
      </c>
      <c r="J126" t="s">
        <v>9</v>
      </c>
      <c r="K126">
        <v>664</v>
      </c>
      <c r="L126" t="s">
        <v>312</v>
      </c>
      <c r="M126" t="s">
        <v>124</v>
      </c>
      <c r="N126" t="s">
        <v>456</v>
      </c>
      <c r="Q126" t="s">
        <v>437</v>
      </c>
      <c r="R126">
        <f t="shared" si="7"/>
        <v>0</v>
      </c>
    </row>
    <row r="127" spans="1:18" x14ac:dyDescent="0.25">
      <c r="I127">
        <f t="shared" si="8"/>
        <v>0</v>
      </c>
    </row>
    <row r="128" spans="1:18" x14ac:dyDescent="0.25">
      <c r="I128">
        <f t="shared" si="8"/>
        <v>0</v>
      </c>
    </row>
    <row r="129" spans="8:18" x14ac:dyDescent="0.25">
      <c r="I129">
        <f t="shared" si="8"/>
        <v>0</v>
      </c>
    </row>
    <row r="130" spans="8:18" x14ac:dyDescent="0.25">
      <c r="I130">
        <f t="shared" si="8"/>
        <v>0</v>
      </c>
    </row>
    <row r="131" spans="8:18" x14ac:dyDescent="0.25">
      <c r="I131">
        <f t="shared" si="8"/>
        <v>0</v>
      </c>
    </row>
    <row r="132" spans="8:18" x14ac:dyDescent="0.25">
      <c r="I132">
        <f t="shared" si="8"/>
        <v>0</v>
      </c>
      <c r="M132">
        <f>COUNTIF(M2:M126, "*No*") + COUNTIF(M2:M126, "*On Demand*")</f>
        <v>95</v>
      </c>
      <c r="N132">
        <f>COUNTIF(N2:N126, "Yes") + COUNTIF(N2:N126, "*ugyldig*")</f>
        <v>95</v>
      </c>
    </row>
    <row r="133" spans="8:18" x14ac:dyDescent="0.25">
      <c r="H133" t="s">
        <v>445</v>
      </c>
      <c r="I133">
        <f>SUM(I2:I132)</f>
        <v>30203</v>
      </c>
      <c r="Q133" t="s">
        <v>450</v>
      </c>
      <c r="R133">
        <f>SUM(R2:R126)</f>
        <v>8489</v>
      </c>
    </row>
    <row r="134" spans="8:18" x14ac:dyDescent="0.25">
      <c r="I134">
        <f t="shared" ref="I134:I150" si="9">G134+H134</f>
        <v>0</v>
      </c>
      <c r="N134" s="4">
        <f>N132/M132</f>
        <v>1</v>
      </c>
      <c r="O134" s="4"/>
      <c r="P134" s="4"/>
    </row>
    <row r="135" spans="8:18" x14ac:dyDescent="0.25">
      <c r="I135">
        <f t="shared" si="9"/>
        <v>0</v>
      </c>
    </row>
    <row r="136" spans="8:18" x14ac:dyDescent="0.25">
      <c r="I136">
        <f t="shared" si="9"/>
        <v>0</v>
      </c>
    </row>
    <row r="137" spans="8:18" x14ac:dyDescent="0.25">
      <c r="I137">
        <f t="shared" si="9"/>
        <v>0</v>
      </c>
    </row>
    <row r="138" spans="8:18" x14ac:dyDescent="0.25">
      <c r="I138">
        <f t="shared" si="9"/>
        <v>0</v>
      </c>
    </row>
    <row r="139" spans="8:18" x14ac:dyDescent="0.25">
      <c r="I139">
        <f t="shared" si="9"/>
        <v>0</v>
      </c>
    </row>
    <row r="140" spans="8:18" x14ac:dyDescent="0.25">
      <c r="I140">
        <f t="shared" si="9"/>
        <v>0</v>
      </c>
    </row>
    <row r="141" spans="8:18" x14ac:dyDescent="0.25">
      <c r="I141">
        <f t="shared" si="9"/>
        <v>0</v>
      </c>
    </row>
    <row r="142" spans="8:18" x14ac:dyDescent="0.25">
      <c r="I142">
        <f t="shared" si="9"/>
        <v>0</v>
      </c>
    </row>
    <row r="143" spans="8:18" x14ac:dyDescent="0.25">
      <c r="I143">
        <f t="shared" si="9"/>
        <v>0</v>
      </c>
    </row>
    <row r="144" spans="8:18" x14ac:dyDescent="0.25">
      <c r="I144">
        <f t="shared" si="9"/>
        <v>0</v>
      </c>
    </row>
    <row r="145" spans="9:9" x14ac:dyDescent="0.25">
      <c r="I145">
        <f t="shared" si="9"/>
        <v>0</v>
      </c>
    </row>
    <row r="146" spans="9:9" x14ac:dyDescent="0.25">
      <c r="I146">
        <f t="shared" si="9"/>
        <v>0</v>
      </c>
    </row>
    <row r="147" spans="9:9" x14ac:dyDescent="0.25">
      <c r="I147">
        <f t="shared" si="9"/>
        <v>0</v>
      </c>
    </row>
    <row r="148" spans="9:9" x14ac:dyDescent="0.25">
      <c r="I148">
        <f t="shared" si="9"/>
        <v>0</v>
      </c>
    </row>
    <row r="149" spans="9:9" x14ac:dyDescent="0.25">
      <c r="I149">
        <f t="shared" si="9"/>
        <v>0</v>
      </c>
    </row>
    <row r="150" spans="9:9" x14ac:dyDescent="0.25">
      <c r="I150">
        <f t="shared" si="9"/>
        <v>0</v>
      </c>
    </row>
    <row r="151" spans="9:9" x14ac:dyDescent="0.25">
      <c r="I151">
        <f t="shared" ref="I151:I188" si="10">G151+H151</f>
        <v>0</v>
      </c>
    </row>
    <row r="152" spans="9:9" x14ac:dyDescent="0.25">
      <c r="I152">
        <f t="shared" si="10"/>
        <v>0</v>
      </c>
    </row>
    <row r="153" spans="9:9" x14ac:dyDescent="0.25">
      <c r="I153">
        <f t="shared" si="10"/>
        <v>0</v>
      </c>
    </row>
    <row r="154" spans="9:9" x14ac:dyDescent="0.25">
      <c r="I154">
        <f t="shared" si="10"/>
        <v>0</v>
      </c>
    </row>
    <row r="155" spans="9:9" x14ac:dyDescent="0.25">
      <c r="I155">
        <f t="shared" si="10"/>
        <v>0</v>
      </c>
    </row>
    <row r="156" spans="9:9" x14ac:dyDescent="0.25">
      <c r="I156">
        <f t="shared" si="10"/>
        <v>0</v>
      </c>
    </row>
    <row r="157" spans="9:9" x14ac:dyDescent="0.25">
      <c r="I157">
        <f t="shared" si="10"/>
        <v>0</v>
      </c>
    </row>
    <row r="158" spans="9:9" x14ac:dyDescent="0.25">
      <c r="I158">
        <f t="shared" si="10"/>
        <v>0</v>
      </c>
    </row>
    <row r="159" spans="9:9" x14ac:dyDescent="0.25">
      <c r="I159">
        <f t="shared" si="10"/>
        <v>0</v>
      </c>
    </row>
    <row r="160" spans="9:9" x14ac:dyDescent="0.25">
      <c r="I160">
        <f t="shared" si="10"/>
        <v>0</v>
      </c>
    </row>
    <row r="161" spans="9:9" x14ac:dyDescent="0.25">
      <c r="I161">
        <f t="shared" si="10"/>
        <v>0</v>
      </c>
    </row>
    <row r="162" spans="9:9" x14ac:dyDescent="0.25">
      <c r="I162">
        <f t="shared" si="10"/>
        <v>0</v>
      </c>
    </row>
    <row r="163" spans="9:9" x14ac:dyDescent="0.25">
      <c r="I163">
        <f t="shared" si="10"/>
        <v>0</v>
      </c>
    </row>
    <row r="164" spans="9:9" x14ac:dyDescent="0.25">
      <c r="I164">
        <f t="shared" si="10"/>
        <v>0</v>
      </c>
    </row>
    <row r="165" spans="9:9" x14ac:dyDescent="0.25">
      <c r="I165">
        <f t="shared" si="10"/>
        <v>0</v>
      </c>
    </row>
    <row r="166" spans="9:9" x14ac:dyDescent="0.25">
      <c r="I166">
        <f t="shared" si="10"/>
        <v>0</v>
      </c>
    </row>
    <row r="167" spans="9:9" x14ac:dyDescent="0.25">
      <c r="I167">
        <f t="shared" si="10"/>
        <v>0</v>
      </c>
    </row>
    <row r="168" spans="9:9" x14ac:dyDescent="0.25">
      <c r="I168">
        <f t="shared" si="10"/>
        <v>0</v>
      </c>
    </row>
    <row r="169" spans="9:9" x14ac:dyDescent="0.25">
      <c r="I169">
        <f t="shared" si="10"/>
        <v>0</v>
      </c>
    </row>
    <row r="170" spans="9:9" x14ac:dyDescent="0.25">
      <c r="I170">
        <f t="shared" si="10"/>
        <v>0</v>
      </c>
    </row>
    <row r="171" spans="9:9" x14ac:dyDescent="0.25">
      <c r="I171">
        <f t="shared" si="10"/>
        <v>0</v>
      </c>
    </row>
    <row r="172" spans="9:9" x14ac:dyDescent="0.25">
      <c r="I172">
        <f t="shared" si="10"/>
        <v>0</v>
      </c>
    </row>
    <row r="173" spans="9:9" x14ac:dyDescent="0.25">
      <c r="I173">
        <f t="shared" si="10"/>
        <v>0</v>
      </c>
    </row>
    <row r="174" spans="9:9" x14ac:dyDescent="0.25">
      <c r="I174">
        <f t="shared" si="10"/>
        <v>0</v>
      </c>
    </row>
    <row r="175" spans="9:9" x14ac:dyDescent="0.25">
      <c r="I175">
        <f t="shared" si="10"/>
        <v>0</v>
      </c>
    </row>
    <row r="176" spans="9:9" x14ac:dyDescent="0.25">
      <c r="I176">
        <f t="shared" si="10"/>
        <v>0</v>
      </c>
    </row>
    <row r="177" spans="9:9" x14ac:dyDescent="0.25">
      <c r="I177">
        <f t="shared" si="10"/>
        <v>0</v>
      </c>
    </row>
    <row r="178" spans="9:9" x14ac:dyDescent="0.25">
      <c r="I178">
        <f t="shared" si="10"/>
        <v>0</v>
      </c>
    </row>
    <row r="179" spans="9:9" x14ac:dyDescent="0.25">
      <c r="I179">
        <f t="shared" si="10"/>
        <v>0</v>
      </c>
    </row>
    <row r="180" spans="9:9" x14ac:dyDescent="0.25">
      <c r="I180">
        <f t="shared" si="10"/>
        <v>0</v>
      </c>
    </row>
    <row r="181" spans="9:9" x14ac:dyDescent="0.25">
      <c r="I181">
        <f t="shared" si="10"/>
        <v>0</v>
      </c>
    </row>
    <row r="182" spans="9:9" x14ac:dyDescent="0.25">
      <c r="I182">
        <f t="shared" si="10"/>
        <v>0</v>
      </c>
    </row>
    <row r="183" spans="9:9" x14ac:dyDescent="0.25">
      <c r="I183">
        <f t="shared" si="10"/>
        <v>0</v>
      </c>
    </row>
    <row r="184" spans="9:9" x14ac:dyDescent="0.25">
      <c r="I184">
        <f t="shared" si="10"/>
        <v>0</v>
      </c>
    </row>
    <row r="185" spans="9:9" x14ac:dyDescent="0.25">
      <c r="I185">
        <f t="shared" si="10"/>
        <v>0</v>
      </c>
    </row>
    <row r="186" spans="9:9" x14ac:dyDescent="0.25">
      <c r="I186">
        <f t="shared" si="10"/>
        <v>0</v>
      </c>
    </row>
    <row r="187" spans="9:9" x14ac:dyDescent="0.25">
      <c r="I187">
        <f t="shared" si="10"/>
        <v>0</v>
      </c>
    </row>
    <row r="188" spans="9:9" x14ac:dyDescent="0.25">
      <c r="I188">
        <f t="shared" si="10"/>
        <v>0</v>
      </c>
    </row>
  </sheetData>
  <conditionalFormatting sqref="Q7 Q14 M113:P126 Q47 Q87 Q77 Q9:Q10 M2:P111">
    <cfRule type="containsText" dxfId="158" priority="11" operator="containsText" text="No">
      <formula>NOT(ISERROR(SEARCH("No",M2)))</formula>
    </cfRule>
    <cfRule type="containsText" dxfId="157" priority="12" operator="containsText" text="On Demand">
      <formula>NOT(ISERROR(SEARCH("On Demand",M2)))</formula>
    </cfRule>
    <cfRule type="containsText" dxfId="156" priority="13" operator="containsText" text="Available">
      <formula>NOT(ISERROR(SEARCH("Available",M2)))</formula>
    </cfRule>
  </conditionalFormatting>
  <conditionalFormatting sqref="L113:L134 L2:L111">
    <cfRule type="containsText" dxfId="155" priority="10" operator="containsText" text="OK">
      <formula>NOT(ISERROR(SEARCH("OK",L2)))</formula>
    </cfRule>
  </conditionalFormatting>
  <conditionalFormatting sqref="M112:P112">
    <cfRule type="containsText" dxfId="154" priority="7" operator="containsText" text="No">
      <formula>NOT(ISERROR(SEARCH("No",M112)))</formula>
    </cfRule>
    <cfRule type="containsText" dxfId="153" priority="8" operator="containsText" text="On Demand">
      <formula>NOT(ISERROR(SEARCH("On Demand",M112)))</formula>
    </cfRule>
    <cfRule type="containsText" dxfId="152" priority="9" operator="containsText" text="Available">
      <formula>NOT(ISERROR(SEARCH("Available",M112)))</formula>
    </cfRule>
  </conditionalFormatting>
  <conditionalFormatting sqref="L112">
    <cfRule type="containsText" dxfId="151" priority="6" operator="containsText" text="OK">
      <formula>NOT(ISERROR(SEARCH("OK",L112)))</formula>
    </cfRule>
  </conditionalFormatting>
  <conditionalFormatting sqref="Q47 Q87 Q77 Q9:Q10 N1:P126">
    <cfRule type="containsText" dxfId="150" priority="5" operator="containsText" text="Yes">
      <formula>NOT(ISERROR(SEARCH("Yes",N1)))</formula>
    </cfRule>
  </conditionalFormatting>
  <conditionalFormatting sqref="Q47 Q87 Q77 Q9:Q10 N1:P1048576">
    <cfRule type="containsText" dxfId="149" priority="3" operator="containsText" text="No">
      <formula>NOT(ISERROR(SEARCH("No",N1)))</formula>
    </cfRule>
    <cfRule type="containsText" dxfId="148" priority="4" operator="containsText" text="N/A">
      <formula>NOT(ISERROR(SEARCH("N/A",N1)))</formula>
    </cfRule>
  </conditionalFormatting>
  <conditionalFormatting sqref="P1:P1048576">
    <cfRule type="containsText" dxfId="147" priority="2" operator="containsText" text="Yes">
      <formula>NOT(ISERROR(SEARCH("Yes",P1)))</formula>
    </cfRule>
    <cfRule type="containsText" dxfId="146" priority="1" operator="containsText" text="No">
      <formula>NOT(ISERROR(SEARCH("No",P1)))</formula>
    </cfRule>
  </conditionalFormatting>
  <hyperlinks>
    <hyperlink ref="B2" r:id="rId1" xr:uid="{FF5A7124-7BBD-4E86-AC10-67042DB0C9EC}"/>
    <hyperlink ref="B4" r:id="rId2" xr:uid="{149F56A9-496B-46D3-AF1E-85E89ECB536A}"/>
    <hyperlink ref="B5" r:id="rId3" xr:uid="{AAB4C112-4791-4101-8737-850879D71F73}"/>
    <hyperlink ref="B6" r:id="rId4" xr:uid="{65640280-0DDF-42DF-BFBA-A474D616F22B}"/>
    <hyperlink ref="B7" r:id="rId5" xr:uid="{C9AE6FB7-4EE0-42AD-96B7-CA83D9EB8D82}"/>
    <hyperlink ref="B8" r:id="rId6" xr:uid="{8791BBB4-546F-4CBC-AB7E-6D07AF158E1B}"/>
    <hyperlink ref="B9" r:id="rId7" xr:uid="{8500151B-01D1-41C7-8118-8EC1A36669A3}"/>
    <hyperlink ref="B10" r:id="rId8" xr:uid="{BA5B019F-9D63-4035-B7CE-A3F9F383C528}"/>
    <hyperlink ref="B11" r:id="rId9" xr:uid="{8BDA523A-324F-4D29-9C6C-52ADA6F48295}"/>
    <hyperlink ref="B13" r:id="rId10" xr:uid="{C6F0E088-ACCB-486D-AB0C-DDA8219C22F7}"/>
    <hyperlink ref="B14" r:id="rId11" xr:uid="{9FC2B9D4-051D-459C-8C41-68E8B1ED6854}"/>
    <hyperlink ref="B15" r:id="rId12" xr:uid="{7977382E-207E-4375-93CF-FEB0F9045CB3}"/>
    <hyperlink ref="B17" r:id="rId13" xr:uid="{B68EA03A-1DAC-4863-BEF2-08B3D726BBD9}"/>
    <hyperlink ref="B18" r:id="rId14" xr:uid="{396F4423-5C9B-41D9-BE48-D91D9E33FEEE}"/>
    <hyperlink ref="B19" r:id="rId15" xr:uid="{BFB9CAF7-AB55-47D0-91AB-A627238A26AA}"/>
    <hyperlink ref="B20" r:id="rId16" xr:uid="{6D63F112-9236-4ABB-AE93-9B1DD60BF3AF}"/>
    <hyperlink ref="B21" r:id="rId17" xr:uid="{106C6FCA-73F1-4677-B156-63ED63ED8490}"/>
    <hyperlink ref="B22" r:id="rId18" xr:uid="{4B00475F-F1EA-4C75-8AD9-F5E5FA50D81D}"/>
    <hyperlink ref="B23" r:id="rId19" xr:uid="{45F9BC72-FF6F-4FF0-A799-C7AAF173E400}"/>
    <hyperlink ref="B24" r:id="rId20" xr:uid="{5515C01A-9702-4164-9A7F-D5F9D2EFABFD}"/>
    <hyperlink ref="B25" r:id="rId21" xr:uid="{CDA035F1-EFFE-4631-AA81-4D1620EBB14E}"/>
    <hyperlink ref="B26" r:id="rId22" location="MOESM7" xr:uid="{98AF22CA-AB66-4EF0-A29D-031F445E5A9B}"/>
    <hyperlink ref="B27" r:id="rId23" xr:uid="{37D78954-88B5-425B-B07F-893FAFA4E094}"/>
    <hyperlink ref="B28" r:id="rId24" xr:uid="{211D1176-9443-4CDF-BFB7-8622B713A2C3}"/>
    <hyperlink ref="B29" r:id="rId25" xr:uid="{09587B8E-5C74-4F26-931E-F0F21E8BDBD3}"/>
    <hyperlink ref="B30" r:id="rId26" xr:uid="{71FE3A1B-F29B-426D-99F7-595DDE003FB2}"/>
    <hyperlink ref="B31" r:id="rId27" xr:uid="{178410B0-EFAA-4263-81CF-227CB3B47B14}"/>
    <hyperlink ref="B32" r:id="rId28" xr:uid="{8088C242-B904-4478-9092-9FD1840E006D}"/>
    <hyperlink ref="B33" r:id="rId29" xr:uid="{8B0A1E73-8F77-4FD0-89A9-0A6B956E7007}"/>
    <hyperlink ref="B34" r:id="rId30" xr:uid="{D55EE731-DE59-4E3D-BA98-5E1BD9FD1BFE}"/>
    <hyperlink ref="B35" r:id="rId31" xr:uid="{B38A7CCA-CF05-43DE-9E71-710ACA5FB396}"/>
    <hyperlink ref="B36" r:id="rId32" xr:uid="{C4B3F9A1-2406-451A-A547-B400F830E7B9}"/>
    <hyperlink ref="B37" r:id="rId33" xr:uid="{4BB1B143-F676-44EF-B91D-D49A1A032A79}"/>
    <hyperlink ref="B38" r:id="rId34" xr:uid="{8BA14667-EFB3-4A46-B340-ECD265151BAF}"/>
    <hyperlink ref="B39" r:id="rId35" xr:uid="{2734F46A-304F-49E4-AEB3-BEA21FB229E7}"/>
    <hyperlink ref="B40" r:id="rId36" xr:uid="{706467DF-AE5C-4F49-AE0E-1E5990E2ED8F}"/>
    <hyperlink ref="B41" r:id="rId37" xr:uid="{A5EA4B05-B905-482A-8DA7-870A38855F0D}"/>
    <hyperlink ref="B42" r:id="rId38" xr:uid="{F12B7993-5BA3-4A19-BD24-0591982905C5}"/>
    <hyperlink ref="B43" r:id="rId39" xr:uid="{A6E4DC60-3266-4A99-934E-9ACE7E0EA053}"/>
    <hyperlink ref="B44" r:id="rId40" location="sec013" xr:uid="{84793B23-10E8-4947-BD0D-ECF61161EE06}"/>
    <hyperlink ref="B45" r:id="rId41" xr:uid="{8707D40C-6BC0-49C0-8646-B8097F467EE6}"/>
    <hyperlink ref="B46" r:id="rId42" xr:uid="{1B72084A-995F-4D1C-86D3-6C70100D3D64}"/>
    <hyperlink ref="B47" r:id="rId43" xr:uid="{E99058F0-AF69-486D-8E58-EB7705656851}"/>
    <hyperlink ref="B48" r:id="rId44" xr:uid="{328A71B2-75F1-4709-BDF5-62D28C81E381}"/>
    <hyperlink ref="B49" r:id="rId45" xr:uid="{C0186508-1434-4713-9A11-1F85FF796E57}"/>
    <hyperlink ref="B50" r:id="rId46" xr:uid="{DA2E070E-7530-4225-A5BB-B1CF715ACD56}"/>
    <hyperlink ref="B51" r:id="rId47" xr:uid="{C7E59B28-333C-4C65-853E-2C88BC49A36F}"/>
    <hyperlink ref="B52" r:id="rId48" xr:uid="{6CEF28D9-91B3-4F40-9462-572201670DD3}"/>
    <hyperlink ref="B53" r:id="rId49" xr:uid="{B00B0A8F-F962-4A29-ABBE-935F8A4D0E68}"/>
    <hyperlink ref="B54" r:id="rId50" xr:uid="{35874C79-31F4-450F-A564-276BD9490513}"/>
    <hyperlink ref="B55" r:id="rId51" xr:uid="{CA52A9D9-81C0-459D-B7BD-40F9BCBDA806}"/>
    <hyperlink ref="B56" r:id="rId52" xr:uid="{B4C36FE9-B898-41AF-BEA2-C5C5A487099A}"/>
    <hyperlink ref="B58" r:id="rId53" xr:uid="{1C76E35C-67FA-49C1-9475-760B8AC606C6}"/>
    <hyperlink ref="B57" r:id="rId54" xr:uid="{5D9FD181-081F-4C8F-A5A0-190B2FFA17BD}"/>
    <hyperlink ref="B59" r:id="rId55" xr:uid="{F622BC1D-869C-46AC-9654-A822424AAD14}"/>
    <hyperlink ref="B60" r:id="rId56" xr:uid="{788D3C6B-381D-4F9D-9BB3-8549B5F0EBE6}"/>
    <hyperlink ref="B61" r:id="rId57" xr:uid="{D07F74E6-6446-4B64-B301-89B7FB1A9AA5}"/>
    <hyperlink ref="B62" r:id="rId58" xr:uid="{A34AD45F-CC1E-47A5-8DE4-3B444E9C1612}"/>
    <hyperlink ref="B63" r:id="rId59" xr:uid="{AAE9F4EC-7EFF-464A-A890-14AED76F44C9}"/>
    <hyperlink ref="B64" r:id="rId60" xr:uid="{08CA0722-C324-4196-8AE2-3440893A532F}"/>
    <hyperlink ref="B65" r:id="rId61" xr:uid="{DFE23322-9D7E-4142-A562-9972CBC321E0}"/>
    <hyperlink ref="B66" r:id="rId62" xr:uid="{2A6159EB-4287-46EB-8280-2AB1C61FB542}"/>
    <hyperlink ref="B67" r:id="rId63" xr:uid="{C0D45BF0-3CEC-4785-8151-63AE7A3ECDF6}"/>
    <hyperlink ref="B68" r:id="rId64" xr:uid="{06E06C37-5486-42B7-A64D-01B6CE79C2B4}"/>
    <hyperlink ref="B69" r:id="rId65" xr:uid="{4DC51D10-CFA8-40E5-8EF0-CDF0D6ACD0F8}"/>
    <hyperlink ref="B70" r:id="rId66" xr:uid="{D929E0EC-60D7-44DD-9D05-1A39F5F32481}"/>
    <hyperlink ref="B71" r:id="rId67" xr:uid="{0159F8FE-A270-49BC-A3E5-F3897E0B44DD}"/>
    <hyperlink ref="B72" r:id="rId68" xr:uid="{84D2096D-6603-4372-BD37-F6710FE547B3}"/>
    <hyperlink ref="B73" r:id="rId69" xr:uid="{C0C7CDCA-9C8F-4978-921B-535AE3E9E35A}"/>
    <hyperlink ref="B75" r:id="rId70" xr:uid="{EAC89091-BF12-421D-AE44-7A7FE5D0DCD2}"/>
    <hyperlink ref="B76" r:id="rId71" xr:uid="{66182118-55B2-41AC-8976-2208A390FC1C}"/>
    <hyperlink ref="B77" r:id="rId72" xr:uid="{54234959-E448-41D0-AB11-B8E0E54DBC0C}"/>
    <hyperlink ref="B78" r:id="rId73" xr:uid="{DC59BEBE-87BF-4805-92A2-26D1E1D6A0A2}"/>
    <hyperlink ref="B79" r:id="rId74" xr:uid="{A8F6CDC7-73EE-4515-A2F3-B4A225BDDCDB}"/>
    <hyperlink ref="B80" r:id="rId75" xr:uid="{3CDEE648-E337-4C49-B9A3-396BF26499CF}"/>
    <hyperlink ref="B81" r:id="rId76" xr:uid="{A975BE76-4646-4DED-A97A-C40F08FD0012}"/>
    <hyperlink ref="B82" r:id="rId77" xr:uid="{5A1D2C12-3170-4928-AC11-F7ADB307DE5D}"/>
    <hyperlink ref="B16" r:id="rId78" xr:uid="{5BC8C958-511F-4ED6-9C6F-D1F8D9E78E4D}"/>
    <hyperlink ref="B83" r:id="rId79" xr:uid="{FACB0DB9-8B08-44D2-94F5-F81E65BDF660}"/>
    <hyperlink ref="B84" r:id="rId80" xr:uid="{F9C2B685-FB23-4872-AFFF-320C0B712B5F}"/>
    <hyperlink ref="B85" r:id="rId81" xr:uid="{F2D7349F-A685-458C-83D0-BB39A5C6841D}"/>
    <hyperlink ref="B86" r:id="rId82" xr:uid="{071CDB90-40EB-40C8-869F-E0CFD672676C}"/>
    <hyperlink ref="B87" r:id="rId83" xr:uid="{6657AF24-9FA2-47F3-8950-5E2D6B89BBEC}"/>
    <hyperlink ref="B88" r:id="rId84" xr:uid="{EA41E505-57B8-4B3C-B10D-EECB49FA05A6}"/>
    <hyperlink ref="B89" r:id="rId85" xr:uid="{95F4EB96-13AF-48EB-A6E0-51A437679DB5}"/>
    <hyperlink ref="B90" r:id="rId86" xr:uid="{3AACF218-2835-4373-A4C9-60DE7A9F65A1}"/>
    <hyperlink ref="B91" r:id="rId87" xr:uid="{1AEBC208-3265-4D94-A05A-9F0BDB8B9DEF}"/>
    <hyperlink ref="B92" r:id="rId88" xr:uid="{889E080C-23CE-4E04-A8DF-643CAAA7A0A4}"/>
    <hyperlink ref="B93" r:id="rId89" xr:uid="{0A3E7E2A-FC28-4A19-A05A-40F9784DABB3}"/>
    <hyperlink ref="B94" r:id="rId90" xr:uid="{D862167D-D8FC-486C-A0D6-E0E024FC2B3C}"/>
    <hyperlink ref="B95" r:id="rId91" xr:uid="{35D3D51F-81CF-44A3-A641-E59BDF1A9DDD}"/>
    <hyperlink ref="B96" r:id="rId92" xr:uid="{7101ECB4-06B5-4415-98F4-E4D0B8407631}"/>
    <hyperlink ref="B97" r:id="rId93" xr:uid="{5E0CB555-2F41-4202-A052-1CECBF8395A0}"/>
    <hyperlink ref="B98" r:id="rId94" xr:uid="{B744D06C-F328-40D4-8C17-99747C7FBA3D}"/>
    <hyperlink ref="B99" r:id="rId95" xr:uid="{D20E1BEA-25FB-4487-A879-DC43ACFF27A4}"/>
    <hyperlink ref="B100" r:id="rId96" xr:uid="{3AE2C680-E95E-4CF7-BDAE-C9A1470C34E3}"/>
    <hyperlink ref="B101" r:id="rId97" xr:uid="{FD2F8968-F7B2-4373-8E3F-51EA8C6CC157}"/>
    <hyperlink ref="B74" r:id="rId98" xr:uid="{7996CFF9-08BF-4524-B687-B63BA98B9501}"/>
    <hyperlink ref="B102" r:id="rId99" xr:uid="{C139E017-DF10-476E-A072-E90B68A87548}"/>
    <hyperlink ref="B103" r:id="rId100" xr:uid="{FDC37885-2B94-4E10-B6E8-891217433D7E}"/>
    <hyperlink ref="B104" r:id="rId101" xr:uid="{3A617DC6-CF21-4D6F-9F28-7AAC884E9C8A}"/>
    <hyperlink ref="B105" r:id="rId102" xr:uid="{19B4C981-FC41-40E4-86A0-E19FF8E1362F}"/>
    <hyperlink ref="B106" r:id="rId103" xr:uid="{4A74C9BF-25D9-43F9-B9B1-7AED5720EBB5}"/>
    <hyperlink ref="B107" r:id="rId104" xr:uid="{D786AB44-1615-4721-8646-89359C3096A8}"/>
    <hyperlink ref="B108" r:id="rId105" xr:uid="{DD45B981-1128-4549-8311-0D3889B8DCAB}"/>
    <hyperlink ref="B109" r:id="rId106" xr:uid="{8CB1786D-1898-4EFA-85F7-2EEBE532167B}"/>
    <hyperlink ref="B110" r:id="rId107" xr:uid="{C23203F1-8389-4CF3-BBD5-E619E589343C}"/>
    <hyperlink ref="B111" r:id="rId108" xr:uid="{2773783F-5140-43FF-9AE1-4981CD290417}"/>
    <hyperlink ref="B112" r:id="rId109" xr:uid="{7B4B1EA5-52A4-4A42-A326-05F0AE8E8C92}"/>
    <hyperlink ref="B113" r:id="rId110" xr:uid="{E700A289-E08A-41F2-8708-4A90AD506F88}"/>
    <hyperlink ref="B114" r:id="rId111" xr:uid="{D7A54FF0-DDEB-4C61-995E-00C65FE3E940}"/>
    <hyperlink ref="B115" r:id="rId112" xr:uid="{E6773703-0A97-4291-BCF9-58BCAB264FC0}"/>
    <hyperlink ref="B116" r:id="rId113" xr:uid="{BF4C46B3-AD12-4265-AFB5-DB1BF506B4D9}"/>
    <hyperlink ref="B117" r:id="rId114" xr:uid="{E13D9872-29DC-4792-88C0-68230404E11E}"/>
    <hyperlink ref="B118" r:id="rId115" xr:uid="{D834D7DC-D9E3-4608-A830-CF3DCC7E33A9}"/>
    <hyperlink ref="B119" r:id="rId116" xr:uid="{76CAD6BF-DBC7-4873-8BAC-725E5D18512A}"/>
    <hyperlink ref="B120" r:id="rId117" xr:uid="{210B84D6-09A3-460E-8E49-91BFD846C629}"/>
    <hyperlink ref="B121" r:id="rId118" xr:uid="{C6533B92-6DA2-45BB-B382-4A0EB9D2683A}"/>
    <hyperlink ref="B122" r:id="rId119" xr:uid="{F2011701-785D-4547-B6B9-BEEEBA04B79A}"/>
    <hyperlink ref="B123" r:id="rId120" xr:uid="{8CEBCB69-7306-48D6-A219-27BE502D2906}"/>
    <hyperlink ref="B124" r:id="rId121" xr:uid="{CEF302E1-77C3-4E2C-B1D6-E9447F55CAEE}"/>
    <hyperlink ref="B125" r:id="rId122" xr:uid="{5E8E9FDD-F3B0-4B87-9093-6D7C46860337}"/>
    <hyperlink ref="B126" r:id="rId123" xr:uid="{2A9EE01B-A1A4-49A4-BCC8-0AA388D3908E}"/>
    <hyperlink ref="B12" r:id="rId124" xr:uid="{C91D89F5-049A-4D01-B80C-B84EA3314C9F}"/>
    <hyperlink ref="B3" r:id="rId125" xr:uid="{ECAC142D-47E1-42FA-9637-2750E5A1C4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B021-4C94-45DE-AD3C-EE486F586682}">
  <dimension ref="A1:O44"/>
  <sheetViews>
    <sheetView topLeftCell="A2" workbookViewId="0">
      <selection activeCell="A44" sqref="A44:XFD44"/>
    </sheetView>
  </sheetViews>
  <sheetFormatPr defaultRowHeight="15" x14ac:dyDescent="0.25"/>
  <cols>
    <col min="1" max="1" width="19.140625" customWidth="1"/>
    <col min="2" max="2" width="47.42578125" customWidth="1"/>
    <col min="6" max="6" width="15.85546875" customWidth="1"/>
    <col min="7" max="7" width="20.7109375" customWidth="1"/>
    <col min="8" max="8" width="13" customWidth="1"/>
    <col min="9" max="9" width="11" customWidth="1"/>
    <col min="10" max="10" width="16.42578125" customWidth="1"/>
    <col min="11" max="11" width="19.5703125" customWidth="1"/>
    <col min="12" max="12" width="17" customWidth="1"/>
    <col min="13" max="13" width="14.85546875" customWidth="1"/>
    <col min="14" max="14" width="18.28515625" customWidth="1"/>
  </cols>
  <sheetData>
    <row r="1" spans="1:14" x14ac:dyDescent="0.25">
      <c r="A1" t="s">
        <v>0</v>
      </c>
      <c r="B1" t="s">
        <v>2</v>
      </c>
      <c r="C1" t="s">
        <v>10</v>
      </c>
      <c r="D1" t="s">
        <v>11</v>
      </c>
      <c r="E1" t="s">
        <v>26</v>
      </c>
      <c r="F1" t="s">
        <v>64</v>
      </c>
      <c r="G1" t="s">
        <v>12</v>
      </c>
      <c r="H1" t="s">
        <v>4</v>
      </c>
      <c r="I1" t="s">
        <v>13</v>
      </c>
      <c r="J1" t="s">
        <v>5</v>
      </c>
      <c r="K1" t="s">
        <v>311</v>
      </c>
      <c r="L1" t="s">
        <v>316</v>
      </c>
      <c r="M1" t="s">
        <v>6</v>
      </c>
      <c r="N1" t="s">
        <v>16</v>
      </c>
    </row>
    <row r="2" spans="1:14" x14ac:dyDescent="0.25">
      <c r="A2" t="s">
        <v>36</v>
      </c>
      <c r="B2" s="1" t="s">
        <v>37</v>
      </c>
      <c r="C2">
        <v>65</v>
      </c>
      <c r="D2">
        <v>39</v>
      </c>
      <c r="G2">
        <f>SUM(C2:D2)</f>
        <v>104</v>
      </c>
      <c r="H2">
        <v>104</v>
      </c>
      <c r="I2">
        <f t="shared" ref="I2:I6" si="0">G2+H2</f>
        <v>208</v>
      </c>
      <c r="J2" t="s">
        <v>38</v>
      </c>
      <c r="K2" t="s">
        <v>81</v>
      </c>
      <c r="M2" t="s">
        <v>7</v>
      </c>
      <c r="N2" t="s">
        <v>39</v>
      </c>
    </row>
    <row r="3" spans="1:14" x14ac:dyDescent="0.25">
      <c r="A3" t="s">
        <v>43</v>
      </c>
      <c r="B3" s="1" t="s">
        <v>44</v>
      </c>
      <c r="C3">
        <v>13</v>
      </c>
      <c r="D3">
        <v>10</v>
      </c>
      <c r="G3">
        <f>SUM(C3:D3)</f>
        <v>23</v>
      </c>
      <c r="H3">
        <v>17</v>
      </c>
      <c r="I3">
        <f t="shared" si="0"/>
        <v>40</v>
      </c>
      <c r="J3" t="s">
        <v>42</v>
      </c>
      <c r="K3" t="s">
        <v>42</v>
      </c>
      <c r="M3" t="s">
        <v>18</v>
      </c>
    </row>
    <row r="4" spans="1:14" x14ac:dyDescent="0.25">
      <c r="A4" t="s">
        <v>49</v>
      </c>
      <c r="B4" s="1" t="s">
        <v>50</v>
      </c>
      <c r="I4">
        <f t="shared" si="0"/>
        <v>0</v>
      </c>
      <c r="K4" t="s">
        <v>317</v>
      </c>
      <c r="M4" t="s">
        <v>7</v>
      </c>
      <c r="N4" t="s">
        <v>51</v>
      </c>
    </row>
    <row r="5" spans="1:14" x14ac:dyDescent="0.25">
      <c r="A5" t="s">
        <v>52</v>
      </c>
      <c r="B5" s="1" t="s">
        <v>53</v>
      </c>
      <c r="C5">
        <v>5</v>
      </c>
      <c r="G5">
        <f>C5</f>
        <v>5</v>
      </c>
      <c r="H5">
        <v>5</v>
      </c>
      <c r="I5">
        <f t="shared" si="0"/>
        <v>10</v>
      </c>
      <c r="J5" t="s">
        <v>38</v>
      </c>
      <c r="K5" t="s">
        <v>81</v>
      </c>
      <c r="M5" t="s">
        <v>7</v>
      </c>
    </row>
    <row r="6" spans="1:14" x14ac:dyDescent="0.25">
      <c r="A6" t="s">
        <v>59</v>
      </c>
      <c r="B6" s="1" t="s">
        <v>60</v>
      </c>
      <c r="I6">
        <f t="shared" si="0"/>
        <v>0</v>
      </c>
      <c r="J6" t="s">
        <v>8</v>
      </c>
      <c r="K6" t="s">
        <v>319</v>
      </c>
      <c r="M6" t="s">
        <v>7</v>
      </c>
      <c r="N6" t="s">
        <v>61</v>
      </c>
    </row>
    <row r="7" spans="1:14" x14ac:dyDescent="0.25">
      <c r="A7" t="s">
        <v>73</v>
      </c>
      <c r="B7" s="1" t="s">
        <v>74</v>
      </c>
      <c r="I7">
        <f t="shared" ref="I7:I20" si="1">G7+H7</f>
        <v>0</v>
      </c>
      <c r="K7" t="s">
        <v>350</v>
      </c>
      <c r="M7" t="s">
        <v>7</v>
      </c>
      <c r="N7" t="s">
        <v>75</v>
      </c>
    </row>
    <row r="8" spans="1:14" x14ac:dyDescent="0.25">
      <c r="A8" t="s">
        <v>84</v>
      </c>
      <c r="B8" s="1" t="s">
        <v>83</v>
      </c>
      <c r="C8">
        <f>27+10</f>
        <v>37</v>
      </c>
      <c r="G8">
        <f>C8</f>
        <v>37</v>
      </c>
      <c r="H8">
        <f>16+10</f>
        <v>26</v>
      </c>
      <c r="I8">
        <f t="shared" si="1"/>
        <v>63</v>
      </c>
      <c r="J8" t="s">
        <v>85</v>
      </c>
      <c r="M8" t="s">
        <v>7</v>
      </c>
    </row>
    <row r="9" spans="1:14" x14ac:dyDescent="0.25">
      <c r="A9" t="s">
        <v>79</v>
      </c>
      <c r="B9" s="1" t="s">
        <v>80</v>
      </c>
      <c r="G9">
        <v>28</v>
      </c>
      <c r="H9">
        <v>28</v>
      </c>
      <c r="I9">
        <f t="shared" si="1"/>
        <v>56</v>
      </c>
      <c r="J9" t="s">
        <v>81</v>
      </c>
      <c r="K9" t="s">
        <v>81</v>
      </c>
      <c r="M9" t="s">
        <v>7</v>
      </c>
      <c r="N9" t="s">
        <v>82</v>
      </c>
    </row>
    <row r="10" spans="1:14" x14ac:dyDescent="0.25">
      <c r="A10" t="s">
        <v>87</v>
      </c>
      <c r="B10" s="1" t="s">
        <v>86</v>
      </c>
      <c r="I10">
        <f t="shared" si="1"/>
        <v>0</v>
      </c>
      <c r="K10" t="s">
        <v>351</v>
      </c>
      <c r="M10" t="s">
        <v>7</v>
      </c>
      <c r="N10" t="s">
        <v>88</v>
      </c>
    </row>
    <row r="11" spans="1:14" x14ac:dyDescent="0.25">
      <c r="A11" t="s">
        <v>89</v>
      </c>
      <c r="B11" s="1" t="s">
        <v>90</v>
      </c>
      <c r="G11">
        <v>20</v>
      </c>
      <c r="H11">
        <v>20</v>
      </c>
      <c r="I11">
        <f t="shared" si="1"/>
        <v>40</v>
      </c>
      <c r="J11" t="s">
        <v>81</v>
      </c>
      <c r="K11" t="s">
        <v>81</v>
      </c>
      <c r="M11" t="s">
        <v>7</v>
      </c>
      <c r="N11" t="s">
        <v>91</v>
      </c>
    </row>
    <row r="12" spans="1:14" x14ac:dyDescent="0.25">
      <c r="A12" t="s">
        <v>92</v>
      </c>
      <c r="B12" s="1" t="s">
        <v>93</v>
      </c>
      <c r="C12">
        <v>9</v>
      </c>
      <c r="D12">
        <v>7</v>
      </c>
      <c r="G12">
        <v>14</v>
      </c>
      <c r="H12">
        <v>20</v>
      </c>
      <c r="I12">
        <f t="shared" si="1"/>
        <v>34</v>
      </c>
      <c r="J12" t="s">
        <v>94</v>
      </c>
      <c r="K12" t="s">
        <v>438</v>
      </c>
      <c r="M12" t="s">
        <v>7</v>
      </c>
    </row>
    <row r="13" spans="1:14" x14ac:dyDescent="0.25">
      <c r="A13" t="s">
        <v>97</v>
      </c>
      <c r="B13" s="1" t="s">
        <v>98</v>
      </c>
      <c r="C13">
        <f>43+31</f>
        <v>74</v>
      </c>
      <c r="D13">
        <f>33+25</f>
        <v>58</v>
      </c>
      <c r="G13">
        <f>SUM(C13:D13)</f>
        <v>132</v>
      </c>
      <c r="H13">
        <f>72+55</f>
        <v>127</v>
      </c>
      <c r="I13">
        <f t="shared" si="1"/>
        <v>259</v>
      </c>
      <c r="J13" t="s">
        <v>439</v>
      </c>
      <c r="K13" t="s">
        <v>440</v>
      </c>
      <c r="L13">
        <v>3</v>
      </c>
      <c r="M13" t="s">
        <v>7</v>
      </c>
    </row>
    <row r="14" spans="1:14" x14ac:dyDescent="0.25">
      <c r="A14" t="s">
        <v>104</v>
      </c>
      <c r="B14" s="1" t="s">
        <v>103</v>
      </c>
      <c r="I14">
        <f t="shared" si="1"/>
        <v>0</v>
      </c>
      <c r="J14" t="s">
        <v>81</v>
      </c>
      <c r="K14" t="s">
        <v>81</v>
      </c>
      <c r="M14" t="s">
        <v>7</v>
      </c>
      <c r="N14" t="s">
        <v>105</v>
      </c>
    </row>
    <row r="15" spans="1:14" x14ac:dyDescent="0.25">
      <c r="A15" t="s">
        <v>106</v>
      </c>
      <c r="B15" s="1" t="s">
        <v>107</v>
      </c>
      <c r="D15">
        <f>60+88</f>
        <v>148</v>
      </c>
      <c r="G15">
        <f>D15</f>
        <v>148</v>
      </c>
      <c r="H15">
        <v>148</v>
      </c>
      <c r="I15">
        <f t="shared" si="1"/>
        <v>296</v>
      </c>
      <c r="J15" t="s">
        <v>81</v>
      </c>
      <c r="K15" t="s">
        <v>81</v>
      </c>
      <c r="M15" t="s">
        <v>7</v>
      </c>
    </row>
    <row r="16" spans="1:14" x14ac:dyDescent="0.25">
      <c r="A16" t="s">
        <v>108</v>
      </c>
      <c r="B16" s="1" t="s">
        <v>109</v>
      </c>
      <c r="I16">
        <f t="shared" si="1"/>
        <v>0</v>
      </c>
      <c r="J16" t="s">
        <v>81</v>
      </c>
      <c r="K16" t="s">
        <v>81</v>
      </c>
      <c r="M16" t="s">
        <v>7</v>
      </c>
      <c r="N16" t="s">
        <v>110</v>
      </c>
    </row>
    <row r="17" spans="1:14" x14ac:dyDescent="0.25">
      <c r="A17" t="s">
        <v>113</v>
      </c>
      <c r="B17" s="1" t="s">
        <v>112</v>
      </c>
      <c r="I17">
        <f t="shared" si="1"/>
        <v>0</v>
      </c>
      <c r="K17" t="s">
        <v>441</v>
      </c>
      <c r="M17" t="s">
        <v>7</v>
      </c>
      <c r="N17" t="s">
        <v>111</v>
      </c>
    </row>
    <row r="18" spans="1:14" x14ac:dyDescent="0.25">
      <c r="A18" t="s">
        <v>114</v>
      </c>
      <c r="B18" s="1" t="s">
        <v>115</v>
      </c>
      <c r="C18">
        <f>25*2</f>
        <v>50</v>
      </c>
      <c r="D18">
        <f>19*2</f>
        <v>38</v>
      </c>
      <c r="G18">
        <f>SUM(C18:D18)</f>
        <v>88</v>
      </c>
      <c r="H18">
        <v>0</v>
      </c>
      <c r="I18">
        <f t="shared" si="1"/>
        <v>88</v>
      </c>
      <c r="J18" t="s">
        <v>38</v>
      </c>
      <c r="K18" t="s">
        <v>81</v>
      </c>
      <c r="L18">
        <v>667</v>
      </c>
      <c r="M18" t="s">
        <v>7</v>
      </c>
      <c r="N18" t="s">
        <v>116</v>
      </c>
    </row>
    <row r="19" spans="1:14" x14ac:dyDescent="0.25">
      <c r="A19" t="s">
        <v>117</v>
      </c>
      <c r="B19" s="1" t="s">
        <v>118</v>
      </c>
      <c r="C19">
        <v>6</v>
      </c>
      <c r="G19">
        <v>6</v>
      </c>
      <c r="H19">
        <v>6</v>
      </c>
      <c r="I19">
        <f t="shared" si="1"/>
        <v>12</v>
      </c>
      <c r="J19" t="s">
        <v>38</v>
      </c>
      <c r="K19" t="s">
        <v>81</v>
      </c>
      <c r="M19" t="s">
        <v>7</v>
      </c>
    </row>
    <row r="20" spans="1:14" x14ac:dyDescent="0.25">
      <c r="A20" t="s">
        <v>119</v>
      </c>
      <c r="B20" s="1" t="s">
        <v>120</v>
      </c>
      <c r="I20">
        <f t="shared" si="1"/>
        <v>0</v>
      </c>
      <c r="K20" t="s">
        <v>210</v>
      </c>
      <c r="N20" t="s">
        <v>121</v>
      </c>
    </row>
    <row r="21" spans="1:14" x14ac:dyDescent="0.25">
      <c r="A21" t="s">
        <v>137</v>
      </c>
      <c r="B21" s="1" t="s">
        <v>138</v>
      </c>
      <c r="G21">
        <v>90</v>
      </c>
      <c r="H21">
        <v>90</v>
      </c>
      <c r="I21">
        <f t="shared" ref="I21:I28" si="2">G21+H21</f>
        <v>180</v>
      </c>
      <c r="J21" t="s">
        <v>33</v>
      </c>
      <c r="K21" t="s">
        <v>442</v>
      </c>
      <c r="L21">
        <v>2</v>
      </c>
      <c r="M21" t="s">
        <v>124</v>
      </c>
    </row>
    <row r="22" spans="1:14" x14ac:dyDescent="0.25">
      <c r="A22" t="s">
        <v>139</v>
      </c>
      <c r="B22" s="1" t="s">
        <v>140</v>
      </c>
      <c r="C22">
        <v>24</v>
      </c>
      <c r="D22">
        <v>6</v>
      </c>
      <c r="G22">
        <f>SUM(C22:D22)</f>
        <v>30</v>
      </c>
      <c r="H22">
        <v>30</v>
      </c>
      <c r="I22">
        <f t="shared" si="2"/>
        <v>60</v>
      </c>
      <c r="J22" t="s">
        <v>141</v>
      </c>
      <c r="K22" t="s">
        <v>42</v>
      </c>
      <c r="M22" t="s">
        <v>124</v>
      </c>
    </row>
    <row r="23" spans="1:14" x14ac:dyDescent="0.25">
      <c r="A23" t="s">
        <v>158</v>
      </c>
      <c r="B23" s="1" t="s">
        <v>159</v>
      </c>
      <c r="C23">
        <v>28</v>
      </c>
      <c r="D23">
        <v>32</v>
      </c>
      <c r="F23">
        <v>25</v>
      </c>
      <c r="G23">
        <f>SUM(C23:F23)</f>
        <v>85</v>
      </c>
      <c r="H23">
        <v>85</v>
      </c>
      <c r="I23">
        <f t="shared" si="2"/>
        <v>170</v>
      </c>
      <c r="J23" t="s">
        <v>8</v>
      </c>
      <c r="K23" t="s">
        <v>442</v>
      </c>
      <c r="L23">
        <v>2</v>
      </c>
      <c r="M23" t="s">
        <v>124</v>
      </c>
    </row>
    <row r="24" spans="1:14" x14ac:dyDescent="0.25">
      <c r="A24" t="s">
        <v>162</v>
      </c>
      <c r="B24" s="1" t="s">
        <v>163</v>
      </c>
      <c r="C24">
        <v>71</v>
      </c>
      <c r="D24">
        <v>56</v>
      </c>
      <c r="G24">
        <f>SUM(C24:D24)</f>
        <v>127</v>
      </c>
      <c r="H24">
        <v>112</v>
      </c>
      <c r="I24">
        <f t="shared" si="2"/>
        <v>239</v>
      </c>
      <c r="J24" t="s">
        <v>9</v>
      </c>
      <c r="K24" t="s">
        <v>442</v>
      </c>
      <c r="L24">
        <v>3</v>
      </c>
      <c r="M24" t="s">
        <v>124</v>
      </c>
    </row>
    <row r="25" spans="1:14" x14ac:dyDescent="0.25">
      <c r="A25" t="s">
        <v>166</v>
      </c>
      <c r="B25" s="1" t="s">
        <v>167</v>
      </c>
      <c r="I25">
        <f t="shared" si="2"/>
        <v>0</v>
      </c>
      <c r="K25" t="s">
        <v>210</v>
      </c>
      <c r="N25" t="s">
        <v>170</v>
      </c>
    </row>
    <row r="26" spans="1:14" x14ac:dyDescent="0.25">
      <c r="A26" t="s">
        <v>172</v>
      </c>
      <c r="B26" s="1" t="s">
        <v>173</v>
      </c>
      <c r="C26">
        <v>60</v>
      </c>
      <c r="D26">
        <v>20</v>
      </c>
      <c r="G26">
        <v>80</v>
      </c>
      <c r="H26">
        <v>80</v>
      </c>
      <c r="I26">
        <f t="shared" si="2"/>
        <v>160</v>
      </c>
      <c r="J26" t="s">
        <v>8</v>
      </c>
      <c r="K26" t="s">
        <v>442</v>
      </c>
      <c r="L26">
        <v>1</v>
      </c>
      <c r="M26" t="s">
        <v>124</v>
      </c>
      <c r="N26" t="s">
        <v>444</v>
      </c>
    </row>
    <row r="27" spans="1:14" x14ac:dyDescent="0.25">
      <c r="A27" t="s">
        <v>174</v>
      </c>
      <c r="B27" s="1" t="s">
        <v>175</v>
      </c>
      <c r="G27">
        <v>58</v>
      </c>
      <c r="H27">
        <v>42</v>
      </c>
      <c r="I27">
        <f t="shared" si="2"/>
        <v>100</v>
      </c>
      <c r="J27" t="s">
        <v>63</v>
      </c>
      <c r="K27" t="s">
        <v>442</v>
      </c>
      <c r="L27">
        <v>2</v>
      </c>
      <c r="M27" t="s">
        <v>124</v>
      </c>
    </row>
    <row r="28" spans="1:14" x14ac:dyDescent="0.25">
      <c r="A28" t="s">
        <v>176</v>
      </c>
      <c r="B28" s="1" t="s">
        <v>178</v>
      </c>
      <c r="C28">
        <f>15+17</f>
        <v>32</v>
      </c>
      <c r="D28">
        <f>10+8</f>
        <v>18</v>
      </c>
      <c r="E28">
        <f>10</f>
        <v>10</v>
      </c>
      <c r="G28">
        <f>SUM(C28:E28)</f>
        <v>60</v>
      </c>
      <c r="H28">
        <v>30</v>
      </c>
      <c r="I28">
        <f t="shared" si="2"/>
        <v>90</v>
      </c>
      <c r="J28" t="s">
        <v>9</v>
      </c>
      <c r="K28" t="s">
        <v>442</v>
      </c>
      <c r="L28">
        <v>3</v>
      </c>
      <c r="M28" t="s">
        <v>124</v>
      </c>
    </row>
    <row r="29" spans="1:14" x14ac:dyDescent="0.25">
      <c r="A29" t="s">
        <v>201</v>
      </c>
      <c r="B29" s="1" t="s">
        <v>183</v>
      </c>
      <c r="C29">
        <v>6</v>
      </c>
      <c r="D29">
        <v>8</v>
      </c>
      <c r="F29">
        <v>6</v>
      </c>
      <c r="G29">
        <f>SUM(C29:F29)</f>
        <v>20</v>
      </c>
      <c r="H29">
        <v>10</v>
      </c>
      <c r="I29">
        <f t="shared" ref="I29:I40" si="3">G29+H29</f>
        <v>30</v>
      </c>
      <c r="J29" t="s">
        <v>63</v>
      </c>
      <c r="K29" t="s">
        <v>442</v>
      </c>
      <c r="L29">
        <v>1</v>
      </c>
      <c r="M29" t="s">
        <v>124</v>
      </c>
    </row>
    <row r="30" spans="1:14" x14ac:dyDescent="0.25">
      <c r="A30" t="s">
        <v>202</v>
      </c>
      <c r="B30" s="1" t="s">
        <v>203</v>
      </c>
      <c r="C30">
        <v>20</v>
      </c>
      <c r="D30">
        <v>16</v>
      </c>
      <c r="G30">
        <f>SUM(C30:D30)</f>
        <v>36</v>
      </c>
      <c r="H30">
        <v>38</v>
      </c>
      <c r="I30">
        <f t="shared" si="3"/>
        <v>74</v>
      </c>
      <c r="J30" t="s">
        <v>8</v>
      </c>
      <c r="K30" t="s">
        <v>442</v>
      </c>
      <c r="L30">
        <v>2</v>
      </c>
      <c r="M30" t="s">
        <v>124</v>
      </c>
    </row>
    <row r="31" spans="1:14" x14ac:dyDescent="0.25">
      <c r="A31" t="s">
        <v>206</v>
      </c>
      <c r="B31" s="1" t="s">
        <v>207</v>
      </c>
      <c r="G31">
        <v>70</v>
      </c>
      <c r="H31">
        <v>70</v>
      </c>
      <c r="I31">
        <f t="shared" si="3"/>
        <v>140</v>
      </c>
      <c r="J31" t="s">
        <v>9</v>
      </c>
      <c r="K31" t="s">
        <v>442</v>
      </c>
      <c r="L31">
        <v>3</v>
      </c>
      <c r="M31" t="s">
        <v>124</v>
      </c>
    </row>
    <row r="32" spans="1:14" x14ac:dyDescent="0.25">
      <c r="A32" t="s">
        <v>208</v>
      </c>
      <c r="B32" s="1" t="s">
        <v>209</v>
      </c>
      <c r="I32">
        <f t="shared" si="3"/>
        <v>0</v>
      </c>
      <c r="K32" t="s">
        <v>210</v>
      </c>
      <c r="N32" t="s">
        <v>210</v>
      </c>
    </row>
    <row r="33" spans="1:15" x14ac:dyDescent="0.25">
      <c r="A33" t="s">
        <v>211</v>
      </c>
      <c r="B33" s="1" t="s">
        <v>213</v>
      </c>
      <c r="C33">
        <v>18</v>
      </c>
      <c r="D33">
        <v>15</v>
      </c>
      <c r="F33">
        <v>2</v>
      </c>
      <c r="G33">
        <f>SUM(C33:F33)</f>
        <v>35</v>
      </c>
      <c r="H33">
        <v>30</v>
      </c>
      <c r="I33">
        <f t="shared" si="3"/>
        <v>65</v>
      </c>
      <c r="J33" t="s">
        <v>212</v>
      </c>
      <c r="K33" t="s">
        <v>442</v>
      </c>
      <c r="L33">
        <v>1</v>
      </c>
      <c r="M33" t="s">
        <v>124</v>
      </c>
    </row>
    <row r="34" spans="1:15" x14ac:dyDescent="0.25">
      <c r="A34" t="s">
        <v>214</v>
      </c>
      <c r="B34" s="1" t="s">
        <v>215</v>
      </c>
      <c r="C34">
        <v>44</v>
      </c>
      <c r="D34">
        <v>21</v>
      </c>
      <c r="E34">
        <v>2</v>
      </c>
      <c r="F34">
        <v>10</v>
      </c>
      <c r="G34">
        <f>SUM(C34:F34)</f>
        <v>77</v>
      </c>
      <c r="H34">
        <v>113</v>
      </c>
      <c r="I34">
        <f t="shared" si="3"/>
        <v>190</v>
      </c>
      <c r="J34" t="s">
        <v>8</v>
      </c>
      <c r="K34" t="s">
        <v>442</v>
      </c>
      <c r="L34">
        <v>1</v>
      </c>
      <c r="M34" t="s">
        <v>124</v>
      </c>
    </row>
    <row r="35" spans="1:15" x14ac:dyDescent="0.25">
      <c r="A35" t="s">
        <v>216</v>
      </c>
      <c r="B35" s="1" t="s">
        <v>217</v>
      </c>
      <c r="G35">
        <v>193</v>
      </c>
      <c r="H35">
        <f>63+47</f>
        <v>110</v>
      </c>
      <c r="I35">
        <f t="shared" si="3"/>
        <v>303</v>
      </c>
      <c r="J35" t="s">
        <v>9</v>
      </c>
      <c r="K35" t="s">
        <v>442</v>
      </c>
      <c r="L35">
        <v>1</v>
      </c>
      <c r="M35" t="s">
        <v>124</v>
      </c>
    </row>
    <row r="36" spans="1:15" x14ac:dyDescent="0.25">
      <c r="A36" t="s">
        <v>222</v>
      </c>
      <c r="B36" s="1" t="s">
        <v>223</v>
      </c>
      <c r="C36">
        <v>37</v>
      </c>
      <c r="D36">
        <v>17</v>
      </c>
      <c r="G36">
        <f>SUM(C36:D36)</f>
        <v>54</v>
      </c>
      <c r="H36">
        <v>46</v>
      </c>
      <c r="I36">
        <f t="shared" si="3"/>
        <v>100</v>
      </c>
      <c r="J36" t="s">
        <v>8</v>
      </c>
      <c r="K36" t="s">
        <v>442</v>
      </c>
      <c r="L36">
        <v>2</v>
      </c>
      <c r="M36" t="s">
        <v>124</v>
      </c>
    </row>
    <row r="37" spans="1:15" x14ac:dyDescent="0.25">
      <c r="A37" t="s">
        <v>224</v>
      </c>
      <c r="B37" s="1" t="s">
        <v>225</v>
      </c>
      <c r="C37">
        <f>40+20</f>
        <v>60</v>
      </c>
      <c r="D37">
        <f>9+6</f>
        <v>15</v>
      </c>
      <c r="F37">
        <f>13+8</f>
        <v>21</v>
      </c>
      <c r="G37">
        <f>SUM(C37:F37)</f>
        <v>96</v>
      </c>
      <c r="H37">
        <f>60+32</f>
        <v>92</v>
      </c>
      <c r="I37">
        <f t="shared" si="3"/>
        <v>188</v>
      </c>
      <c r="J37" t="s">
        <v>8</v>
      </c>
      <c r="K37" t="s">
        <v>442</v>
      </c>
      <c r="L37">
        <v>3</v>
      </c>
      <c r="M37" t="s">
        <v>124</v>
      </c>
    </row>
    <row r="38" spans="1:15" x14ac:dyDescent="0.25">
      <c r="A38" t="s">
        <v>229</v>
      </c>
      <c r="B38" s="1" t="s">
        <v>230</v>
      </c>
      <c r="C38">
        <v>34</v>
      </c>
      <c r="D38">
        <v>30</v>
      </c>
      <c r="G38">
        <f>SUM(C38:D38)</f>
        <v>64</v>
      </c>
      <c r="H38">
        <v>26</v>
      </c>
      <c r="I38">
        <f t="shared" si="3"/>
        <v>90</v>
      </c>
      <c r="J38" t="s">
        <v>228</v>
      </c>
      <c r="K38" t="s">
        <v>442</v>
      </c>
      <c r="L38">
        <v>2</v>
      </c>
      <c r="M38" t="s">
        <v>124</v>
      </c>
    </row>
    <row r="39" spans="1:15" x14ac:dyDescent="0.25">
      <c r="A39" t="s">
        <v>231</v>
      </c>
      <c r="B39" s="1" t="s">
        <v>232</v>
      </c>
      <c r="C39">
        <v>36</v>
      </c>
      <c r="G39">
        <f>C39</f>
        <v>36</v>
      </c>
      <c r="H39">
        <v>32</v>
      </c>
      <c r="I39">
        <f t="shared" si="3"/>
        <v>68</v>
      </c>
      <c r="J39" t="s">
        <v>9</v>
      </c>
      <c r="K39" t="s">
        <v>442</v>
      </c>
      <c r="L39">
        <v>2</v>
      </c>
      <c r="M39" t="s">
        <v>124</v>
      </c>
    </row>
    <row r="40" spans="1:15" x14ac:dyDescent="0.25">
      <c r="A40" s="3" t="s">
        <v>233</v>
      </c>
      <c r="B40" s="1" t="s">
        <v>234</v>
      </c>
      <c r="C40">
        <v>44</v>
      </c>
      <c r="D40">
        <v>46</v>
      </c>
      <c r="F40">
        <v>10</v>
      </c>
      <c r="G40">
        <f>SUM(C40:F40)</f>
        <v>100</v>
      </c>
      <c r="H40">
        <v>100</v>
      </c>
      <c r="I40">
        <f t="shared" si="3"/>
        <v>200</v>
      </c>
      <c r="J40" t="s">
        <v>8</v>
      </c>
      <c r="K40" t="s">
        <v>446</v>
      </c>
      <c r="N40" s="2" t="s">
        <v>235</v>
      </c>
    </row>
    <row r="41" spans="1:15" x14ac:dyDescent="0.25">
      <c r="A41" t="s">
        <v>253</v>
      </c>
      <c r="B41" s="1" t="s">
        <v>254</v>
      </c>
      <c r="C41">
        <v>42</v>
      </c>
      <c r="D41">
        <v>33</v>
      </c>
      <c r="G41">
        <f>SUM(C41:D41)</f>
        <v>75</v>
      </c>
      <c r="H41">
        <v>40</v>
      </c>
      <c r="I41">
        <f>G41+H41</f>
        <v>115</v>
      </c>
      <c r="J41" t="s">
        <v>9</v>
      </c>
      <c r="K41" t="s">
        <v>442</v>
      </c>
      <c r="L41">
        <v>3</v>
      </c>
      <c r="M41" t="s">
        <v>124</v>
      </c>
    </row>
    <row r="42" spans="1:15" x14ac:dyDescent="0.25">
      <c r="A42" t="s">
        <v>290</v>
      </c>
      <c r="B42" s="1" t="s">
        <v>291</v>
      </c>
      <c r="C42">
        <v>73</v>
      </c>
      <c r="G42">
        <f>C42</f>
        <v>73</v>
      </c>
      <c r="H42">
        <v>80</v>
      </c>
      <c r="I42">
        <f>G42+H42</f>
        <v>153</v>
      </c>
      <c r="J42" t="s">
        <v>212</v>
      </c>
      <c r="K42" t="s">
        <v>447</v>
      </c>
      <c r="M42" t="s">
        <v>7</v>
      </c>
    </row>
    <row r="43" spans="1:15" x14ac:dyDescent="0.25">
      <c r="A43" t="s">
        <v>396</v>
      </c>
      <c r="B43" s="1" t="s">
        <v>397</v>
      </c>
      <c r="C43">
        <v>7</v>
      </c>
      <c r="D43">
        <v>11</v>
      </c>
      <c r="E43">
        <v>1</v>
      </c>
      <c r="F43">
        <v>1</v>
      </c>
      <c r="G43">
        <f>SUM(C43:F43)</f>
        <v>20</v>
      </c>
      <c r="H43">
        <v>20</v>
      </c>
      <c r="I43">
        <f>G43+H43</f>
        <v>40</v>
      </c>
      <c r="J43" t="s">
        <v>9</v>
      </c>
      <c r="K43" t="s">
        <v>442</v>
      </c>
      <c r="L43">
        <v>3</v>
      </c>
      <c r="M43" t="s">
        <v>124</v>
      </c>
      <c r="N43" t="s">
        <v>398</v>
      </c>
      <c r="O43">
        <f>I43*(M43="Available")</f>
        <v>0</v>
      </c>
    </row>
    <row r="44" spans="1:15" x14ac:dyDescent="0.25">
      <c r="A44" t="s">
        <v>403</v>
      </c>
      <c r="B44" s="1" t="s">
        <v>404</v>
      </c>
      <c r="C44">
        <v>13</v>
      </c>
      <c r="D44">
        <v>6</v>
      </c>
      <c r="F44">
        <v>1</v>
      </c>
      <c r="G44">
        <f>SUM(C44:F44)</f>
        <v>20</v>
      </c>
      <c r="H44">
        <v>19</v>
      </c>
      <c r="I44">
        <f>G44+H44</f>
        <v>39</v>
      </c>
      <c r="J44" t="s">
        <v>9</v>
      </c>
      <c r="L44">
        <v>2</v>
      </c>
      <c r="M44" t="s">
        <v>124</v>
      </c>
      <c r="N44" t="s">
        <v>405</v>
      </c>
      <c r="O44">
        <f>I44*(M44="Available")</f>
        <v>0</v>
      </c>
    </row>
  </sheetData>
  <conditionalFormatting sqref="M2">
    <cfRule type="containsText" dxfId="145" priority="161" operator="containsText" text="No">
      <formula>NOT(ISERROR(SEARCH("No",M2)))</formula>
    </cfRule>
    <cfRule type="containsText" dxfId="144" priority="162" operator="containsText" text="On Demand">
      <formula>NOT(ISERROR(SEARCH("On Demand",M2)))</formula>
    </cfRule>
    <cfRule type="containsText" dxfId="143" priority="163" operator="containsText" text="Available">
      <formula>NOT(ISERROR(SEARCH("Available",M2)))</formula>
    </cfRule>
  </conditionalFormatting>
  <conditionalFormatting sqref="M3">
    <cfRule type="containsText" dxfId="142" priority="158" operator="containsText" text="No">
      <formula>NOT(ISERROR(SEARCH("No",M3)))</formula>
    </cfRule>
    <cfRule type="containsText" dxfId="141" priority="159" operator="containsText" text="On Demand">
      <formula>NOT(ISERROR(SEARCH("On Demand",M3)))</formula>
    </cfRule>
    <cfRule type="containsText" dxfId="140" priority="160" operator="containsText" text="Available">
      <formula>NOT(ISERROR(SEARCH("Available",M3)))</formula>
    </cfRule>
  </conditionalFormatting>
  <conditionalFormatting sqref="M4">
    <cfRule type="containsText" dxfId="139" priority="150" operator="containsText" text="No">
      <formula>NOT(ISERROR(SEARCH("No",M4)))</formula>
    </cfRule>
    <cfRule type="containsText" dxfId="138" priority="151" operator="containsText" text="On Demand">
      <formula>NOT(ISERROR(SEARCH("On Demand",M4)))</formula>
    </cfRule>
    <cfRule type="containsText" dxfId="137" priority="152" operator="containsText" text="Available">
      <formula>NOT(ISERROR(SEARCH("Available",M4)))</formula>
    </cfRule>
  </conditionalFormatting>
  <conditionalFormatting sqref="L4">
    <cfRule type="containsText" dxfId="136" priority="149" operator="containsText" text="OK">
      <formula>NOT(ISERROR(SEARCH("OK",L4)))</formula>
    </cfRule>
  </conditionalFormatting>
  <conditionalFormatting sqref="M5">
    <cfRule type="containsText" dxfId="135" priority="146" operator="containsText" text="No">
      <formula>NOT(ISERROR(SEARCH("No",M5)))</formula>
    </cfRule>
    <cfRule type="containsText" dxfId="134" priority="147" operator="containsText" text="On Demand">
      <formula>NOT(ISERROR(SEARCH("On Demand",M5)))</formula>
    </cfRule>
    <cfRule type="containsText" dxfId="133" priority="148" operator="containsText" text="Available">
      <formula>NOT(ISERROR(SEARCH("Available",M5)))</formula>
    </cfRule>
  </conditionalFormatting>
  <conditionalFormatting sqref="L5">
    <cfRule type="containsText" dxfId="132" priority="145" operator="containsText" text="OK">
      <formula>NOT(ISERROR(SEARCH("OK",L5)))</formula>
    </cfRule>
  </conditionalFormatting>
  <conditionalFormatting sqref="M6">
    <cfRule type="containsText" dxfId="131" priority="142" operator="containsText" text="No">
      <formula>NOT(ISERROR(SEARCH("No",M6)))</formula>
    </cfRule>
    <cfRule type="containsText" dxfId="130" priority="143" operator="containsText" text="On Demand">
      <formula>NOT(ISERROR(SEARCH("On Demand",M6)))</formula>
    </cfRule>
    <cfRule type="containsText" dxfId="129" priority="144" operator="containsText" text="Available">
      <formula>NOT(ISERROR(SEARCH("Available",M6)))</formula>
    </cfRule>
  </conditionalFormatting>
  <conditionalFormatting sqref="L6">
    <cfRule type="containsText" dxfId="128" priority="141" operator="containsText" text="OK">
      <formula>NOT(ISERROR(SEARCH("OK",L6)))</formula>
    </cfRule>
  </conditionalFormatting>
  <conditionalFormatting sqref="M7">
    <cfRule type="containsText" dxfId="127" priority="138" operator="containsText" text="No">
      <formula>NOT(ISERROR(SEARCH("No",M7)))</formula>
    </cfRule>
    <cfRule type="containsText" dxfId="126" priority="139" operator="containsText" text="On Demand">
      <formula>NOT(ISERROR(SEARCH("On Demand",M7)))</formula>
    </cfRule>
    <cfRule type="containsText" dxfId="125" priority="140" operator="containsText" text="Available">
      <formula>NOT(ISERROR(SEARCH("Available",M7)))</formula>
    </cfRule>
  </conditionalFormatting>
  <conditionalFormatting sqref="L7">
    <cfRule type="containsText" dxfId="124" priority="137" operator="containsText" text="OK">
      <formula>NOT(ISERROR(SEARCH("OK",L7)))</formula>
    </cfRule>
  </conditionalFormatting>
  <conditionalFormatting sqref="M8">
    <cfRule type="containsText" dxfId="123" priority="134" operator="containsText" text="No">
      <formula>NOT(ISERROR(SEARCH("No",M8)))</formula>
    </cfRule>
    <cfRule type="containsText" dxfId="122" priority="135" operator="containsText" text="On Demand">
      <formula>NOT(ISERROR(SEARCH("On Demand",M8)))</formula>
    </cfRule>
    <cfRule type="containsText" dxfId="121" priority="136" operator="containsText" text="Available">
      <formula>NOT(ISERROR(SEARCH("Available",M8)))</formula>
    </cfRule>
  </conditionalFormatting>
  <conditionalFormatting sqref="L8">
    <cfRule type="containsText" dxfId="120" priority="133" operator="containsText" text="OK">
      <formula>NOT(ISERROR(SEARCH("OK",L8)))</formula>
    </cfRule>
  </conditionalFormatting>
  <conditionalFormatting sqref="M9">
    <cfRule type="containsText" dxfId="119" priority="130" operator="containsText" text="No">
      <formula>NOT(ISERROR(SEARCH("No",M9)))</formula>
    </cfRule>
    <cfRule type="containsText" dxfId="118" priority="131" operator="containsText" text="On Demand">
      <formula>NOT(ISERROR(SEARCH("On Demand",M9)))</formula>
    </cfRule>
    <cfRule type="containsText" dxfId="117" priority="132" operator="containsText" text="Available">
      <formula>NOT(ISERROR(SEARCH("Available",M9)))</formula>
    </cfRule>
  </conditionalFormatting>
  <conditionalFormatting sqref="L9">
    <cfRule type="containsText" dxfId="116" priority="129" operator="containsText" text="OK">
      <formula>NOT(ISERROR(SEARCH("OK",L9)))</formula>
    </cfRule>
  </conditionalFormatting>
  <conditionalFormatting sqref="M10">
    <cfRule type="containsText" dxfId="115" priority="126" operator="containsText" text="No">
      <formula>NOT(ISERROR(SEARCH("No",M10)))</formula>
    </cfRule>
    <cfRule type="containsText" dxfId="114" priority="127" operator="containsText" text="On Demand">
      <formula>NOT(ISERROR(SEARCH("On Demand",M10)))</formula>
    </cfRule>
    <cfRule type="containsText" dxfId="113" priority="128" operator="containsText" text="Available">
      <formula>NOT(ISERROR(SEARCH("Available",M10)))</formula>
    </cfRule>
  </conditionalFormatting>
  <conditionalFormatting sqref="L10">
    <cfRule type="containsText" dxfId="112" priority="125" operator="containsText" text="OK">
      <formula>NOT(ISERROR(SEARCH("OK",L10)))</formula>
    </cfRule>
  </conditionalFormatting>
  <conditionalFormatting sqref="M11">
    <cfRule type="containsText" dxfId="111" priority="122" operator="containsText" text="No">
      <formula>NOT(ISERROR(SEARCH("No",M11)))</formula>
    </cfRule>
    <cfRule type="containsText" dxfId="110" priority="123" operator="containsText" text="On Demand">
      <formula>NOT(ISERROR(SEARCH("On Demand",M11)))</formula>
    </cfRule>
    <cfRule type="containsText" dxfId="109" priority="124" operator="containsText" text="Available">
      <formula>NOT(ISERROR(SEARCH("Available",M11)))</formula>
    </cfRule>
  </conditionalFormatting>
  <conditionalFormatting sqref="L11">
    <cfRule type="containsText" dxfId="108" priority="121" operator="containsText" text="OK">
      <formula>NOT(ISERROR(SEARCH("OK",L11)))</formula>
    </cfRule>
  </conditionalFormatting>
  <conditionalFormatting sqref="M12">
    <cfRule type="containsText" dxfId="107" priority="118" operator="containsText" text="No">
      <formula>NOT(ISERROR(SEARCH("No",M12)))</formula>
    </cfRule>
    <cfRule type="containsText" dxfId="106" priority="119" operator="containsText" text="On Demand">
      <formula>NOT(ISERROR(SEARCH("On Demand",M12)))</formula>
    </cfRule>
    <cfRule type="containsText" dxfId="105" priority="120" operator="containsText" text="Available">
      <formula>NOT(ISERROR(SEARCH("Available",M12)))</formula>
    </cfRule>
  </conditionalFormatting>
  <conditionalFormatting sqref="L12">
    <cfRule type="containsText" dxfId="104" priority="117" operator="containsText" text="OK">
      <formula>NOT(ISERROR(SEARCH("OK",L12)))</formula>
    </cfRule>
  </conditionalFormatting>
  <conditionalFormatting sqref="M13">
    <cfRule type="containsText" dxfId="103" priority="114" operator="containsText" text="No">
      <formula>NOT(ISERROR(SEARCH("No",M13)))</formula>
    </cfRule>
    <cfRule type="containsText" dxfId="102" priority="115" operator="containsText" text="On Demand">
      <formula>NOT(ISERROR(SEARCH("On Demand",M13)))</formula>
    </cfRule>
    <cfRule type="containsText" dxfId="101" priority="116" operator="containsText" text="Available">
      <formula>NOT(ISERROR(SEARCH("Available",M13)))</formula>
    </cfRule>
  </conditionalFormatting>
  <conditionalFormatting sqref="M14">
    <cfRule type="containsText" dxfId="100" priority="110" operator="containsText" text="No">
      <formula>NOT(ISERROR(SEARCH("No",M14)))</formula>
    </cfRule>
    <cfRule type="containsText" dxfId="99" priority="111" operator="containsText" text="On Demand">
      <formula>NOT(ISERROR(SEARCH("On Demand",M14)))</formula>
    </cfRule>
    <cfRule type="containsText" dxfId="98" priority="112" operator="containsText" text="Available">
      <formula>NOT(ISERROR(SEARCH("Available",M14)))</formula>
    </cfRule>
  </conditionalFormatting>
  <conditionalFormatting sqref="L14">
    <cfRule type="containsText" dxfId="97" priority="109" operator="containsText" text="OK">
      <formula>NOT(ISERROR(SEARCH("OK",L14)))</formula>
    </cfRule>
  </conditionalFormatting>
  <conditionalFormatting sqref="M15">
    <cfRule type="containsText" dxfId="96" priority="106" operator="containsText" text="No">
      <formula>NOT(ISERROR(SEARCH("No",M15)))</formula>
    </cfRule>
    <cfRule type="containsText" dxfId="95" priority="107" operator="containsText" text="On Demand">
      <formula>NOT(ISERROR(SEARCH("On Demand",M15)))</formula>
    </cfRule>
    <cfRule type="containsText" dxfId="94" priority="108" operator="containsText" text="Available">
      <formula>NOT(ISERROR(SEARCH("Available",M15)))</formula>
    </cfRule>
  </conditionalFormatting>
  <conditionalFormatting sqref="L15">
    <cfRule type="containsText" dxfId="93" priority="105" operator="containsText" text="OK">
      <formula>NOT(ISERROR(SEARCH("OK",L15)))</formula>
    </cfRule>
  </conditionalFormatting>
  <conditionalFormatting sqref="M16">
    <cfRule type="containsText" dxfId="92" priority="102" operator="containsText" text="No">
      <formula>NOT(ISERROR(SEARCH("No",M16)))</formula>
    </cfRule>
    <cfRule type="containsText" dxfId="91" priority="103" operator="containsText" text="On Demand">
      <formula>NOT(ISERROR(SEARCH("On Demand",M16)))</formula>
    </cfRule>
    <cfRule type="containsText" dxfId="90" priority="104" operator="containsText" text="Available">
      <formula>NOT(ISERROR(SEARCH("Available",M16)))</formula>
    </cfRule>
  </conditionalFormatting>
  <conditionalFormatting sqref="L16">
    <cfRule type="containsText" dxfId="89" priority="101" operator="containsText" text="OK">
      <formula>NOT(ISERROR(SEARCH("OK",L16)))</formula>
    </cfRule>
  </conditionalFormatting>
  <conditionalFormatting sqref="M17">
    <cfRule type="containsText" dxfId="88" priority="98" operator="containsText" text="No">
      <formula>NOT(ISERROR(SEARCH("No",M17)))</formula>
    </cfRule>
    <cfRule type="containsText" dxfId="87" priority="99" operator="containsText" text="On Demand">
      <formula>NOT(ISERROR(SEARCH("On Demand",M17)))</formula>
    </cfRule>
    <cfRule type="containsText" dxfId="86" priority="100" operator="containsText" text="Available">
      <formula>NOT(ISERROR(SEARCH("Available",M17)))</formula>
    </cfRule>
  </conditionalFormatting>
  <conditionalFormatting sqref="L17">
    <cfRule type="containsText" dxfId="85" priority="97" operator="containsText" text="OK">
      <formula>NOT(ISERROR(SEARCH("OK",L17)))</formula>
    </cfRule>
  </conditionalFormatting>
  <conditionalFormatting sqref="M18">
    <cfRule type="containsText" dxfId="84" priority="94" operator="containsText" text="No">
      <formula>NOT(ISERROR(SEARCH("No",M18)))</formula>
    </cfRule>
    <cfRule type="containsText" dxfId="83" priority="95" operator="containsText" text="On Demand">
      <formula>NOT(ISERROR(SEARCH("On Demand",M18)))</formula>
    </cfRule>
    <cfRule type="containsText" dxfId="82" priority="96" operator="containsText" text="Available">
      <formula>NOT(ISERROR(SEARCH("Available",M18)))</formula>
    </cfRule>
  </conditionalFormatting>
  <conditionalFormatting sqref="M19">
    <cfRule type="containsText" dxfId="81" priority="90" operator="containsText" text="No">
      <formula>NOT(ISERROR(SEARCH("No",M19)))</formula>
    </cfRule>
    <cfRule type="containsText" dxfId="80" priority="91" operator="containsText" text="On Demand">
      <formula>NOT(ISERROR(SEARCH("On Demand",M19)))</formula>
    </cfRule>
    <cfRule type="containsText" dxfId="79" priority="92" operator="containsText" text="Available">
      <formula>NOT(ISERROR(SEARCH("Available",M19)))</formula>
    </cfRule>
  </conditionalFormatting>
  <conditionalFormatting sqref="L19">
    <cfRule type="containsText" dxfId="78" priority="89" operator="containsText" text="OK">
      <formula>NOT(ISERROR(SEARCH("OK",L19)))</formula>
    </cfRule>
  </conditionalFormatting>
  <conditionalFormatting sqref="L20">
    <cfRule type="containsText" dxfId="77" priority="88" operator="containsText" text="OK">
      <formula>NOT(ISERROR(SEARCH("OK",L20)))</formula>
    </cfRule>
  </conditionalFormatting>
  <conditionalFormatting sqref="M21">
    <cfRule type="containsText" dxfId="76" priority="85" operator="containsText" text="No">
      <formula>NOT(ISERROR(SEARCH("No",M21)))</formula>
    </cfRule>
    <cfRule type="containsText" dxfId="75" priority="86" operator="containsText" text="On Demand">
      <formula>NOT(ISERROR(SEARCH("On Demand",M21)))</formula>
    </cfRule>
    <cfRule type="containsText" dxfId="74" priority="87" operator="containsText" text="Available">
      <formula>NOT(ISERROR(SEARCH("Available",M21)))</formula>
    </cfRule>
  </conditionalFormatting>
  <conditionalFormatting sqref="M22">
    <cfRule type="containsText" dxfId="73" priority="81" operator="containsText" text="No">
      <formula>NOT(ISERROR(SEARCH("No",M22)))</formula>
    </cfRule>
    <cfRule type="containsText" dxfId="72" priority="82" operator="containsText" text="On Demand">
      <formula>NOT(ISERROR(SEARCH("On Demand",M22)))</formula>
    </cfRule>
    <cfRule type="containsText" dxfId="71" priority="83" operator="containsText" text="Available">
      <formula>NOT(ISERROR(SEARCH("Available",M22)))</formula>
    </cfRule>
  </conditionalFormatting>
  <conditionalFormatting sqref="L22">
    <cfRule type="containsText" dxfId="70" priority="80" operator="containsText" text="OK">
      <formula>NOT(ISERROR(SEARCH("OK",L22)))</formula>
    </cfRule>
  </conditionalFormatting>
  <conditionalFormatting sqref="M23">
    <cfRule type="containsText" dxfId="69" priority="77" operator="containsText" text="No">
      <formula>NOT(ISERROR(SEARCH("No",M23)))</formula>
    </cfRule>
    <cfRule type="containsText" dxfId="68" priority="78" operator="containsText" text="On Demand">
      <formula>NOT(ISERROR(SEARCH("On Demand",M23)))</formula>
    </cfRule>
    <cfRule type="containsText" dxfId="67" priority="79" operator="containsText" text="Available">
      <formula>NOT(ISERROR(SEARCH("Available",M23)))</formula>
    </cfRule>
  </conditionalFormatting>
  <conditionalFormatting sqref="M24">
    <cfRule type="containsText" dxfId="66" priority="73" operator="containsText" text="No">
      <formula>NOT(ISERROR(SEARCH("No",M24)))</formula>
    </cfRule>
    <cfRule type="containsText" dxfId="65" priority="74" operator="containsText" text="On Demand">
      <formula>NOT(ISERROR(SEARCH("On Demand",M24)))</formula>
    </cfRule>
    <cfRule type="containsText" dxfId="64" priority="75" operator="containsText" text="Available">
      <formula>NOT(ISERROR(SEARCH("Available",M24)))</formula>
    </cfRule>
  </conditionalFormatting>
  <conditionalFormatting sqref="L24">
    <cfRule type="containsText" dxfId="63" priority="72" operator="containsText" text="OK">
      <formula>NOT(ISERROR(SEARCH("OK",L24)))</formula>
    </cfRule>
  </conditionalFormatting>
  <conditionalFormatting sqref="L25">
    <cfRule type="containsText" dxfId="62" priority="71" operator="containsText" text="OK">
      <formula>NOT(ISERROR(SEARCH("OK",L25)))</formula>
    </cfRule>
  </conditionalFormatting>
  <conditionalFormatting sqref="M26">
    <cfRule type="containsText" dxfId="61" priority="68" operator="containsText" text="No">
      <formula>NOT(ISERROR(SEARCH("No",M26)))</formula>
    </cfRule>
    <cfRule type="containsText" dxfId="60" priority="69" operator="containsText" text="On Demand">
      <formula>NOT(ISERROR(SEARCH("On Demand",M26)))</formula>
    </cfRule>
    <cfRule type="containsText" dxfId="59" priority="70" operator="containsText" text="Available">
      <formula>NOT(ISERROR(SEARCH("Available",M26)))</formula>
    </cfRule>
  </conditionalFormatting>
  <conditionalFormatting sqref="M27">
    <cfRule type="containsText" dxfId="58" priority="64" operator="containsText" text="No">
      <formula>NOT(ISERROR(SEARCH("No",M27)))</formula>
    </cfRule>
    <cfRule type="containsText" dxfId="57" priority="65" operator="containsText" text="On Demand">
      <formula>NOT(ISERROR(SEARCH("On Demand",M27)))</formula>
    </cfRule>
    <cfRule type="containsText" dxfId="56" priority="66" operator="containsText" text="Available">
      <formula>NOT(ISERROR(SEARCH("Available",M27)))</formula>
    </cfRule>
  </conditionalFormatting>
  <conditionalFormatting sqref="M28">
    <cfRule type="containsText" dxfId="55" priority="60" operator="containsText" text="No">
      <formula>NOT(ISERROR(SEARCH("No",M28)))</formula>
    </cfRule>
    <cfRule type="containsText" dxfId="54" priority="61" operator="containsText" text="On Demand">
      <formula>NOT(ISERROR(SEARCH("On Demand",M28)))</formula>
    </cfRule>
    <cfRule type="containsText" dxfId="53" priority="62" operator="containsText" text="Available">
      <formula>NOT(ISERROR(SEARCH("Available",M28)))</formula>
    </cfRule>
  </conditionalFormatting>
  <conditionalFormatting sqref="M29">
    <cfRule type="containsText" dxfId="52" priority="56" operator="containsText" text="No">
      <formula>NOT(ISERROR(SEARCH("No",M29)))</formula>
    </cfRule>
    <cfRule type="containsText" dxfId="51" priority="57" operator="containsText" text="On Demand">
      <formula>NOT(ISERROR(SEARCH("On Demand",M29)))</formula>
    </cfRule>
    <cfRule type="containsText" dxfId="50" priority="58" operator="containsText" text="Available">
      <formula>NOT(ISERROR(SEARCH("Available",M29)))</formula>
    </cfRule>
  </conditionalFormatting>
  <conditionalFormatting sqref="M30">
    <cfRule type="containsText" dxfId="49" priority="52" operator="containsText" text="No">
      <formula>NOT(ISERROR(SEARCH("No",M30)))</formula>
    </cfRule>
    <cfRule type="containsText" dxfId="48" priority="53" operator="containsText" text="On Demand">
      <formula>NOT(ISERROR(SEARCH("On Demand",M30)))</formula>
    </cfRule>
    <cfRule type="containsText" dxfId="47" priority="54" operator="containsText" text="Available">
      <formula>NOT(ISERROR(SEARCH("Available",M30)))</formula>
    </cfRule>
  </conditionalFormatting>
  <conditionalFormatting sqref="M31">
    <cfRule type="containsText" dxfId="46" priority="48" operator="containsText" text="No">
      <formula>NOT(ISERROR(SEARCH("No",M31)))</formula>
    </cfRule>
    <cfRule type="containsText" dxfId="45" priority="49" operator="containsText" text="On Demand">
      <formula>NOT(ISERROR(SEARCH("On Demand",M31)))</formula>
    </cfRule>
    <cfRule type="containsText" dxfId="44" priority="50" operator="containsText" text="Available">
      <formula>NOT(ISERROR(SEARCH("Available",M31)))</formula>
    </cfRule>
  </conditionalFormatting>
  <conditionalFormatting sqref="L31">
    <cfRule type="containsText" dxfId="43" priority="47" operator="containsText" text="OK">
      <formula>NOT(ISERROR(SEARCH("OK",L31)))</formula>
    </cfRule>
  </conditionalFormatting>
  <conditionalFormatting sqref="L32">
    <cfRule type="containsText" dxfId="42" priority="46" operator="containsText" text="OK">
      <formula>NOT(ISERROR(SEARCH("OK",L32)))</formula>
    </cfRule>
  </conditionalFormatting>
  <conditionalFormatting sqref="M33">
    <cfRule type="containsText" dxfId="41" priority="43" operator="containsText" text="No">
      <formula>NOT(ISERROR(SEARCH("No",M33)))</formula>
    </cfRule>
    <cfRule type="containsText" dxfId="40" priority="44" operator="containsText" text="On Demand">
      <formula>NOT(ISERROR(SEARCH("On Demand",M33)))</formula>
    </cfRule>
    <cfRule type="containsText" dxfId="39" priority="45" operator="containsText" text="Available">
      <formula>NOT(ISERROR(SEARCH("Available",M33)))</formula>
    </cfRule>
  </conditionalFormatting>
  <conditionalFormatting sqref="L33">
    <cfRule type="containsText" dxfId="38" priority="42" operator="containsText" text="OK">
      <formula>NOT(ISERROR(SEARCH("OK",L33)))</formula>
    </cfRule>
  </conditionalFormatting>
  <conditionalFormatting sqref="M34">
    <cfRule type="containsText" dxfId="37" priority="39" operator="containsText" text="No">
      <formula>NOT(ISERROR(SEARCH("No",M34)))</formula>
    </cfRule>
    <cfRule type="containsText" dxfId="36" priority="40" operator="containsText" text="On Demand">
      <formula>NOT(ISERROR(SEARCH("On Demand",M34)))</formula>
    </cfRule>
    <cfRule type="containsText" dxfId="35" priority="41" operator="containsText" text="Available">
      <formula>NOT(ISERROR(SEARCH("Available",M34)))</formula>
    </cfRule>
  </conditionalFormatting>
  <conditionalFormatting sqref="L34">
    <cfRule type="containsText" dxfId="34" priority="38" operator="containsText" text="OK">
      <formula>NOT(ISERROR(SEARCH("OK",L34)))</formula>
    </cfRule>
  </conditionalFormatting>
  <conditionalFormatting sqref="M35">
    <cfRule type="containsText" dxfId="33" priority="35" operator="containsText" text="No">
      <formula>NOT(ISERROR(SEARCH("No",M35)))</formula>
    </cfRule>
    <cfRule type="containsText" dxfId="32" priority="36" operator="containsText" text="On Demand">
      <formula>NOT(ISERROR(SEARCH("On Demand",M35)))</formula>
    </cfRule>
    <cfRule type="containsText" dxfId="31" priority="37" operator="containsText" text="Available">
      <formula>NOT(ISERROR(SEARCH("Available",M35)))</formula>
    </cfRule>
  </conditionalFormatting>
  <conditionalFormatting sqref="L35">
    <cfRule type="containsText" dxfId="30" priority="34" operator="containsText" text="OK">
      <formula>NOT(ISERROR(SEARCH("OK",L35)))</formula>
    </cfRule>
  </conditionalFormatting>
  <conditionalFormatting sqref="M36">
    <cfRule type="containsText" dxfId="29" priority="31" operator="containsText" text="No">
      <formula>NOT(ISERROR(SEARCH("No",M36)))</formula>
    </cfRule>
    <cfRule type="containsText" dxfId="28" priority="32" operator="containsText" text="On Demand">
      <formula>NOT(ISERROR(SEARCH("On Demand",M36)))</formula>
    </cfRule>
    <cfRule type="containsText" dxfId="27" priority="33" operator="containsText" text="Available">
      <formula>NOT(ISERROR(SEARCH("Available",M36)))</formula>
    </cfRule>
  </conditionalFormatting>
  <conditionalFormatting sqref="M37">
    <cfRule type="containsText" dxfId="26" priority="27" operator="containsText" text="No">
      <formula>NOT(ISERROR(SEARCH("No",M37)))</formula>
    </cfRule>
    <cfRule type="containsText" dxfId="25" priority="28" operator="containsText" text="On Demand">
      <formula>NOT(ISERROR(SEARCH("On Demand",M37)))</formula>
    </cfRule>
    <cfRule type="containsText" dxfId="24" priority="29" operator="containsText" text="Available">
      <formula>NOT(ISERROR(SEARCH("Available",M37)))</formula>
    </cfRule>
  </conditionalFormatting>
  <conditionalFormatting sqref="M38">
    <cfRule type="containsText" dxfId="23" priority="23" operator="containsText" text="No">
      <formula>NOT(ISERROR(SEARCH("No",M38)))</formula>
    </cfRule>
    <cfRule type="containsText" dxfId="22" priority="24" operator="containsText" text="On Demand">
      <formula>NOT(ISERROR(SEARCH("On Demand",M38)))</formula>
    </cfRule>
    <cfRule type="containsText" dxfId="21" priority="25" operator="containsText" text="Available">
      <formula>NOT(ISERROR(SEARCH("Available",M38)))</formula>
    </cfRule>
  </conditionalFormatting>
  <conditionalFormatting sqref="L38">
    <cfRule type="containsText" dxfId="20" priority="22" operator="containsText" text="OK">
      <formula>NOT(ISERROR(SEARCH("OK",L38)))</formula>
    </cfRule>
  </conditionalFormatting>
  <conditionalFormatting sqref="M39">
    <cfRule type="containsText" dxfId="19" priority="19" operator="containsText" text="No">
      <formula>NOT(ISERROR(SEARCH("No",M39)))</formula>
    </cfRule>
    <cfRule type="containsText" dxfId="18" priority="20" operator="containsText" text="On Demand">
      <formula>NOT(ISERROR(SEARCH("On Demand",M39)))</formula>
    </cfRule>
    <cfRule type="containsText" dxfId="17" priority="21" operator="containsText" text="Available">
      <formula>NOT(ISERROR(SEARCH("Available",M39)))</formula>
    </cfRule>
  </conditionalFormatting>
  <conditionalFormatting sqref="L39">
    <cfRule type="containsText" dxfId="16" priority="18" operator="containsText" text="OK">
      <formula>NOT(ISERROR(SEARCH("OK",L39)))</formula>
    </cfRule>
  </conditionalFormatting>
  <conditionalFormatting sqref="L40">
    <cfRule type="containsText" dxfId="15" priority="17" operator="containsText" text="OK">
      <formula>NOT(ISERROR(SEARCH("OK",L40)))</formula>
    </cfRule>
  </conditionalFormatting>
  <conditionalFormatting sqref="M41">
    <cfRule type="containsText" dxfId="14" priority="14" operator="containsText" text="No">
      <formula>NOT(ISERROR(SEARCH("No",M41)))</formula>
    </cfRule>
    <cfRule type="containsText" dxfId="13" priority="15" operator="containsText" text="On Demand">
      <formula>NOT(ISERROR(SEARCH("On Demand",M41)))</formula>
    </cfRule>
    <cfRule type="containsText" dxfId="12" priority="16" operator="containsText" text="Available">
      <formula>NOT(ISERROR(SEARCH("Available",M41)))</formula>
    </cfRule>
  </conditionalFormatting>
  <conditionalFormatting sqref="M42">
    <cfRule type="containsText" dxfId="11" priority="10" operator="containsText" text="No">
      <formula>NOT(ISERROR(SEARCH("No",M42)))</formula>
    </cfRule>
    <cfRule type="containsText" dxfId="10" priority="11" operator="containsText" text="On Demand">
      <formula>NOT(ISERROR(SEARCH("On Demand",M42)))</formula>
    </cfRule>
    <cfRule type="containsText" dxfId="9" priority="12" operator="containsText" text="Available">
      <formula>NOT(ISERROR(SEARCH("Available",M42)))</formula>
    </cfRule>
  </conditionalFormatting>
  <conditionalFormatting sqref="L42">
    <cfRule type="containsText" dxfId="8" priority="9" operator="containsText" text="OK">
      <formula>NOT(ISERROR(SEARCH("OK",L42)))</formula>
    </cfRule>
  </conditionalFormatting>
  <conditionalFormatting sqref="M43">
    <cfRule type="containsText" dxfId="7" priority="6" operator="containsText" text="No">
      <formula>NOT(ISERROR(SEARCH("No",M43)))</formula>
    </cfRule>
    <cfRule type="containsText" dxfId="6" priority="7" operator="containsText" text="On Demand">
      <formula>NOT(ISERROR(SEARCH("On Demand",M43)))</formula>
    </cfRule>
    <cfRule type="containsText" dxfId="5" priority="8" operator="containsText" text="Available">
      <formula>NOT(ISERROR(SEARCH("Available",M43)))</formula>
    </cfRule>
  </conditionalFormatting>
  <conditionalFormatting sqref="L43">
    <cfRule type="containsText" dxfId="4" priority="5" operator="containsText" text="OK">
      <formula>NOT(ISERROR(SEARCH("OK",L43)))</formula>
    </cfRule>
  </conditionalFormatting>
  <conditionalFormatting sqref="M44">
    <cfRule type="containsText" dxfId="3" priority="2" operator="containsText" text="No">
      <formula>NOT(ISERROR(SEARCH("No",M44)))</formula>
    </cfRule>
    <cfRule type="containsText" dxfId="2" priority="3" operator="containsText" text="On Demand">
      <formula>NOT(ISERROR(SEARCH("On Demand",M44)))</formula>
    </cfRule>
    <cfRule type="containsText" dxfId="1" priority="4" operator="containsText" text="Available">
      <formula>NOT(ISERROR(SEARCH("Available",M44)))</formula>
    </cfRule>
  </conditionalFormatting>
  <conditionalFormatting sqref="L44">
    <cfRule type="containsText" dxfId="0" priority="1" operator="containsText" text="OK">
      <formula>NOT(ISERROR(SEARCH("OK",L44)))</formula>
    </cfRule>
  </conditionalFormatting>
  <hyperlinks>
    <hyperlink ref="B2" r:id="rId1" location="app2" xr:uid="{F1D303B3-6139-4875-BBC5-E1412BAA128A}"/>
    <hyperlink ref="B3" r:id="rId2" xr:uid="{C2AF047C-B79F-451B-9758-D67AC6A1CA84}"/>
    <hyperlink ref="B4" r:id="rId3" xr:uid="{C48E973E-5B65-4425-86E3-B9B074499128}"/>
    <hyperlink ref="B5" r:id="rId4" xr:uid="{F750FFC9-68BE-4789-A081-B403F8053E92}"/>
    <hyperlink ref="B6" r:id="rId5" xr:uid="{2236850F-26DF-4AC8-8862-A3E9253865B1}"/>
    <hyperlink ref="B7" r:id="rId6" xr:uid="{AE5294AC-FA65-4E82-989F-D6CB7ED7510C}"/>
    <hyperlink ref="B8" r:id="rId7" xr:uid="{C492A6C6-9E20-45F9-98AC-33058DA1E29A}"/>
    <hyperlink ref="B9" r:id="rId8" xr:uid="{F398EAAD-C9CA-44AB-8538-E6128BCAF3D5}"/>
    <hyperlink ref="B10" r:id="rId9" xr:uid="{F83ACF7B-4583-4F6F-AC40-43EE127EE169}"/>
    <hyperlink ref="B11" r:id="rId10" xr:uid="{1485CC8D-A489-4073-8419-5AB0812AC687}"/>
    <hyperlink ref="B12" r:id="rId11" xr:uid="{84F5EB4D-6693-41CB-8FF3-4DC433F241DD}"/>
    <hyperlink ref="B13" r:id="rId12" xr:uid="{17366FA4-5C3F-4D13-A965-2E4EB3ACB816}"/>
    <hyperlink ref="B14" r:id="rId13" xr:uid="{2F2BA227-465E-4608-A76B-6370B7E3DF6D}"/>
    <hyperlink ref="B15" r:id="rId14" xr:uid="{607B8335-8EEF-4505-A1A3-7A885BE3B24E}"/>
    <hyperlink ref="B16" r:id="rId15" xr:uid="{47664ACE-D5CB-4A6B-B008-46CAE3CF7C14}"/>
    <hyperlink ref="B17" r:id="rId16" xr:uid="{BEA317C7-F760-4C92-9B9D-09F799590A5E}"/>
    <hyperlink ref="B18" r:id="rId17" xr:uid="{01AEEE72-70C4-440D-A779-D0A2AB3A333C}"/>
    <hyperlink ref="B19" r:id="rId18" xr:uid="{1DA2825A-EC92-4935-86DD-02720EECA3F5}"/>
    <hyperlink ref="B20" r:id="rId19" xr:uid="{4E2B7262-436C-45AE-A890-3344D2730EAE}"/>
    <hyperlink ref="B21" r:id="rId20" xr:uid="{1CB4B857-5F9F-4A93-9D1D-B440B4427CFE}"/>
    <hyperlink ref="B22" r:id="rId21" xr:uid="{A8D73EAD-B8EF-4729-B8C1-81674E3921EB}"/>
    <hyperlink ref="B23" r:id="rId22" xr:uid="{79BC02CC-CD47-4111-BD3B-E22DC320489D}"/>
    <hyperlink ref="B24" r:id="rId23" xr:uid="{C9A7D4D2-A873-4857-8C0A-DAA8B137B6C8}"/>
    <hyperlink ref="B25" r:id="rId24" xr:uid="{38D6A33B-0B20-464E-BDB4-5D70F68CC842}"/>
    <hyperlink ref="B26" r:id="rId25" xr:uid="{2510B7E4-9903-4F67-8E91-950119540E7D}"/>
    <hyperlink ref="B27" r:id="rId26" xr:uid="{2FC550FD-968B-47B9-9332-68AC24118296}"/>
    <hyperlink ref="B28" r:id="rId27" xr:uid="{662F374F-C65A-402C-B313-1C732D038FC7}"/>
    <hyperlink ref="B29" r:id="rId28" xr:uid="{7594DA52-EEAF-4240-B599-F604E059B8C1}"/>
    <hyperlink ref="B30" r:id="rId29" xr:uid="{EBFF1C7B-F774-4F17-BAEE-E99ECE0600A5}"/>
    <hyperlink ref="B31" r:id="rId30" xr:uid="{208F49C6-EB0E-4BED-AEF1-C48B6A45FF56}"/>
    <hyperlink ref="B32" r:id="rId31" xr:uid="{F2799ECC-F719-43E1-886D-E73AD3751E84}"/>
    <hyperlink ref="B33" r:id="rId32" xr:uid="{B2387860-6375-4196-A24E-F63DA2F2ED3D}"/>
    <hyperlink ref="B34" r:id="rId33" xr:uid="{4D372B6B-4F8C-4A33-8AD7-74DE6B9C605E}"/>
    <hyperlink ref="B35" r:id="rId34" xr:uid="{296BC4C8-35B7-4E0E-ABA7-1AE81478A0D7}"/>
    <hyperlink ref="B36" r:id="rId35" xr:uid="{27AA1198-1060-44B4-81FC-AFC0B8D17A3E}"/>
    <hyperlink ref="B37" r:id="rId36" xr:uid="{880729EE-B3BC-4CFA-A1F8-6342561805BD}"/>
    <hyperlink ref="B38" r:id="rId37" xr:uid="{285A8BA1-EFF2-4843-9B85-78392F8B5CDB}"/>
    <hyperlink ref="B39" r:id="rId38" xr:uid="{DA3AFDE5-A480-443D-B857-A93A0E22CCDA}"/>
    <hyperlink ref="B40" r:id="rId39" xr:uid="{5DFD630F-47AC-4A31-9E59-20FB4CAB083E}"/>
    <hyperlink ref="B41" r:id="rId40" xr:uid="{42F8AF4A-4046-434D-8213-9CD73CB6A9C4}"/>
    <hyperlink ref="B42" r:id="rId41" xr:uid="{9AB24AB0-6651-4670-8DAB-A57F093F3923}"/>
    <hyperlink ref="B43" r:id="rId42" xr:uid="{62B5CB06-7C1E-4185-A164-E07B785CB147}"/>
    <hyperlink ref="B44" r:id="rId43" xr:uid="{6C2B4B2A-9F69-46FE-88E7-CEEC5CEAE1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8957-5649-43D8-B855-2DA23BA26F6F}">
  <dimension ref="A2:O16"/>
  <sheetViews>
    <sheetView topLeftCell="A9" workbookViewId="0">
      <selection activeCell="A17" sqref="A17"/>
    </sheetView>
  </sheetViews>
  <sheetFormatPr defaultRowHeight="15" x14ac:dyDescent="0.25"/>
  <sheetData>
    <row r="2" spans="1:15" x14ac:dyDescent="0.25">
      <c r="A2" s="1" t="s">
        <v>177</v>
      </c>
    </row>
    <row r="3" spans="1:15" x14ac:dyDescent="0.25">
      <c r="A3" s="1" t="s">
        <v>167</v>
      </c>
    </row>
    <row r="4" spans="1:15" x14ac:dyDescent="0.25">
      <c r="A4" s="1" t="s">
        <v>191</v>
      </c>
    </row>
    <row r="5" spans="1:15" x14ac:dyDescent="0.25">
      <c r="A5" s="1" t="s">
        <v>198</v>
      </c>
    </row>
    <row r="6" spans="1:15" x14ac:dyDescent="0.25">
      <c r="A6" s="1" t="s">
        <v>209</v>
      </c>
    </row>
    <row r="7" spans="1:15" x14ac:dyDescent="0.25">
      <c r="A7" s="1" t="s">
        <v>243</v>
      </c>
    </row>
    <row r="8" spans="1:15" x14ac:dyDescent="0.25">
      <c r="A8" s="1" t="s">
        <v>252</v>
      </c>
    </row>
    <row r="9" spans="1:15" x14ac:dyDescent="0.25">
      <c r="A9" s="1" t="s">
        <v>255</v>
      </c>
      <c r="O9" t="s">
        <v>258</v>
      </c>
    </row>
    <row r="10" spans="1:15" x14ac:dyDescent="0.25">
      <c r="A10" s="1" t="s">
        <v>261</v>
      </c>
    </row>
    <row r="11" spans="1:15" x14ac:dyDescent="0.25">
      <c r="A11" s="1" t="s">
        <v>271</v>
      </c>
    </row>
    <row r="12" spans="1:15" x14ac:dyDescent="0.25">
      <c r="A12" s="1" t="s">
        <v>348</v>
      </c>
    </row>
    <row r="13" spans="1:15" x14ac:dyDescent="0.25">
      <c r="A13" s="1" t="s">
        <v>365</v>
      </c>
    </row>
    <row r="14" spans="1:15" x14ac:dyDescent="0.25">
      <c r="A14" s="1" t="s">
        <v>369</v>
      </c>
    </row>
    <row r="15" spans="1:15" x14ac:dyDescent="0.25">
      <c r="A15" s="1" t="s">
        <v>422</v>
      </c>
    </row>
    <row r="16" spans="1:15" x14ac:dyDescent="0.25">
      <c r="A16" s="1" t="s">
        <v>434</v>
      </c>
    </row>
  </sheetData>
  <hyperlinks>
    <hyperlink ref="A3" r:id="rId1" xr:uid="{77D42F1C-9F53-4173-A6A9-EDD5427C9F29}"/>
    <hyperlink ref="A2" r:id="rId2" xr:uid="{23E3FC7D-C454-473C-915A-80BECCC2C4AC}"/>
    <hyperlink ref="A4" r:id="rId3" location="B75-cancers-09-00049" xr:uid="{10415990-0A99-46AC-8A71-A57381578E03}"/>
    <hyperlink ref="A5" r:id="rId4" location="B60" xr:uid="{D886800A-6B45-4349-A0CD-8916F8DE716C}"/>
    <hyperlink ref="A6" r:id="rId5" xr:uid="{4A57BFAC-A3D7-49CC-8DFB-D5AC678B30B7}"/>
    <hyperlink ref="A8" r:id="rId6" xr:uid="{45D9B573-1A82-4BA5-AD6F-465E172FE7FB}"/>
    <hyperlink ref="A9" r:id="rId7" xr:uid="{8676CA14-CD49-4291-AA44-0201290C151F}"/>
    <hyperlink ref="A10" r:id="rId8" xr:uid="{9D7B92C7-5229-4F1F-8BCC-8F6706E6234C}"/>
    <hyperlink ref="A11" r:id="rId9" xr:uid="{8962444E-36DC-40AC-9AFE-881F64599F0A}"/>
    <hyperlink ref="A12" r:id="rId10" xr:uid="{0BAC614F-1CE4-42C2-96C6-2CBC28E7F7B4}"/>
    <hyperlink ref="A13" r:id="rId11" xr:uid="{8DD9DF18-99A3-4A57-9BF8-AB7E0A525ADF}"/>
    <hyperlink ref="A14" r:id="rId12" location="data-availability" xr:uid="{018CEF23-1704-4225-8CD6-7B0988CD3F86}"/>
    <hyperlink ref="A15" r:id="rId13" xr:uid="{B0A40CDE-099A-4609-BBA7-47D53DB2803D}"/>
    <hyperlink ref="A16" r:id="rId14" xr:uid="{2443BAFA-3E84-451B-A9BE-036ABD63F7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Hoved</vt:lpstr>
      <vt:lpstr>Andre studier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Fredrik</dc:creator>
  <cp:lastModifiedBy>Ole Fredrik Borgundvåg Berg</cp:lastModifiedBy>
  <dcterms:created xsi:type="dcterms:W3CDTF">2021-08-26T11:18:49Z</dcterms:created>
  <dcterms:modified xsi:type="dcterms:W3CDTF">2021-10-03T18:10:14Z</dcterms:modified>
</cp:coreProperties>
</file>